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esktop files\Financial Modelling\"/>
    </mc:Choice>
  </mc:AlternateContent>
  <xr:revisionPtr revIDLastSave="0" documentId="13_ncr:1_{69982CA7-C31E-4525-927D-7026F624E692}" xr6:coauthVersionLast="47" xr6:coauthVersionMax="47" xr10:uidLastSave="{00000000-0000-0000-0000-000000000000}"/>
  <bookViews>
    <workbookView xWindow="-108" yWindow="-108" windowWidth="23256" windowHeight="12456" tabRatio="662" activeTab="1" xr2:uid="{D4886810-D9CC-4231-AA87-2302A306BB27}"/>
  </bookViews>
  <sheets>
    <sheet name="DCF&gt;" sheetId="10" r:id="rId1"/>
    <sheet name="WACC" sheetId="9" r:id="rId2"/>
    <sheet name="Data&gt;" sheetId="4" r:id="rId3"/>
    <sheet name="Beta-Regression(Dmart)" sheetId="11" r:id="rId4"/>
    <sheet name="Beta-Regression(Trent)" sheetId="13" r:id="rId5"/>
    <sheet name="Beta-Regression(Vedant Fsh) " sheetId="14" r:id="rId6"/>
    <sheet name="Beta-Regression(Aditya Birla F)" sheetId="15" r:id="rId7"/>
    <sheet name="Beta-Comps" sheetId="16" r:id="rId8"/>
    <sheet name="Rm" sheetId="18" r:id="rId9"/>
    <sheet name="Intrinsic Growth" sheetId="23" r:id="rId10"/>
    <sheet name="DCF" sheetId="24" r:id="rId11"/>
    <sheet name="HistoricalFS" sheetId="3" r:id="rId12"/>
    <sheet name="Forecasting" sheetId="8" r:id="rId13"/>
    <sheet name="Ratio Analysis" sheetId="6" r:id="rId14"/>
    <sheet name="Common Size Statement" sheetId="19" r:id="rId15"/>
    <sheet name="Data Room&gt;" sheetId="17" r:id="rId16"/>
    <sheet name="Data Sheet" sheetId="2" r:id="rId17"/>
    <sheet name="Raw FS" sheetId="22" r:id="rId18"/>
    <sheet name="Cash Flow Data" sheetId="5" r:id="rId19"/>
  </sheets>
  <definedNames>
    <definedName name="_xlnm._FilterDatabase" localSheetId="6" hidden="1">'Beta-Regression(Aditya Birla F)'!$B$7:$D$113</definedName>
    <definedName name="_xlnm._FilterDatabase" localSheetId="3" hidden="1">'Beta-Regression(Dmart)'!$B$7:$D$113</definedName>
    <definedName name="_xlnm._FilterDatabase" localSheetId="4" hidden="1">'Beta-Regression(Trent)'!$B$7:$D$113</definedName>
    <definedName name="_xlnm._FilterDatabase" localSheetId="5" hidden="1">'Beta-Regression(Vedant Fsh) '!$B$7:$D$113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24" l="1"/>
  <c r="E41" i="24"/>
  <c r="E40" i="24"/>
  <c r="E39" i="24"/>
  <c r="E38" i="24"/>
  <c r="E36" i="24"/>
  <c r="E35" i="24"/>
  <c r="E34" i="24"/>
  <c r="E29" i="24"/>
  <c r="E25" i="24"/>
  <c r="K15" i="24"/>
  <c r="J15" i="24"/>
  <c r="I15" i="24"/>
  <c r="H15" i="24"/>
  <c r="G15" i="24"/>
  <c r="F15" i="24"/>
  <c r="E27" i="24"/>
  <c r="E26" i="24"/>
  <c r="K13" i="24"/>
  <c r="J13" i="24"/>
  <c r="I13" i="24"/>
  <c r="H13" i="24"/>
  <c r="G13" i="24"/>
  <c r="K9" i="24"/>
  <c r="J9" i="24"/>
  <c r="I9" i="24"/>
  <c r="H9" i="24"/>
  <c r="G9" i="24"/>
  <c r="H7" i="24"/>
  <c r="I7" i="24" s="1"/>
  <c r="J7" i="24" s="1"/>
  <c r="K7" i="24" s="1"/>
  <c r="G7" i="24"/>
  <c r="I5" i="24"/>
  <c r="J5" i="24" s="1"/>
  <c r="K5" i="24" s="1"/>
  <c r="H5" i="24"/>
  <c r="G5" i="24"/>
  <c r="F13" i="24"/>
  <c r="I11" i="24"/>
  <c r="J11" i="24" s="1"/>
  <c r="K11" i="24" s="1"/>
  <c r="H11" i="24"/>
  <c r="G11" i="24"/>
  <c r="H51" i="23"/>
  <c r="H50" i="23"/>
  <c r="F9" i="24"/>
  <c r="F3" i="24"/>
  <c r="G3" i="24" s="1"/>
  <c r="H3" i="24" s="1"/>
  <c r="I3" i="24" s="1"/>
  <c r="J3" i="24" s="1"/>
  <c r="K3" i="24" s="1"/>
  <c r="F5" i="24"/>
  <c r="H48" i="23"/>
  <c r="G48" i="23"/>
  <c r="F48" i="23"/>
  <c r="E48" i="23"/>
  <c r="H45" i="23"/>
  <c r="G45" i="23"/>
  <c r="F45" i="23"/>
  <c r="E45" i="23"/>
  <c r="D45" i="23"/>
  <c r="G43" i="23"/>
  <c r="F43" i="23"/>
  <c r="H40" i="23"/>
  <c r="G40" i="23"/>
  <c r="F40" i="23"/>
  <c r="E40" i="23"/>
  <c r="D40" i="23"/>
  <c r="H33" i="23"/>
  <c r="H43" i="23" s="1"/>
  <c r="G33" i="23"/>
  <c r="F33" i="23"/>
  <c r="E33" i="23"/>
  <c r="E43" i="23" s="1"/>
  <c r="D33" i="23"/>
  <c r="D43" i="23" s="1"/>
  <c r="D2" i="23"/>
  <c r="E2" i="23"/>
  <c r="F2" i="23"/>
  <c r="G2" i="23"/>
  <c r="H2" i="23"/>
  <c r="H29" i="23"/>
  <c r="G29" i="23"/>
  <c r="F29" i="23"/>
  <c r="E29" i="23"/>
  <c r="D29" i="23"/>
  <c r="H27" i="23"/>
  <c r="G27" i="23"/>
  <c r="F27" i="23"/>
  <c r="E27" i="23"/>
  <c r="D27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H22" i="23"/>
  <c r="G22" i="23"/>
  <c r="F22" i="23"/>
  <c r="E22" i="23"/>
  <c r="D22" i="23"/>
  <c r="H21" i="23"/>
  <c r="G21" i="23"/>
  <c r="F21" i="23"/>
  <c r="E21" i="23"/>
  <c r="D21" i="23"/>
  <c r="H20" i="23"/>
  <c r="G20" i="23"/>
  <c r="F20" i="23"/>
  <c r="E20" i="23"/>
  <c r="D20" i="23"/>
  <c r="B27" i="23"/>
  <c r="B20" i="23"/>
  <c r="B21" i="23"/>
  <c r="B22" i="23"/>
  <c r="B23" i="23"/>
  <c r="B24" i="23"/>
  <c r="B25" i="23"/>
  <c r="B26" i="23"/>
  <c r="H14" i="23"/>
  <c r="G14" i="23"/>
  <c r="F14" i="23"/>
  <c r="E14" i="23"/>
  <c r="D14" i="23"/>
  <c r="H13" i="23"/>
  <c r="G13" i="23"/>
  <c r="F13" i="23"/>
  <c r="E13" i="23"/>
  <c r="D13" i="23"/>
  <c r="H12" i="23"/>
  <c r="G12" i="23"/>
  <c r="F12" i="23"/>
  <c r="E12" i="23"/>
  <c r="D12" i="23"/>
  <c r="B14" i="23"/>
  <c r="B13" i="23"/>
  <c r="B12" i="23"/>
  <c r="H8" i="23"/>
  <c r="G8" i="23"/>
  <c r="F8" i="23"/>
  <c r="E8" i="23"/>
  <c r="D8" i="23"/>
  <c r="H7" i="23"/>
  <c r="G7" i="23"/>
  <c r="F7" i="23"/>
  <c r="E7" i="23"/>
  <c r="D7" i="23"/>
  <c r="H6" i="23"/>
  <c r="G6" i="23"/>
  <c r="F6" i="23"/>
  <c r="E6" i="23"/>
  <c r="D6" i="23"/>
  <c r="H5" i="23"/>
  <c r="G5" i="23"/>
  <c r="F5" i="23"/>
  <c r="E5" i="23"/>
  <c r="D5" i="23"/>
  <c r="B8" i="23"/>
  <c r="B7" i="23"/>
  <c r="B6" i="23"/>
  <c r="B5" i="23"/>
  <c r="N32" i="22"/>
  <c r="M32" i="22"/>
  <c r="L32" i="22"/>
  <c r="K32" i="22"/>
  <c r="J32" i="22"/>
  <c r="I32" i="22"/>
  <c r="H32" i="22"/>
  <c r="G32" i="22"/>
  <c r="F32" i="22"/>
  <c r="E32" i="22"/>
  <c r="D32" i="22"/>
  <c r="C32" i="22"/>
  <c r="L40" i="19"/>
  <c r="K40" i="19"/>
  <c r="J40" i="19"/>
  <c r="I40" i="19"/>
  <c r="H40" i="19"/>
  <c r="G40" i="19"/>
  <c r="F40" i="19"/>
  <c r="E40" i="19"/>
  <c r="D40" i="19"/>
  <c r="C40" i="19"/>
  <c r="L39" i="19"/>
  <c r="K39" i="19"/>
  <c r="J39" i="19"/>
  <c r="I39" i="19"/>
  <c r="H39" i="19"/>
  <c r="G39" i="19"/>
  <c r="F39" i="19"/>
  <c r="E39" i="19"/>
  <c r="D39" i="19"/>
  <c r="C39" i="19"/>
  <c r="L38" i="19"/>
  <c r="K38" i="19"/>
  <c r="J38" i="19"/>
  <c r="I38" i="19"/>
  <c r="H38" i="19"/>
  <c r="G38" i="19"/>
  <c r="F38" i="19"/>
  <c r="E38" i="19"/>
  <c r="D38" i="19"/>
  <c r="C38" i="19"/>
  <c r="L37" i="19"/>
  <c r="K37" i="19"/>
  <c r="J37" i="19"/>
  <c r="I37" i="19"/>
  <c r="H37" i="19"/>
  <c r="G37" i="19"/>
  <c r="F37" i="19"/>
  <c r="E37" i="19"/>
  <c r="D37" i="19"/>
  <c r="C37" i="19"/>
  <c r="L36" i="19"/>
  <c r="K36" i="19"/>
  <c r="J36" i="19"/>
  <c r="I36" i="19"/>
  <c r="H36" i="19"/>
  <c r="G36" i="19"/>
  <c r="F36" i="19"/>
  <c r="E36" i="19"/>
  <c r="D36" i="19"/>
  <c r="C36" i="19"/>
  <c r="L35" i="19"/>
  <c r="K35" i="19"/>
  <c r="J35" i="19"/>
  <c r="I35" i="19"/>
  <c r="H35" i="19"/>
  <c r="G35" i="19"/>
  <c r="F35" i="19"/>
  <c r="E35" i="19"/>
  <c r="D35" i="19"/>
  <c r="C35" i="19"/>
  <c r="L34" i="19"/>
  <c r="K34" i="19"/>
  <c r="J34" i="19"/>
  <c r="I34" i="19"/>
  <c r="H34" i="19"/>
  <c r="G34" i="19"/>
  <c r="F34" i="19"/>
  <c r="E34" i="19"/>
  <c r="D34" i="19"/>
  <c r="C34" i="19"/>
  <c r="L33" i="19"/>
  <c r="K33" i="19"/>
  <c r="J33" i="19"/>
  <c r="I33" i="19"/>
  <c r="H33" i="19"/>
  <c r="G33" i="19"/>
  <c r="F33" i="19"/>
  <c r="E33" i="19"/>
  <c r="D33" i="19"/>
  <c r="C33" i="19"/>
  <c r="C41" i="19"/>
  <c r="L41" i="19"/>
  <c r="K41" i="19"/>
  <c r="J41" i="19"/>
  <c r="I41" i="19"/>
  <c r="H41" i="19"/>
  <c r="G41" i="19"/>
  <c r="F41" i="19"/>
  <c r="E41" i="19"/>
  <c r="D41" i="19"/>
  <c r="K76" i="2"/>
  <c r="J76" i="2"/>
  <c r="I76" i="2"/>
  <c r="H76" i="2"/>
  <c r="G76" i="2"/>
  <c r="F76" i="2"/>
  <c r="E76" i="2"/>
  <c r="D76" i="2"/>
  <c r="C76" i="2"/>
  <c r="B76" i="2"/>
  <c r="K74" i="2"/>
  <c r="J74" i="2"/>
  <c r="I74" i="2"/>
  <c r="H74" i="2"/>
  <c r="G74" i="2"/>
  <c r="F74" i="2"/>
  <c r="E74" i="2"/>
  <c r="D74" i="2"/>
  <c r="C74" i="2"/>
  <c r="B74" i="2"/>
  <c r="L30" i="19"/>
  <c r="K30" i="19"/>
  <c r="J30" i="19"/>
  <c r="I30" i="19"/>
  <c r="H30" i="19"/>
  <c r="G30" i="19"/>
  <c r="F30" i="19"/>
  <c r="E30" i="19"/>
  <c r="D30" i="19"/>
  <c r="C30" i="19"/>
  <c r="L29" i="19"/>
  <c r="K29" i="19"/>
  <c r="J29" i="19"/>
  <c r="I29" i="19"/>
  <c r="H29" i="19"/>
  <c r="G29" i="19"/>
  <c r="F29" i="19"/>
  <c r="E29" i="19"/>
  <c r="D29" i="19"/>
  <c r="C29" i="19"/>
  <c r="L28" i="19"/>
  <c r="K28" i="19"/>
  <c r="J28" i="19"/>
  <c r="I28" i="19"/>
  <c r="H28" i="19"/>
  <c r="G28" i="19"/>
  <c r="F28" i="19"/>
  <c r="E28" i="19"/>
  <c r="D28" i="19"/>
  <c r="C28" i="19"/>
  <c r="L27" i="19"/>
  <c r="K27" i="19"/>
  <c r="J27" i="19"/>
  <c r="I27" i="19"/>
  <c r="H27" i="19"/>
  <c r="G27" i="19"/>
  <c r="F27" i="19"/>
  <c r="E27" i="19"/>
  <c r="D27" i="19"/>
  <c r="C27" i="19"/>
  <c r="L31" i="19"/>
  <c r="K31" i="19"/>
  <c r="J31" i="19"/>
  <c r="I31" i="19"/>
  <c r="H31" i="19"/>
  <c r="G31" i="19"/>
  <c r="F31" i="19"/>
  <c r="E31" i="19"/>
  <c r="D31" i="19"/>
  <c r="C31" i="19"/>
  <c r="L25" i="19"/>
  <c r="K25" i="19"/>
  <c r="J25" i="19"/>
  <c r="I25" i="19"/>
  <c r="H25" i="19"/>
  <c r="G25" i="19"/>
  <c r="F25" i="19"/>
  <c r="E25" i="19"/>
  <c r="D25" i="19"/>
  <c r="C25" i="19"/>
  <c r="C4" i="19"/>
  <c r="B40" i="19"/>
  <c r="B39" i="19"/>
  <c r="B38" i="19"/>
  <c r="B37" i="19"/>
  <c r="B36" i="19"/>
  <c r="B35" i="19"/>
  <c r="B34" i="19"/>
  <c r="B33" i="19"/>
  <c r="B30" i="19"/>
  <c r="B29" i="19"/>
  <c r="B28" i="19"/>
  <c r="B27" i="19"/>
  <c r="B23" i="19"/>
  <c r="B2" i="19"/>
  <c r="B21" i="19"/>
  <c r="L21" i="19"/>
  <c r="K21" i="19"/>
  <c r="J21" i="19"/>
  <c r="I21" i="19"/>
  <c r="H21" i="19"/>
  <c r="G21" i="19"/>
  <c r="F21" i="19"/>
  <c r="E21" i="19"/>
  <c r="D21" i="19"/>
  <c r="C21" i="19"/>
  <c r="L20" i="19"/>
  <c r="K20" i="19"/>
  <c r="J20" i="19"/>
  <c r="I20" i="19"/>
  <c r="H20" i="19"/>
  <c r="G20" i="19"/>
  <c r="F20" i="19"/>
  <c r="E20" i="19"/>
  <c r="D20" i="19"/>
  <c r="C20" i="19"/>
  <c r="L19" i="19"/>
  <c r="K19" i="19"/>
  <c r="J19" i="19"/>
  <c r="I19" i="19"/>
  <c r="H19" i="19"/>
  <c r="G19" i="19"/>
  <c r="F19" i="19"/>
  <c r="E19" i="19"/>
  <c r="D19" i="19"/>
  <c r="C19" i="19"/>
  <c r="L18" i="19"/>
  <c r="K18" i="19"/>
  <c r="J18" i="19"/>
  <c r="I18" i="19"/>
  <c r="H18" i="19"/>
  <c r="G18" i="19"/>
  <c r="F18" i="19"/>
  <c r="E18" i="19"/>
  <c r="D18" i="19"/>
  <c r="C18" i="19"/>
  <c r="L17" i="19"/>
  <c r="K17" i="19"/>
  <c r="J17" i="19"/>
  <c r="I17" i="19"/>
  <c r="H17" i="19"/>
  <c r="G17" i="19"/>
  <c r="F17" i="19"/>
  <c r="E17" i="19"/>
  <c r="D17" i="19"/>
  <c r="C17" i="19"/>
  <c r="L16" i="19"/>
  <c r="K16" i="19"/>
  <c r="J16" i="19"/>
  <c r="I16" i="19"/>
  <c r="H16" i="19"/>
  <c r="G16" i="19"/>
  <c r="F16" i="19"/>
  <c r="E16" i="19"/>
  <c r="D16" i="19"/>
  <c r="C16" i="19"/>
  <c r="L15" i="19"/>
  <c r="K15" i="19"/>
  <c r="J15" i="19"/>
  <c r="I15" i="19"/>
  <c r="H15" i="19"/>
  <c r="G15" i="19"/>
  <c r="F15" i="19"/>
  <c r="E15" i="19"/>
  <c r="D15" i="19"/>
  <c r="C15" i="19"/>
  <c r="L14" i="19"/>
  <c r="K14" i="19"/>
  <c r="J14" i="19"/>
  <c r="I14" i="19"/>
  <c r="H14" i="19"/>
  <c r="G14" i="19"/>
  <c r="F14" i="19"/>
  <c r="E14" i="19"/>
  <c r="D14" i="19"/>
  <c r="C14" i="19"/>
  <c r="L13" i="19"/>
  <c r="K13" i="19"/>
  <c r="J13" i="19"/>
  <c r="I13" i="19"/>
  <c r="H13" i="19"/>
  <c r="G13" i="19"/>
  <c r="F13" i="19"/>
  <c r="E13" i="19"/>
  <c r="D13" i="19"/>
  <c r="C13" i="19"/>
  <c r="L12" i="19"/>
  <c r="K12" i="19"/>
  <c r="J12" i="19"/>
  <c r="I12" i="19"/>
  <c r="H12" i="19"/>
  <c r="G12" i="19"/>
  <c r="F12" i="19"/>
  <c r="E12" i="19"/>
  <c r="D12" i="19"/>
  <c r="C12" i="19"/>
  <c r="L11" i="19"/>
  <c r="K11" i="19"/>
  <c r="J11" i="19"/>
  <c r="I11" i="19"/>
  <c r="H11" i="19"/>
  <c r="G11" i="19"/>
  <c r="F11" i="19"/>
  <c r="E11" i="19"/>
  <c r="D11" i="19"/>
  <c r="C11" i="19"/>
  <c r="L10" i="19"/>
  <c r="K10" i="19"/>
  <c r="J10" i="19"/>
  <c r="I10" i="19"/>
  <c r="H10" i="19"/>
  <c r="G10" i="19"/>
  <c r="F10" i="19"/>
  <c r="E10" i="19"/>
  <c r="D10" i="19"/>
  <c r="C10" i="19"/>
  <c r="L9" i="19"/>
  <c r="K9" i="19"/>
  <c r="J9" i="19"/>
  <c r="I9" i="19"/>
  <c r="H9" i="19"/>
  <c r="G9" i="19"/>
  <c r="F9" i="19"/>
  <c r="E9" i="19"/>
  <c r="D9" i="19"/>
  <c r="C9" i="19"/>
  <c r="L8" i="19"/>
  <c r="K8" i="19"/>
  <c r="J8" i="19"/>
  <c r="I8" i="19"/>
  <c r="H8" i="19"/>
  <c r="G8" i="19"/>
  <c r="F8" i="19"/>
  <c r="E8" i="19"/>
  <c r="D8" i="19"/>
  <c r="C8" i="19"/>
  <c r="L7" i="19"/>
  <c r="K7" i="19"/>
  <c r="J7" i="19"/>
  <c r="I7" i="19"/>
  <c r="H7" i="19"/>
  <c r="G7" i="19"/>
  <c r="F7" i="19"/>
  <c r="E7" i="19"/>
  <c r="D7" i="19"/>
  <c r="C7" i="19"/>
  <c r="L6" i="19"/>
  <c r="K6" i="19"/>
  <c r="J6" i="19"/>
  <c r="I6" i="19"/>
  <c r="H6" i="19"/>
  <c r="G6" i="19"/>
  <c r="F6" i="19"/>
  <c r="E6" i="19"/>
  <c r="D6" i="19"/>
  <c r="C6" i="19"/>
  <c r="B18" i="19"/>
  <c r="B19" i="19"/>
  <c r="B20" i="19"/>
  <c r="B7" i="19"/>
  <c r="B8" i="19"/>
  <c r="B9" i="19"/>
  <c r="B10" i="19"/>
  <c r="B11" i="19"/>
  <c r="B12" i="19"/>
  <c r="B13" i="19"/>
  <c r="B14" i="19"/>
  <c r="B15" i="19"/>
  <c r="B16" i="19"/>
  <c r="B17" i="19"/>
  <c r="B6" i="19"/>
  <c r="L4" i="19"/>
  <c r="K4" i="19"/>
  <c r="J4" i="19"/>
  <c r="I4" i="19"/>
  <c r="H4" i="19"/>
  <c r="G4" i="19"/>
  <c r="F4" i="19"/>
  <c r="E4" i="19"/>
  <c r="D4" i="19"/>
  <c r="J23" i="9"/>
  <c r="F7" i="18"/>
  <c r="F5" i="18"/>
  <c r="C31" i="9"/>
  <c r="I11" i="9"/>
  <c r="I10" i="9"/>
  <c r="E14" i="9"/>
  <c r="E13" i="9"/>
  <c r="E12" i="9"/>
  <c r="E11" i="9"/>
  <c r="E10" i="9"/>
  <c r="C32" i="9" s="1"/>
  <c r="D14" i="9"/>
  <c r="D13" i="9"/>
  <c r="D12" i="9"/>
  <c r="D11" i="9"/>
  <c r="D10" i="9"/>
  <c r="E21" i="9" s="1"/>
  <c r="G113" i="15"/>
  <c r="D113" i="15"/>
  <c r="G112" i="15"/>
  <c r="D112" i="15"/>
  <c r="G111" i="15"/>
  <c r="D111" i="15"/>
  <c r="G110" i="15"/>
  <c r="D110" i="15"/>
  <c r="G109" i="15"/>
  <c r="D109" i="15"/>
  <c r="G108" i="15"/>
  <c r="D108" i="15"/>
  <c r="G107" i="15"/>
  <c r="D107" i="15"/>
  <c r="G106" i="15"/>
  <c r="D106" i="15"/>
  <c r="G105" i="15"/>
  <c r="D105" i="15"/>
  <c r="G104" i="15"/>
  <c r="D104" i="15"/>
  <c r="G103" i="15"/>
  <c r="D103" i="15"/>
  <c r="G102" i="15"/>
  <c r="D102" i="15"/>
  <c r="G101" i="15"/>
  <c r="D101" i="15"/>
  <c r="G100" i="15"/>
  <c r="D100" i="15"/>
  <c r="G99" i="15"/>
  <c r="D99" i="15"/>
  <c r="G98" i="15"/>
  <c r="D98" i="15"/>
  <c r="G97" i="15"/>
  <c r="D97" i="15"/>
  <c r="G96" i="15"/>
  <c r="D96" i="15"/>
  <c r="G95" i="15"/>
  <c r="D95" i="15"/>
  <c r="G94" i="15"/>
  <c r="D94" i="15"/>
  <c r="G93" i="15"/>
  <c r="D93" i="15"/>
  <c r="G92" i="15"/>
  <c r="D92" i="15"/>
  <c r="G91" i="15"/>
  <c r="D91" i="15"/>
  <c r="G90" i="15"/>
  <c r="D90" i="15"/>
  <c r="G89" i="15"/>
  <c r="D89" i="15"/>
  <c r="G88" i="15"/>
  <c r="D88" i="15"/>
  <c r="G87" i="15"/>
  <c r="D87" i="15"/>
  <c r="G86" i="15"/>
  <c r="D86" i="15"/>
  <c r="G85" i="15"/>
  <c r="D85" i="15"/>
  <c r="G84" i="15"/>
  <c r="D84" i="15"/>
  <c r="G83" i="15"/>
  <c r="D83" i="15"/>
  <c r="G82" i="15"/>
  <c r="D82" i="15"/>
  <c r="G81" i="15"/>
  <c r="D81" i="15"/>
  <c r="G80" i="15"/>
  <c r="D80" i="15"/>
  <c r="G79" i="15"/>
  <c r="D79" i="15"/>
  <c r="G78" i="15"/>
  <c r="D78" i="15"/>
  <c r="G77" i="15"/>
  <c r="D77" i="15"/>
  <c r="G76" i="15"/>
  <c r="D76" i="15"/>
  <c r="G75" i="15"/>
  <c r="D75" i="15"/>
  <c r="G74" i="15"/>
  <c r="D74" i="15"/>
  <c r="G73" i="15"/>
  <c r="D73" i="15"/>
  <c r="G72" i="15"/>
  <c r="D72" i="15"/>
  <c r="G71" i="15"/>
  <c r="D71" i="15"/>
  <c r="G70" i="15"/>
  <c r="D70" i="15"/>
  <c r="G69" i="15"/>
  <c r="D69" i="15"/>
  <c r="G68" i="15"/>
  <c r="D68" i="15"/>
  <c r="G67" i="15"/>
  <c r="D67" i="15"/>
  <c r="G66" i="15"/>
  <c r="D66" i="15"/>
  <c r="G65" i="15"/>
  <c r="D65" i="15"/>
  <c r="G64" i="15"/>
  <c r="D64" i="15"/>
  <c r="G63" i="15"/>
  <c r="D63" i="15"/>
  <c r="G62" i="15"/>
  <c r="D62" i="15"/>
  <c r="G61" i="15"/>
  <c r="D61" i="15"/>
  <c r="G60" i="15"/>
  <c r="D60" i="15"/>
  <c r="G59" i="15"/>
  <c r="D59" i="15"/>
  <c r="G58" i="15"/>
  <c r="D58" i="15"/>
  <c r="G57" i="15"/>
  <c r="D57" i="15"/>
  <c r="G56" i="15"/>
  <c r="D56" i="15"/>
  <c r="G55" i="15"/>
  <c r="D55" i="15"/>
  <c r="G54" i="15"/>
  <c r="D54" i="15"/>
  <c r="G53" i="15"/>
  <c r="D53" i="15"/>
  <c r="G52" i="15"/>
  <c r="D52" i="15"/>
  <c r="G51" i="15"/>
  <c r="D51" i="15"/>
  <c r="G50" i="15"/>
  <c r="D50" i="15"/>
  <c r="G49" i="15"/>
  <c r="D49" i="15"/>
  <c r="G48" i="15"/>
  <c r="D48" i="15"/>
  <c r="G47" i="15"/>
  <c r="D47" i="15"/>
  <c r="G46" i="15"/>
  <c r="D46" i="15"/>
  <c r="G45" i="15"/>
  <c r="D45" i="15"/>
  <c r="G44" i="15"/>
  <c r="D44" i="15"/>
  <c r="G43" i="15"/>
  <c r="D43" i="15"/>
  <c r="G42" i="15"/>
  <c r="D42" i="15"/>
  <c r="G41" i="15"/>
  <c r="D41" i="15"/>
  <c r="G40" i="15"/>
  <c r="D40" i="15"/>
  <c r="G39" i="15"/>
  <c r="D39" i="15"/>
  <c r="G38" i="15"/>
  <c r="D38" i="15"/>
  <c r="G37" i="15"/>
  <c r="D37" i="15"/>
  <c r="G36" i="15"/>
  <c r="D36" i="15"/>
  <c r="M5" i="15" s="1"/>
  <c r="G35" i="15"/>
  <c r="D35" i="15"/>
  <c r="G34" i="15"/>
  <c r="D34" i="15"/>
  <c r="G33" i="15"/>
  <c r="D33" i="15"/>
  <c r="G32" i="15"/>
  <c r="D32" i="15"/>
  <c r="G31" i="15"/>
  <c r="D31" i="15"/>
  <c r="G30" i="15"/>
  <c r="D30" i="15"/>
  <c r="G29" i="15"/>
  <c r="D29" i="15"/>
  <c r="G28" i="15"/>
  <c r="D28" i="15"/>
  <c r="G27" i="15"/>
  <c r="D27" i="15"/>
  <c r="G26" i="15"/>
  <c r="D26" i="15"/>
  <c r="G25" i="15"/>
  <c r="D25" i="15"/>
  <c r="G24" i="15"/>
  <c r="D24" i="15"/>
  <c r="G23" i="15"/>
  <c r="D23" i="15"/>
  <c r="G22" i="15"/>
  <c r="D22" i="15"/>
  <c r="G21" i="15"/>
  <c r="D21" i="15"/>
  <c r="G20" i="15"/>
  <c r="D20" i="15"/>
  <c r="G19" i="15"/>
  <c r="D19" i="15"/>
  <c r="G18" i="15"/>
  <c r="D18" i="15"/>
  <c r="M7" i="15" s="1"/>
  <c r="G17" i="15"/>
  <c r="D17" i="15"/>
  <c r="G16" i="15"/>
  <c r="D16" i="15"/>
  <c r="G15" i="15"/>
  <c r="D15" i="15"/>
  <c r="G14" i="15"/>
  <c r="D14" i="15"/>
  <c r="G13" i="15"/>
  <c r="D13" i="15"/>
  <c r="G12" i="15"/>
  <c r="D12" i="15"/>
  <c r="J11" i="15"/>
  <c r="G11" i="15"/>
  <c r="D11" i="15"/>
  <c r="G10" i="15"/>
  <c r="D10" i="15"/>
  <c r="M9" i="15"/>
  <c r="G9" i="15"/>
  <c r="D9" i="15"/>
  <c r="J7" i="15"/>
  <c r="J13" i="15" s="1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D18" i="14"/>
  <c r="G17" i="14"/>
  <c r="D17" i="14"/>
  <c r="G16" i="14"/>
  <c r="D16" i="14"/>
  <c r="G15" i="14"/>
  <c r="D15" i="14"/>
  <c r="G14" i="14"/>
  <c r="D14" i="14"/>
  <c r="G13" i="14"/>
  <c r="D13" i="14"/>
  <c r="G12" i="14"/>
  <c r="D12" i="14"/>
  <c r="J11" i="14"/>
  <c r="G11" i="14"/>
  <c r="D11" i="14"/>
  <c r="G10" i="14"/>
  <c r="D10" i="14"/>
  <c r="M9" i="14"/>
  <c r="G9" i="14"/>
  <c r="D9" i="14"/>
  <c r="J7" i="14"/>
  <c r="J13" i="14" s="1"/>
  <c r="G113" i="13"/>
  <c r="D113" i="13"/>
  <c r="G112" i="13"/>
  <c r="D112" i="13"/>
  <c r="G111" i="13"/>
  <c r="D111" i="13"/>
  <c r="G110" i="13"/>
  <c r="D110" i="13"/>
  <c r="G109" i="13"/>
  <c r="D109" i="13"/>
  <c r="G108" i="13"/>
  <c r="D108" i="13"/>
  <c r="G107" i="13"/>
  <c r="D107" i="13"/>
  <c r="G106" i="13"/>
  <c r="D106" i="13"/>
  <c r="G105" i="13"/>
  <c r="D105" i="13"/>
  <c r="G104" i="13"/>
  <c r="D104" i="13"/>
  <c r="G103" i="13"/>
  <c r="D103" i="13"/>
  <c r="G102" i="13"/>
  <c r="D102" i="13"/>
  <c r="G101" i="13"/>
  <c r="D101" i="13"/>
  <c r="G100" i="13"/>
  <c r="D100" i="13"/>
  <c r="G99" i="13"/>
  <c r="D99" i="13"/>
  <c r="G98" i="13"/>
  <c r="D98" i="13"/>
  <c r="G97" i="13"/>
  <c r="D97" i="13"/>
  <c r="G96" i="13"/>
  <c r="D96" i="13"/>
  <c r="G95" i="13"/>
  <c r="D95" i="13"/>
  <c r="G94" i="13"/>
  <c r="D94" i="13"/>
  <c r="G93" i="13"/>
  <c r="D93" i="13"/>
  <c r="G92" i="13"/>
  <c r="D92" i="13"/>
  <c r="G91" i="13"/>
  <c r="D91" i="13"/>
  <c r="G90" i="13"/>
  <c r="D90" i="13"/>
  <c r="G89" i="13"/>
  <c r="D89" i="13"/>
  <c r="G88" i="13"/>
  <c r="D88" i="13"/>
  <c r="G87" i="13"/>
  <c r="D87" i="13"/>
  <c r="G86" i="13"/>
  <c r="D86" i="13"/>
  <c r="G85" i="13"/>
  <c r="D85" i="13"/>
  <c r="G84" i="13"/>
  <c r="D84" i="13"/>
  <c r="G83" i="13"/>
  <c r="D83" i="13"/>
  <c r="G82" i="13"/>
  <c r="D82" i="13"/>
  <c r="G81" i="13"/>
  <c r="D81" i="13"/>
  <c r="G80" i="13"/>
  <c r="D80" i="13"/>
  <c r="G79" i="13"/>
  <c r="D79" i="13"/>
  <c r="G78" i="13"/>
  <c r="D78" i="13"/>
  <c r="G77" i="13"/>
  <c r="D77" i="13"/>
  <c r="G76" i="13"/>
  <c r="D76" i="13"/>
  <c r="G75" i="13"/>
  <c r="D75" i="13"/>
  <c r="G74" i="13"/>
  <c r="D74" i="13"/>
  <c r="G73" i="13"/>
  <c r="D73" i="13"/>
  <c r="G72" i="13"/>
  <c r="D72" i="13"/>
  <c r="G71" i="13"/>
  <c r="D71" i="13"/>
  <c r="G70" i="13"/>
  <c r="D70" i="13"/>
  <c r="G69" i="13"/>
  <c r="D69" i="13"/>
  <c r="G68" i="13"/>
  <c r="D68" i="13"/>
  <c r="G67" i="13"/>
  <c r="D67" i="13"/>
  <c r="G66" i="13"/>
  <c r="D66" i="13"/>
  <c r="G65" i="13"/>
  <c r="D65" i="13"/>
  <c r="G64" i="13"/>
  <c r="D64" i="13"/>
  <c r="G63" i="13"/>
  <c r="D63" i="13"/>
  <c r="G62" i="13"/>
  <c r="D62" i="13"/>
  <c r="G61" i="13"/>
  <c r="D61" i="13"/>
  <c r="G60" i="13"/>
  <c r="D60" i="13"/>
  <c r="G59" i="13"/>
  <c r="D59" i="13"/>
  <c r="G58" i="13"/>
  <c r="D58" i="13"/>
  <c r="G57" i="13"/>
  <c r="D57" i="13"/>
  <c r="G56" i="13"/>
  <c r="D56" i="13"/>
  <c r="G55" i="13"/>
  <c r="D55" i="13"/>
  <c r="G54" i="13"/>
  <c r="D54" i="13"/>
  <c r="G53" i="13"/>
  <c r="D53" i="13"/>
  <c r="G52" i="13"/>
  <c r="D52" i="13"/>
  <c r="G51" i="13"/>
  <c r="D51" i="13"/>
  <c r="G50" i="13"/>
  <c r="D50" i="13"/>
  <c r="G49" i="13"/>
  <c r="D49" i="13"/>
  <c r="G48" i="13"/>
  <c r="D48" i="13"/>
  <c r="G47" i="13"/>
  <c r="D47" i="13"/>
  <c r="G46" i="13"/>
  <c r="D46" i="13"/>
  <c r="G45" i="13"/>
  <c r="D45" i="13"/>
  <c r="G44" i="13"/>
  <c r="D44" i="13"/>
  <c r="G43" i="13"/>
  <c r="D43" i="13"/>
  <c r="G42" i="13"/>
  <c r="D42" i="13"/>
  <c r="G41" i="13"/>
  <c r="D41" i="13"/>
  <c r="G40" i="13"/>
  <c r="D40" i="13"/>
  <c r="G39" i="13"/>
  <c r="D39" i="13"/>
  <c r="G38" i="13"/>
  <c r="D38" i="13"/>
  <c r="G37" i="13"/>
  <c r="D37" i="13"/>
  <c r="G36" i="13"/>
  <c r="D36" i="13"/>
  <c r="G35" i="13"/>
  <c r="D35" i="13"/>
  <c r="G34" i="13"/>
  <c r="D34" i="13"/>
  <c r="G33" i="13"/>
  <c r="D33" i="13"/>
  <c r="G32" i="13"/>
  <c r="D32" i="13"/>
  <c r="G31" i="13"/>
  <c r="D31" i="13"/>
  <c r="G30" i="13"/>
  <c r="D30" i="13"/>
  <c r="G29" i="13"/>
  <c r="D29" i="13"/>
  <c r="G28" i="13"/>
  <c r="D28" i="13"/>
  <c r="G27" i="13"/>
  <c r="D27" i="13"/>
  <c r="G26" i="13"/>
  <c r="D26" i="13"/>
  <c r="G25" i="13"/>
  <c r="D25" i="13"/>
  <c r="G24" i="13"/>
  <c r="D24" i="13"/>
  <c r="G23" i="13"/>
  <c r="D23" i="13"/>
  <c r="G22" i="13"/>
  <c r="D22" i="13"/>
  <c r="G21" i="13"/>
  <c r="D21" i="13"/>
  <c r="G20" i="13"/>
  <c r="D20" i="13"/>
  <c r="G19" i="13"/>
  <c r="D19" i="13"/>
  <c r="G18" i="13"/>
  <c r="D18" i="13"/>
  <c r="G17" i="13"/>
  <c r="D17" i="13"/>
  <c r="G16" i="13"/>
  <c r="D16" i="13"/>
  <c r="G15" i="13"/>
  <c r="D15" i="13"/>
  <c r="G14" i="13"/>
  <c r="D14" i="13"/>
  <c r="G13" i="13"/>
  <c r="D13" i="13"/>
  <c r="G12" i="13"/>
  <c r="D12" i="13"/>
  <c r="J11" i="13"/>
  <c r="G11" i="13"/>
  <c r="D11" i="13"/>
  <c r="G10" i="13"/>
  <c r="D10" i="13"/>
  <c r="M9" i="13"/>
  <c r="G9" i="13"/>
  <c r="D9" i="13"/>
  <c r="J7" i="13"/>
  <c r="J13" i="13" s="1"/>
  <c r="J11" i="11"/>
  <c r="J13" i="11" s="1"/>
  <c r="J7" i="11"/>
  <c r="M9" i="11"/>
  <c r="F28" i="23" l="1"/>
  <c r="F30" i="23" s="1"/>
  <c r="H28" i="23"/>
  <c r="H30" i="23" s="1"/>
  <c r="G28" i="23"/>
  <c r="G30" i="23" s="1"/>
  <c r="D28" i="23"/>
  <c r="D30" i="23" s="1"/>
  <c r="E28" i="23"/>
  <c r="E30" i="23" s="1"/>
  <c r="F15" i="23"/>
  <c r="H15" i="23"/>
  <c r="D9" i="23"/>
  <c r="E9" i="23"/>
  <c r="F9" i="23"/>
  <c r="D15" i="23"/>
  <c r="E15" i="23"/>
  <c r="H9" i="23"/>
  <c r="G9" i="23"/>
  <c r="G15" i="23"/>
  <c r="M5" i="14"/>
  <c r="M7" i="14"/>
  <c r="M5" i="13"/>
  <c r="M7" i="13"/>
  <c r="H17" i="23" l="1"/>
  <c r="D17" i="23"/>
  <c r="D32" i="23" s="1"/>
  <c r="D35" i="23" s="1"/>
  <c r="F17" i="23"/>
  <c r="G17" i="23"/>
  <c r="E17" i="23"/>
  <c r="G32" i="23" l="1"/>
  <c r="G35" i="23" s="1"/>
  <c r="G41" i="23"/>
  <c r="G47" i="23" s="1"/>
  <c r="E32" i="23"/>
  <c r="E35" i="23" s="1"/>
  <c r="E41" i="23"/>
  <c r="E47" i="23" s="1"/>
  <c r="F32" i="23"/>
  <c r="F35" i="23" s="1"/>
  <c r="F41" i="23"/>
  <c r="F47" i="23" s="1"/>
  <c r="H32" i="23"/>
  <c r="H35" i="23" s="1"/>
  <c r="H41" i="23"/>
  <c r="H47" i="23" s="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G11" i="9"/>
  <c r="J11" i="9" s="1"/>
  <c r="H11" i="9"/>
  <c r="G12" i="9"/>
  <c r="J12" i="9" s="1"/>
  <c r="H12" i="9"/>
  <c r="G13" i="9"/>
  <c r="J13" i="9" s="1"/>
  <c r="H13" i="9"/>
  <c r="G14" i="9"/>
  <c r="J14" i="9" s="1"/>
  <c r="H14" i="9"/>
  <c r="F17" i="9"/>
  <c r="E22" i="9" s="1"/>
  <c r="J32" i="9" s="1"/>
  <c r="I17" i="9"/>
  <c r="G10" i="9"/>
  <c r="J10" i="9" s="1"/>
  <c r="D32" i="9"/>
  <c r="C33" i="9"/>
  <c r="D31" i="9" s="1"/>
  <c r="I16" i="9"/>
  <c r="F16" i="9"/>
  <c r="H10" i="9"/>
  <c r="N18" i="8"/>
  <c r="O18" i="8" s="1"/>
  <c r="N17" i="8"/>
  <c r="O17" i="8" s="1"/>
  <c r="N16" i="8"/>
  <c r="O16" i="8" s="1"/>
  <c r="N15" i="8"/>
  <c r="N14" i="8"/>
  <c r="O14" i="8" s="1"/>
  <c r="O6" i="8"/>
  <c r="O7" i="8"/>
  <c r="O8" i="8"/>
  <c r="O9" i="8"/>
  <c r="O10" i="8"/>
  <c r="O11" i="8"/>
  <c r="O12" i="8"/>
  <c r="O13" i="8"/>
  <c r="O5" i="8"/>
  <c r="N4" i="8" a="1"/>
  <c r="N5" i="8" s="1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4" i="8"/>
  <c r="L2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G2" i="8"/>
  <c r="B2" i="8"/>
  <c r="I4" i="8" a="1"/>
  <c r="I9" i="8" s="1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E14" i="8"/>
  <c r="E15" i="8"/>
  <c r="E16" i="8"/>
  <c r="E17" i="8"/>
  <c r="E18" i="8"/>
  <c r="D15" i="8"/>
  <c r="D16" i="8"/>
  <c r="D17" i="8"/>
  <c r="D18" i="8"/>
  <c r="D14" i="8"/>
  <c r="E13" i="8"/>
  <c r="E12" i="8"/>
  <c r="E11" i="8"/>
  <c r="E10" i="8"/>
  <c r="E9" i="8"/>
  <c r="E8" i="8"/>
  <c r="E7" i="8"/>
  <c r="E6" i="8"/>
  <c r="E5" i="8"/>
  <c r="D4" i="8" a="1"/>
  <c r="D5" i="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E23" i="9" l="1"/>
  <c r="J40" i="9" s="1"/>
  <c r="D35" i="9"/>
  <c r="D33" i="9"/>
  <c r="G17" i="9"/>
  <c r="G16" i="9"/>
  <c r="H17" i="9"/>
  <c r="M5" i="11"/>
  <c r="M7" i="11"/>
  <c r="H16" i="9"/>
  <c r="E31" i="9" s="1"/>
  <c r="J17" i="9"/>
  <c r="O15" i="8"/>
  <c r="N6" i="8"/>
  <c r="N4" i="8"/>
  <c r="N13" i="8"/>
  <c r="N12" i="8"/>
  <c r="N11" i="8"/>
  <c r="N10" i="8"/>
  <c r="N9" i="8"/>
  <c r="N8" i="8"/>
  <c r="N7" i="8"/>
  <c r="I8" i="8"/>
  <c r="J8" i="8" s="1"/>
  <c r="I7" i="8"/>
  <c r="I6" i="8"/>
  <c r="J6" i="8" s="1"/>
  <c r="I5" i="8"/>
  <c r="J5" i="8" s="1"/>
  <c r="I4" i="8"/>
  <c r="I13" i="8"/>
  <c r="J13" i="8" s="1"/>
  <c r="I12" i="8"/>
  <c r="I11" i="8"/>
  <c r="J11" i="8" s="1"/>
  <c r="I10" i="8"/>
  <c r="J10" i="8" s="1"/>
  <c r="D13" i="8"/>
  <c r="D12" i="8"/>
  <c r="D4" i="8"/>
  <c r="D11" i="8"/>
  <c r="D10" i="8"/>
  <c r="D9" i="8"/>
  <c r="D8" i="8"/>
  <c r="D7" i="8"/>
  <c r="D6" i="8"/>
  <c r="B17" i="8"/>
  <c r="O6" i="6"/>
  <c r="O7" i="6"/>
  <c r="O8" i="6"/>
  <c r="O9" i="6"/>
  <c r="O11" i="6"/>
  <c r="O12" i="6"/>
  <c r="O13" i="6"/>
  <c r="O14" i="6"/>
  <c r="O15" i="6"/>
  <c r="O17" i="6"/>
  <c r="O18" i="6"/>
  <c r="O19" i="6"/>
  <c r="O21" i="6"/>
  <c r="O22" i="6"/>
  <c r="O23" i="6"/>
  <c r="O24" i="6"/>
  <c r="O25" i="6"/>
  <c r="O27" i="6"/>
  <c r="O28" i="6"/>
  <c r="O29" i="6"/>
  <c r="O30" i="6"/>
  <c r="O31" i="6"/>
  <c r="O33" i="6"/>
  <c r="O34" i="6"/>
  <c r="O35" i="6"/>
  <c r="O36" i="6"/>
  <c r="O38" i="6"/>
  <c r="O39" i="6"/>
  <c r="O40" i="6"/>
  <c r="O5" i="6"/>
  <c r="N12" i="6"/>
  <c r="N13" i="6"/>
  <c r="N14" i="6"/>
  <c r="N15" i="6"/>
  <c r="N17" i="6"/>
  <c r="N18" i="6"/>
  <c r="N19" i="6"/>
  <c r="N21" i="6"/>
  <c r="N22" i="6"/>
  <c r="N23" i="6"/>
  <c r="N24" i="6"/>
  <c r="N25" i="6"/>
  <c r="N27" i="6"/>
  <c r="N28" i="6"/>
  <c r="N29" i="6"/>
  <c r="N30" i="6"/>
  <c r="N31" i="6"/>
  <c r="N33" i="6"/>
  <c r="N34" i="6"/>
  <c r="N35" i="6"/>
  <c r="N36" i="6"/>
  <c r="N38" i="6"/>
  <c r="N39" i="6"/>
  <c r="N40" i="6"/>
  <c r="N11" i="6"/>
  <c r="N6" i="6"/>
  <c r="N7" i="6"/>
  <c r="N8" i="6"/>
  <c r="N9" i="6"/>
  <c r="N5" i="6"/>
  <c r="L9" i="6"/>
  <c r="K9" i="6"/>
  <c r="J9" i="6"/>
  <c r="I9" i="6"/>
  <c r="H9" i="6"/>
  <c r="G9" i="6"/>
  <c r="F9" i="6"/>
  <c r="E9" i="6"/>
  <c r="L8" i="6"/>
  <c r="K8" i="6"/>
  <c r="J8" i="6"/>
  <c r="I8" i="6"/>
  <c r="H8" i="6"/>
  <c r="G8" i="6"/>
  <c r="F8" i="6"/>
  <c r="E8" i="6"/>
  <c r="L7" i="6"/>
  <c r="K7" i="6"/>
  <c r="J7" i="6"/>
  <c r="I7" i="6"/>
  <c r="H7" i="6"/>
  <c r="G7" i="6"/>
  <c r="F7" i="6"/>
  <c r="E7" i="6"/>
  <c r="L6" i="6"/>
  <c r="K6" i="6"/>
  <c r="J6" i="6"/>
  <c r="I6" i="6"/>
  <c r="H6" i="6"/>
  <c r="G6" i="6"/>
  <c r="F6" i="6"/>
  <c r="E6" i="6"/>
  <c r="L5" i="6"/>
  <c r="K5" i="6"/>
  <c r="J5" i="6"/>
  <c r="I5" i="6"/>
  <c r="H5" i="6"/>
  <c r="G5" i="6"/>
  <c r="F5" i="6"/>
  <c r="E5" i="6"/>
  <c r="D9" i="6"/>
  <c r="D8" i="6"/>
  <c r="D7" i="6"/>
  <c r="D6" i="6"/>
  <c r="D5" i="6"/>
  <c r="L40" i="6"/>
  <c r="K40" i="6"/>
  <c r="J40" i="6"/>
  <c r="I40" i="6"/>
  <c r="H40" i="6"/>
  <c r="G40" i="6"/>
  <c r="F40" i="6"/>
  <c r="E40" i="6"/>
  <c r="D40" i="6"/>
  <c r="L39" i="6"/>
  <c r="K39" i="6"/>
  <c r="J39" i="6"/>
  <c r="I39" i="6"/>
  <c r="H39" i="6"/>
  <c r="G39" i="6"/>
  <c r="F39" i="6"/>
  <c r="E39" i="6"/>
  <c r="D39" i="6"/>
  <c r="L38" i="6"/>
  <c r="K38" i="6"/>
  <c r="J38" i="6"/>
  <c r="I38" i="6"/>
  <c r="H38" i="6"/>
  <c r="G38" i="6"/>
  <c r="F38" i="6"/>
  <c r="E38" i="6"/>
  <c r="D38" i="6"/>
  <c r="C38" i="6"/>
  <c r="C40" i="6"/>
  <c r="C39" i="6"/>
  <c r="J36" i="6"/>
  <c r="I36" i="6"/>
  <c r="E36" i="6"/>
  <c r="D36" i="6"/>
  <c r="L35" i="6"/>
  <c r="K35" i="6"/>
  <c r="K36" i="6" s="1"/>
  <c r="J35" i="6"/>
  <c r="I35" i="6"/>
  <c r="H35" i="6"/>
  <c r="G35" i="6"/>
  <c r="F35" i="6"/>
  <c r="F36" i="6" s="1"/>
  <c r="E35" i="6"/>
  <c r="D35" i="6"/>
  <c r="L34" i="6"/>
  <c r="L36" i="6" s="1"/>
  <c r="K34" i="6"/>
  <c r="J34" i="6"/>
  <c r="I34" i="6"/>
  <c r="H34" i="6"/>
  <c r="G34" i="6"/>
  <c r="G36" i="6" s="1"/>
  <c r="F34" i="6"/>
  <c r="E34" i="6"/>
  <c r="D34" i="6"/>
  <c r="L33" i="6"/>
  <c r="K33" i="6"/>
  <c r="J33" i="6"/>
  <c r="I33" i="6"/>
  <c r="H33" i="6"/>
  <c r="H36" i="6" s="1"/>
  <c r="G33" i="6"/>
  <c r="F33" i="6"/>
  <c r="E33" i="6"/>
  <c r="D33" i="6"/>
  <c r="C36" i="6"/>
  <c r="C35" i="6"/>
  <c r="C34" i="6"/>
  <c r="C33" i="6"/>
  <c r="L31" i="6"/>
  <c r="K31" i="6"/>
  <c r="J31" i="6"/>
  <c r="I31" i="6"/>
  <c r="H31" i="6"/>
  <c r="G31" i="6"/>
  <c r="F31" i="6"/>
  <c r="E31" i="6"/>
  <c r="D31" i="6"/>
  <c r="L30" i="6"/>
  <c r="K30" i="6"/>
  <c r="J30" i="6"/>
  <c r="I30" i="6"/>
  <c r="H30" i="6"/>
  <c r="G30" i="6"/>
  <c r="F30" i="6"/>
  <c r="E30" i="6"/>
  <c r="D30" i="6"/>
  <c r="L29" i="6"/>
  <c r="K29" i="6"/>
  <c r="J29" i="6"/>
  <c r="I29" i="6"/>
  <c r="H29" i="6"/>
  <c r="G29" i="6"/>
  <c r="F29" i="6"/>
  <c r="E29" i="6"/>
  <c r="D29" i="6"/>
  <c r="L28" i="6"/>
  <c r="K28" i="6"/>
  <c r="J28" i="6"/>
  <c r="I28" i="6"/>
  <c r="H28" i="6"/>
  <c r="G28" i="6"/>
  <c r="F28" i="6"/>
  <c r="E28" i="6"/>
  <c r="D28" i="6"/>
  <c r="L27" i="6"/>
  <c r="K27" i="6"/>
  <c r="J27" i="6"/>
  <c r="I27" i="6"/>
  <c r="H27" i="6"/>
  <c r="G27" i="6"/>
  <c r="F27" i="6"/>
  <c r="E27" i="6"/>
  <c r="D27" i="6"/>
  <c r="C31" i="6"/>
  <c r="C30" i="6"/>
  <c r="C29" i="6"/>
  <c r="C28" i="6"/>
  <c r="C27" i="6"/>
  <c r="L25" i="6"/>
  <c r="K25" i="6"/>
  <c r="J25" i="6"/>
  <c r="I25" i="6"/>
  <c r="H25" i="6"/>
  <c r="G25" i="6"/>
  <c r="F25" i="6"/>
  <c r="E25" i="6"/>
  <c r="D25" i="6"/>
  <c r="L24" i="6"/>
  <c r="K24" i="6"/>
  <c r="J24" i="6"/>
  <c r="L23" i="6"/>
  <c r="K23" i="6"/>
  <c r="J23" i="6"/>
  <c r="I23" i="6"/>
  <c r="H23" i="6"/>
  <c r="G23" i="6"/>
  <c r="F23" i="6"/>
  <c r="E23" i="6"/>
  <c r="D23" i="6"/>
  <c r="L22" i="6"/>
  <c r="K22" i="6"/>
  <c r="J22" i="6"/>
  <c r="I22" i="6"/>
  <c r="I24" i="6" s="1"/>
  <c r="H22" i="6"/>
  <c r="H24" i="6" s="1"/>
  <c r="G22" i="6"/>
  <c r="G24" i="6" s="1"/>
  <c r="F22" i="6"/>
  <c r="F24" i="6" s="1"/>
  <c r="E22" i="6"/>
  <c r="E24" i="6" s="1"/>
  <c r="D22" i="6"/>
  <c r="D24" i="6" s="1"/>
  <c r="L21" i="6"/>
  <c r="K21" i="6"/>
  <c r="J21" i="6"/>
  <c r="I21" i="6"/>
  <c r="H21" i="6"/>
  <c r="G21" i="6"/>
  <c r="F21" i="6"/>
  <c r="E21" i="6"/>
  <c r="D21" i="6"/>
  <c r="C25" i="6"/>
  <c r="C24" i="6"/>
  <c r="C23" i="6"/>
  <c r="C22" i="6"/>
  <c r="C21" i="6"/>
  <c r="L19" i="6"/>
  <c r="K19" i="6"/>
  <c r="J19" i="6"/>
  <c r="I19" i="6"/>
  <c r="H19" i="6"/>
  <c r="G19" i="6"/>
  <c r="F19" i="6"/>
  <c r="E19" i="6"/>
  <c r="D19" i="6"/>
  <c r="L18" i="6"/>
  <c r="K18" i="6"/>
  <c r="J18" i="6"/>
  <c r="I18" i="6"/>
  <c r="H18" i="6"/>
  <c r="G18" i="6"/>
  <c r="F18" i="6"/>
  <c r="E18" i="6"/>
  <c r="D18" i="6"/>
  <c r="L17" i="6"/>
  <c r="K17" i="6"/>
  <c r="J17" i="6"/>
  <c r="I17" i="6"/>
  <c r="H17" i="6"/>
  <c r="G17" i="6"/>
  <c r="F17" i="6"/>
  <c r="E17" i="6"/>
  <c r="D17" i="6"/>
  <c r="C19" i="6"/>
  <c r="C18" i="6"/>
  <c r="C17" i="6"/>
  <c r="L15" i="6"/>
  <c r="K15" i="6"/>
  <c r="J15" i="6"/>
  <c r="I15" i="6"/>
  <c r="H15" i="6"/>
  <c r="G15" i="6"/>
  <c r="F15" i="6"/>
  <c r="E15" i="6"/>
  <c r="D15" i="6"/>
  <c r="L14" i="6"/>
  <c r="K14" i="6"/>
  <c r="J14" i="6"/>
  <c r="I14" i="6"/>
  <c r="H14" i="6"/>
  <c r="G14" i="6"/>
  <c r="F14" i="6"/>
  <c r="E14" i="6"/>
  <c r="D14" i="6"/>
  <c r="L13" i="6"/>
  <c r="K13" i="6"/>
  <c r="J13" i="6"/>
  <c r="I13" i="6"/>
  <c r="H13" i="6"/>
  <c r="G13" i="6"/>
  <c r="F13" i="6"/>
  <c r="E13" i="6"/>
  <c r="D13" i="6"/>
  <c r="L12" i="6"/>
  <c r="K12" i="6"/>
  <c r="J12" i="6"/>
  <c r="I12" i="6"/>
  <c r="H12" i="6"/>
  <c r="G12" i="6"/>
  <c r="F12" i="6"/>
  <c r="E12" i="6"/>
  <c r="D12" i="6"/>
  <c r="L11" i="6"/>
  <c r="K11" i="6"/>
  <c r="J11" i="6"/>
  <c r="I11" i="6"/>
  <c r="H11" i="6"/>
  <c r="G11" i="6"/>
  <c r="F11" i="6"/>
  <c r="E11" i="6"/>
  <c r="D11" i="6"/>
  <c r="C13" i="6"/>
  <c r="C11" i="6"/>
  <c r="L3" i="6"/>
  <c r="K3" i="6"/>
  <c r="J3" i="6"/>
  <c r="I3" i="6"/>
  <c r="H3" i="6"/>
  <c r="G3" i="6"/>
  <c r="F3" i="6"/>
  <c r="E3" i="6"/>
  <c r="D3" i="6"/>
  <c r="C3" i="6"/>
  <c r="B2" i="6"/>
  <c r="C105" i="3"/>
  <c r="L104" i="3"/>
  <c r="K104" i="3"/>
  <c r="J104" i="3"/>
  <c r="I104" i="3"/>
  <c r="H104" i="3"/>
  <c r="G104" i="3"/>
  <c r="F104" i="3"/>
  <c r="E104" i="3"/>
  <c r="D104" i="3"/>
  <c r="C104" i="3"/>
  <c r="L103" i="3"/>
  <c r="K103" i="3"/>
  <c r="J103" i="3"/>
  <c r="I103" i="3"/>
  <c r="H103" i="3"/>
  <c r="G103" i="3"/>
  <c r="F103" i="3"/>
  <c r="E103" i="3"/>
  <c r="D103" i="3"/>
  <c r="C103" i="3"/>
  <c r="L102" i="3"/>
  <c r="K102" i="3"/>
  <c r="J102" i="3"/>
  <c r="I102" i="3"/>
  <c r="H102" i="3"/>
  <c r="G102" i="3"/>
  <c r="F102" i="3"/>
  <c r="E102" i="3"/>
  <c r="D102" i="3"/>
  <c r="C102" i="3"/>
  <c r="L101" i="3"/>
  <c r="K101" i="3"/>
  <c r="J101" i="3"/>
  <c r="I101" i="3"/>
  <c r="H101" i="3"/>
  <c r="G101" i="3"/>
  <c r="F101" i="3"/>
  <c r="E101" i="3"/>
  <c r="D101" i="3"/>
  <c r="C101" i="3"/>
  <c r="L100" i="3"/>
  <c r="K100" i="3"/>
  <c r="J100" i="3"/>
  <c r="I100" i="3"/>
  <c r="H100" i="3"/>
  <c r="G100" i="3"/>
  <c r="F100" i="3"/>
  <c r="E100" i="3"/>
  <c r="D100" i="3"/>
  <c r="D105" i="3" s="1"/>
  <c r="C100" i="3"/>
  <c r="L99" i="3"/>
  <c r="K99" i="3"/>
  <c r="J99" i="3"/>
  <c r="I99" i="3"/>
  <c r="H99" i="3"/>
  <c r="G99" i="3"/>
  <c r="F99" i="3"/>
  <c r="E99" i="3"/>
  <c r="E105" i="3" s="1"/>
  <c r="D99" i="3"/>
  <c r="C99" i="3"/>
  <c r="L98" i="3"/>
  <c r="K98" i="3"/>
  <c r="J98" i="3"/>
  <c r="I98" i="3"/>
  <c r="H98" i="3"/>
  <c r="G98" i="3"/>
  <c r="F98" i="3"/>
  <c r="E98" i="3"/>
  <c r="D98" i="3"/>
  <c r="C98" i="3"/>
  <c r="L97" i="3"/>
  <c r="L105" i="3" s="1"/>
  <c r="K97" i="3"/>
  <c r="J97" i="3"/>
  <c r="I97" i="3"/>
  <c r="H97" i="3"/>
  <c r="G97" i="3"/>
  <c r="F97" i="3"/>
  <c r="E97" i="3"/>
  <c r="D97" i="3"/>
  <c r="C97" i="3"/>
  <c r="L96" i="3"/>
  <c r="K96" i="3"/>
  <c r="K105" i="3" s="1"/>
  <c r="J96" i="3"/>
  <c r="J105" i="3" s="1"/>
  <c r="I96" i="3"/>
  <c r="I105" i="3" s="1"/>
  <c r="H96" i="3"/>
  <c r="H105" i="3" s="1"/>
  <c r="G96" i="3"/>
  <c r="G105" i="3" s="1"/>
  <c r="F96" i="3"/>
  <c r="F105" i="3" s="1"/>
  <c r="E96" i="3"/>
  <c r="D96" i="3"/>
  <c r="C96" i="3"/>
  <c r="L92" i="3"/>
  <c r="K92" i="3"/>
  <c r="J92" i="3"/>
  <c r="I92" i="3"/>
  <c r="H92" i="3"/>
  <c r="G92" i="3"/>
  <c r="F92" i="3"/>
  <c r="E92" i="3"/>
  <c r="D92" i="3"/>
  <c r="C92" i="3"/>
  <c r="L91" i="3"/>
  <c r="K91" i="3"/>
  <c r="J91" i="3"/>
  <c r="I91" i="3"/>
  <c r="H91" i="3"/>
  <c r="G91" i="3"/>
  <c r="F91" i="3"/>
  <c r="E91" i="3"/>
  <c r="D91" i="3"/>
  <c r="C91" i="3"/>
  <c r="L90" i="3"/>
  <c r="K90" i="3"/>
  <c r="J90" i="3"/>
  <c r="I90" i="3"/>
  <c r="H90" i="3"/>
  <c r="G90" i="3"/>
  <c r="F90" i="3"/>
  <c r="E90" i="3"/>
  <c r="D90" i="3"/>
  <c r="C90" i="3"/>
  <c r="L89" i="3"/>
  <c r="K89" i="3"/>
  <c r="J89" i="3"/>
  <c r="I89" i="3"/>
  <c r="H89" i="3"/>
  <c r="G89" i="3"/>
  <c r="F89" i="3"/>
  <c r="E89" i="3"/>
  <c r="D89" i="3"/>
  <c r="C89" i="3"/>
  <c r="L88" i="3"/>
  <c r="K88" i="3"/>
  <c r="J88" i="3"/>
  <c r="I88" i="3"/>
  <c r="H88" i="3"/>
  <c r="G88" i="3"/>
  <c r="F88" i="3"/>
  <c r="E88" i="3"/>
  <c r="D88" i="3"/>
  <c r="C88" i="3"/>
  <c r="L87" i="3"/>
  <c r="K87" i="3"/>
  <c r="J87" i="3"/>
  <c r="I87" i="3"/>
  <c r="H87" i="3"/>
  <c r="G87" i="3"/>
  <c r="F87" i="3"/>
  <c r="E87" i="3"/>
  <c r="D87" i="3"/>
  <c r="C87" i="3"/>
  <c r="L86" i="3"/>
  <c r="K86" i="3"/>
  <c r="J86" i="3"/>
  <c r="I86" i="3"/>
  <c r="H86" i="3"/>
  <c r="G86" i="3"/>
  <c r="F86" i="3"/>
  <c r="E86" i="3"/>
  <c r="D86" i="3"/>
  <c r="C86" i="3"/>
  <c r="L85" i="3"/>
  <c r="K85" i="3"/>
  <c r="J85" i="3"/>
  <c r="I85" i="3"/>
  <c r="H85" i="3"/>
  <c r="G85" i="3"/>
  <c r="F85" i="3"/>
  <c r="E85" i="3"/>
  <c r="D85" i="3"/>
  <c r="C85" i="3"/>
  <c r="L84" i="3"/>
  <c r="K84" i="3"/>
  <c r="J84" i="3"/>
  <c r="I84" i="3"/>
  <c r="H84" i="3"/>
  <c r="G84" i="3"/>
  <c r="F84" i="3"/>
  <c r="E84" i="3"/>
  <c r="D84" i="3"/>
  <c r="C84" i="3"/>
  <c r="L83" i="3"/>
  <c r="K83" i="3"/>
  <c r="J83" i="3"/>
  <c r="I83" i="3"/>
  <c r="H83" i="3"/>
  <c r="G83" i="3"/>
  <c r="F83" i="3"/>
  <c r="E83" i="3"/>
  <c r="D83" i="3"/>
  <c r="C83" i="3"/>
  <c r="L82" i="3"/>
  <c r="K82" i="3"/>
  <c r="J82" i="3"/>
  <c r="I82" i="3"/>
  <c r="H82" i="3"/>
  <c r="G82" i="3"/>
  <c r="F82" i="3"/>
  <c r="E82" i="3"/>
  <c r="D82" i="3"/>
  <c r="C82" i="3"/>
  <c r="L81" i="3"/>
  <c r="L93" i="3" s="1"/>
  <c r="K81" i="3"/>
  <c r="K93" i="3" s="1"/>
  <c r="J81" i="3"/>
  <c r="J93" i="3" s="1"/>
  <c r="I81" i="3"/>
  <c r="I93" i="3" s="1"/>
  <c r="H81" i="3"/>
  <c r="H93" i="3" s="1"/>
  <c r="G81" i="3"/>
  <c r="G93" i="3" s="1"/>
  <c r="F81" i="3"/>
  <c r="F93" i="3" s="1"/>
  <c r="E81" i="3"/>
  <c r="E93" i="3" s="1"/>
  <c r="D81" i="3"/>
  <c r="D93" i="3" s="1"/>
  <c r="C81" i="3"/>
  <c r="C93" i="3" s="1"/>
  <c r="L77" i="3"/>
  <c r="K77" i="3"/>
  <c r="J77" i="3"/>
  <c r="I77" i="3"/>
  <c r="H77" i="3"/>
  <c r="G77" i="3"/>
  <c r="F77" i="3"/>
  <c r="E77" i="3"/>
  <c r="D77" i="3"/>
  <c r="C77" i="3"/>
  <c r="L76" i="3"/>
  <c r="K76" i="3"/>
  <c r="J76" i="3"/>
  <c r="I76" i="3"/>
  <c r="H76" i="3"/>
  <c r="G76" i="3"/>
  <c r="F76" i="3"/>
  <c r="E76" i="3"/>
  <c r="D76" i="3"/>
  <c r="C76" i="3"/>
  <c r="L75" i="3"/>
  <c r="K75" i="3"/>
  <c r="J75" i="3"/>
  <c r="I75" i="3"/>
  <c r="H75" i="3"/>
  <c r="G75" i="3"/>
  <c r="F75" i="3"/>
  <c r="E75" i="3"/>
  <c r="D75" i="3"/>
  <c r="C75" i="3"/>
  <c r="L74" i="3"/>
  <c r="K74" i="3"/>
  <c r="J74" i="3"/>
  <c r="I74" i="3"/>
  <c r="H74" i="3"/>
  <c r="G74" i="3"/>
  <c r="F74" i="3"/>
  <c r="E74" i="3"/>
  <c r="D74" i="3"/>
  <c r="C74" i="3"/>
  <c r="L73" i="3"/>
  <c r="K73" i="3"/>
  <c r="J73" i="3"/>
  <c r="I73" i="3"/>
  <c r="H73" i="3"/>
  <c r="G73" i="3"/>
  <c r="F73" i="3"/>
  <c r="E73" i="3"/>
  <c r="D73" i="3"/>
  <c r="C73" i="3"/>
  <c r="L72" i="3"/>
  <c r="K72" i="3"/>
  <c r="J72" i="3"/>
  <c r="I72" i="3"/>
  <c r="H72" i="3"/>
  <c r="H78" i="3" s="1"/>
  <c r="H107" i="3" s="1"/>
  <c r="G72" i="3"/>
  <c r="G78" i="3" s="1"/>
  <c r="G107" i="3" s="1"/>
  <c r="F72" i="3"/>
  <c r="F78" i="3" s="1"/>
  <c r="F107" i="3" s="1"/>
  <c r="E72" i="3"/>
  <c r="E78" i="3" s="1"/>
  <c r="D72" i="3"/>
  <c r="D78" i="3" s="1"/>
  <c r="D107" i="3" s="1"/>
  <c r="C72" i="3"/>
  <c r="L71" i="3"/>
  <c r="K71" i="3"/>
  <c r="J71" i="3"/>
  <c r="I71" i="3"/>
  <c r="H71" i="3"/>
  <c r="G71" i="3"/>
  <c r="F71" i="3"/>
  <c r="E71" i="3"/>
  <c r="D71" i="3"/>
  <c r="C71" i="3"/>
  <c r="C78" i="3" s="1"/>
  <c r="L70" i="3"/>
  <c r="L78" i="3" s="1"/>
  <c r="K70" i="3"/>
  <c r="K78" i="3" s="1"/>
  <c r="J70" i="3"/>
  <c r="J78" i="3" s="1"/>
  <c r="I70" i="3"/>
  <c r="I78" i="3" s="1"/>
  <c r="I107" i="3" s="1"/>
  <c r="H70" i="3"/>
  <c r="G70" i="3"/>
  <c r="F70" i="3"/>
  <c r="E70" i="3"/>
  <c r="D70" i="3"/>
  <c r="C70" i="3"/>
  <c r="E57" i="3"/>
  <c r="L56" i="3"/>
  <c r="K56" i="3"/>
  <c r="J56" i="3"/>
  <c r="I56" i="3"/>
  <c r="H56" i="3"/>
  <c r="G56" i="3"/>
  <c r="F56" i="3"/>
  <c r="E56" i="3"/>
  <c r="D56" i="3"/>
  <c r="C56" i="3"/>
  <c r="D62" i="3"/>
  <c r="C62" i="3"/>
  <c r="L61" i="3"/>
  <c r="K61" i="3"/>
  <c r="J61" i="3"/>
  <c r="I61" i="3"/>
  <c r="H61" i="3"/>
  <c r="G61" i="3"/>
  <c r="F61" i="3"/>
  <c r="E61" i="3"/>
  <c r="D61" i="3"/>
  <c r="L60" i="3"/>
  <c r="L62" i="3" s="1"/>
  <c r="K60" i="3"/>
  <c r="K62" i="3" s="1"/>
  <c r="K64" i="3" s="1"/>
  <c r="K66" i="3" s="1"/>
  <c r="J60" i="3"/>
  <c r="I60" i="3"/>
  <c r="H60" i="3"/>
  <c r="G60" i="3"/>
  <c r="F60" i="3"/>
  <c r="E60" i="3"/>
  <c r="D60" i="3"/>
  <c r="L59" i="3"/>
  <c r="K59" i="3"/>
  <c r="J59" i="3"/>
  <c r="J62" i="3" s="1"/>
  <c r="I59" i="3"/>
  <c r="I62" i="3" s="1"/>
  <c r="H59" i="3"/>
  <c r="H62" i="3" s="1"/>
  <c r="G59" i="3"/>
  <c r="G62" i="3" s="1"/>
  <c r="F59" i="3"/>
  <c r="F62" i="3" s="1"/>
  <c r="E59" i="3"/>
  <c r="E62" i="3" s="1"/>
  <c r="E64" i="3" s="1"/>
  <c r="E66" i="3" s="1"/>
  <c r="D59" i="3"/>
  <c r="C61" i="3"/>
  <c r="C60" i="3"/>
  <c r="C59" i="3"/>
  <c r="L55" i="3"/>
  <c r="K55" i="3"/>
  <c r="J55" i="3"/>
  <c r="J57" i="3" s="1"/>
  <c r="I55" i="3"/>
  <c r="I57" i="3" s="1"/>
  <c r="H55" i="3"/>
  <c r="H57" i="3" s="1"/>
  <c r="G55" i="3"/>
  <c r="G57" i="3" s="1"/>
  <c r="F55" i="3"/>
  <c r="F57" i="3" s="1"/>
  <c r="E55" i="3"/>
  <c r="D55" i="3"/>
  <c r="C55" i="3"/>
  <c r="L54" i="3"/>
  <c r="K54" i="3"/>
  <c r="J54" i="3"/>
  <c r="I54" i="3"/>
  <c r="H54" i="3"/>
  <c r="G54" i="3"/>
  <c r="F54" i="3"/>
  <c r="E54" i="3"/>
  <c r="D54" i="3"/>
  <c r="D57" i="3" s="1"/>
  <c r="C54" i="3"/>
  <c r="L53" i="3"/>
  <c r="L57" i="3" s="1"/>
  <c r="K53" i="3"/>
  <c r="K57" i="3" s="1"/>
  <c r="J53" i="3"/>
  <c r="I53" i="3"/>
  <c r="H53" i="3"/>
  <c r="G53" i="3"/>
  <c r="F53" i="3"/>
  <c r="E53" i="3"/>
  <c r="D53" i="3"/>
  <c r="C53" i="3"/>
  <c r="C57" i="3" s="1"/>
  <c r="C64" i="3" s="1"/>
  <c r="C66" i="3" s="1"/>
  <c r="L51" i="3"/>
  <c r="K51" i="3"/>
  <c r="J51" i="3"/>
  <c r="I51" i="3"/>
  <c r="H51" i="3"/>
  <c r="G51" i="3"/>
  <c r="F51" i="3"/>
  <c r="E51" i="3"/>
  <c r="D51" i="3"/>
  <c r="L50" i="3"/>
  <c r="K50" i="3"/>
  <c r="J50" i="3"/>
  <c r="I50" i="3"/>
  <c r="H50" i="3"/>
  <c r="G50" i="3"/>
  <c r="F50" i="3"/>
  <c r="E50" i="3"/>
  <c r="D50" i="3"/>
  <c r="L49" i="3"/>
  <c r="K49" i="3"/>
  <c r="J49" i="3"/>
  <c r="I49" i="3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C51" i="3"/>
  <c r="C50" i="3"/>
  <c r="C49" i="3"/>
  <c r="C48" i="3"/>
  <c r="C47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M18" i="3" s="1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K32" i="2"/>
  <c r="J32" i="2"/>
  <c r="I32" i="2"/>
  <c r="H32" i="2"/>
  <c r="G32" i="2"/>
  <c r="F32" i="2"/>
  <c r="E32" i="2"/>
  <c r="D32" i="2"/>
  <c r="C32" i="2"/>
  <c r="B32" i="2"/>
  <c r="K15" i="2"/>
  <c r="B15" i="2"/>
  <c r="B6" i="2"/>
  <c r="E1" i="2"/>
  <c r="J41" i="9" l="1"/>
  <c r="E32" i="9"/>
  <c r="J38" i="9" s="1"/>
  <c r="E35" i="9"/>
  <c r="J31" i="9" s="1"/>
  <c r="J30" i="9"/>
  <c r="J16" i="9"/>
  <c r="J9" i="8"/>
  <c r="J12" i="8"/>
  <c r="I15" i="8"/>
  <c r="I16" i="8"/>
  <c r="J16" i="8" s="1"/>
  <c r="I17" i="8"/>
  <c r="J17" i="8" s="1"/>
  <c r="I18" i="8"/>
  <c r="J18" i="8" s="1"/>
  <c r="I14" i="8"/>
  <c r="J14" i="8" s="1"/>
  <c r="J7" i="8"/>
  <c r="B18" i="8"/>
  <c r="J107" i="3"/>
  <c r="K107" i="3"/>
  <c r="L107" i="3"/>
  <c r="F64" i="3"/>
  <c r="F66" i="3" s="1"/>
  <c r="C107" i="3"/>
  <c r="E107" i="3"/>
  <c r="G64" i="3"/>
  <c r="G66" i="3" s="1"/>
  <c r="L64" i="3"/>
  <c r="L66" i="3" s="1"/>
  <c r="H64" i="3"/>
  <c r="H66" i="3" s="1"/>
  <c r="D64" i="3"/>
  <c r="D66" i="3" s="1"/>
  <c r="I64" i="3"/>
  <c r="I66" i="3" s="1"/>
  <c r="J64" i="3"/>
  <c r="J66" i="3" s="1"/>
  <c r="L41" i="3"/>
  <c r="F10" i="3"/>
  <c r="K12" i="3"/>
  <c r="K13" i="3" s="1"/>
  <c r="D10" i="3"/>
  <c r="M25" i="3"/>
  <c r="C12" i="3"/>
  <c r="C18" i="3" s="1"/>
  <c r="C19" i="3" s="1"/>
  <c r="C12" i="6" s="1"/>
  <c r="J12" i="3"/>
  <c r="J13" i="3" s="1"/>
  <c r="C16" i="3"/>
  <c r="C22" i="3"/>
  <c r="K22" i="3"/>
  <c r="M27" i="3"/>
  <c r="K7" i="3"/>
  <c r="G16" i="3"/>
  <c r="E22" i="3"/>
  <c r="M22" i="3"/>
  <c r="F25" i="3"/>
  <c r="G7" i="3"/>
  <c r="L10" i="3"/>
  <c r="H16" i="3"/>
  <c r="G25" i="3"/>
  <c r="I7" i="3"/>
  <c r="J18" i="3"/>
  <c r="G12" i="3"/>
  <c r="G22" i="3"/>
  <c r="H22" i="3"/>
  <c r="E16" i="3"/>
  <c r="F22" i="3"/>
  <c r="F16" i="3"/>
  <c r="L25" i="3"/>
  <c r="I10" i="3"/>
  <c r="J16" i="3"/>
  <c r="E10" i="3"/>
  <c r="I16" i="3"/>
  <c r="I22" i="3"/>
  <c r="F12" i="3"/>
  <c r="H10" i="3"/>
  <c r="M19" i="3"/>
  <c r="J10" i="3"/>
  <c r="K16" i="3"/>
  <c r="J22" i="3"/>
  <c r="J7" i="3"/>
  <c r="J25" i="3"/>
  <c r="D25" i="3"/>
  <c r="H25" i="3"/>
  <c r="D16" i="3"/>
  <c r="L16" i="3"/>
  <c r="C25" i="3"/>
  <c r="K25" i="3"/>
  <c r="L12" i="3"/>
  <c r="E12" i="3"/>
  <c r="D22" i="3"/>
  <c r="L22" i="3"/>
  <c r="D12" i="3"/>
  <c r="E25" i="3"/>
  <c r="D7" i="3"/>
  <c r="L7" i="3"/>
  <c r="G10" i="3"/>
  <c r="M10" i="3"/>
  <c r="E7" i="3"/>
  <c r="M7" i="3"/>
  <c r="F7" i="3"/>
  <c r="H12" i="3"/>
  <c r="I25" i="3"/>
  <c r="H7" i="3"/>
  <c r="C10" i="3"/>
  <c r="K10" i="3"/>
  <c r="I12" i="3"/>
  <c r="M12" i="3"/>
  <c r="M13" i="3" s="1"/>
  <c r="J33" i="9" l="1"/>
  <c r="J24" i="9" s="1"/>
  <c r="J25" i="9" s="1"/>
  <c r="J37" i="9" s="1"/>
  <c r="J43" i="9" s="1"/>
  <c r="J15" i="8"/>
  <c r="C13" i="3"/>
  <c r="C27" i="3"/>
  <c r="C28" i="3" s="1"/>
  <c r="C14" i="6" s="1"/>
  <c r="K18" i="3"/>
  <c r="K19" i="3" s="1"/>
  <c r="C31" i="3"/>
  <c r="E18" i="3"/>
  <c r="E13" i="3"/>
  <c r="G18" i="3"/>
  <c r="G13" i="3"/>
  <c r="F18" i="3"/>
  <c r="F13" i="3"/>
  <c r="L18" i="3"/>
  <c r="L13" i="3"/>
  <c r="H18" i="3"/>
  <c r="H13" i="3"/>
  <c r="J19" i="3"/>
  <c r="J27" i="3"/>
  <c r="M31" i="3"/>
  <c r="M33" i="3"/>
  <c r="M28" i="3"/>
  <c r="I18" i="3"/>
  <c r="I13" i="3"/>
  <c r="D18" i="3"/>
  <c r="D13" i="3"/>
  <c r="C33" i="3" l="1"/>
  <c r="C38" i="3" s="1"/>
  <c r="K27" i="3"/>
  <c r="K33" i="3" s="1"/>
  <c r="G19" i="3"/>
  <c r="G27" i="3"/>
  <c r="F19" i="3"/>
  <c r="F27" i="3"/>
  <c r="I19" i="3"/>
  <c r="I27" i="3"/>
  <c r="J33" i="3"/>
  <c r="J28" i="3"/>
  <c r="J31" i="3"/>
  <c r="D19" i="3"/>
  <c r="D27" i="3"/>
  <c r="H19" i="3"/>
  <c r="H27" i="3"/>
  <c r="E19" i="3"/>
  <c r="E27" i="3"/>
  <c r="L19" i="3"/>
  <c r="L27" i="3"/>
  <c r="M34" i="3"/>
  <c r="M38" i="3"/>
  <c r="K28" i="3" l="1"/>
  <c r="C34" i="3"/>
  <c r="C15" i="6" s="1"/>
  <c r="K31" i="3"/>
  <c r="M44" i="3"/>
  <c r="M42" i="3"/>
  <c r="C42" i="3"/>
  <c r="C44" i="3" s="1"/>
  <c r="L31" i="3"/>
  <c r="L33" i="3"/>
  <c r="L28" i="3"/>
  <c r="K34" i="3"/>
  <c r="K38" i="3"/>
  <c r="E31" i="3"/>
  <c r="E33" i="3"/>
  <c r="E28" i="3"/>
  <c r="J38" i="3"/>
  <c r="J34" i="3"/>
  <c r="D31" i="3"/>
  <c r="D33" i="3"/>
  <c r="D28" i="3"/>
  <c r="F28" i="3"/>
  <c r="F33" i="3"/>
  <c r="F31" i="3"/>
  <c r="H28" i="3"/>
  <c r="H31" i="3"/>
  <c r="H33" i="3"/>
  <c r="G33" i="3"/>
  <c r="G28" i="3"/>
  <c r="G31" i="3"/>
  <c r="I33" i="3"/>
  <c r="I28" i="3"/>
  <c r="I31" i="3"/>
  <c r="J44" i="3" l="1"/>
  <c r="J42" i="3"/>
  <c r="K39" i="3"/>
  <c r="K44" i="3"/>
  <c r="K42" i="3"/>
  <c r="F34" i="3"/>
  <c r="F38" i="3"/>
  <c r="I38" i="3"/>
  <c r="J39" i="3" s="1"/>
  <c r="I34" i="3"/>
  <c r="D38" i="3"/>
  <c r="D34" i="3"/>
  <c r="H34" i="3"/>
  <c r="H38" i="3"/>
  <c r="E34" i="3"/>
  <c r="E38" i="3"/>
  <c r="G34" i="3"/>
  <c r="G38" i="3"/>
  <c r="L38" i="3"/>
  <c r="L34" i="3"/>
  <c r="E39" i="3" l="1"/>
  <c r="E42" i="3"/>
  <c r="E44" i="3" s="1"/>
  <c r="H39" i="3"/>
  <c r="H42" i="3"/>
  <c r="H44" i="3" s="1"/>
  <c r="G39" i="3"/>
  <c r="G42" i="3"/>
  <c r="G44" i="3" s="1"/>
  <c r="I44" i="3"/>
  <c r="I39" i="3"/>
  <c r="I42" i="3"/>
  <c r="F39" i="3"/>
  <c r="F42" i="3"/>
  <c r="F44" i="3" s="1"/>
  <c r="L39" i="3"/>
  <c r="L44" i="3"/>
  <c r="L42" i="3"/>
  <c r="M39" i="3"/>
  <c r="D39" i="3"/>
  <c r="D42" i="3"/>
  <c r="D44" i="3" s="1"/>
</calcChain>
</file>

<file path=xl/sharedStrings.xml><?xml version="1.0" encoding="utf-8"?>
<sst xmlns="http://schemas.openxmlformats.org/spreadsheetml/2006/main" count="607" uniqueCount="327">
  <si>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</si>
  <si>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</si>
  <si>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</si>
  <si>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</si>
  <si>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</si>
  <si>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</si>
  <si>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</si>
  <si>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</si>
  <si>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</si>
  <si>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</si>
  <si>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</si>
  <si>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</si>
  <si>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</si>
  <si>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</si>
  <si>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</si>
  <si>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</si>
  <si>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</si>
  <si>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</si>
  <si>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</si>
  <si>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</si>
  <si>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</si>
  <si>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</si>
  <si>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</si>
  <si>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</si>
  <si>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</si>
  <si>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</si>
  <si>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</si>
  <si>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</si>
  <si>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</si>
  <si>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</si>
  <si>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</si>
  <si>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</si>
  <si>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</si>
  <si>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</si>
  <si>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</si>
  <si>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</si>
  <si>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</si>
  <si>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</si>
  <si>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</si>
  <si>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</si>
  <si>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</si>
  <si>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</si>
  <si>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</si>
  <si>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</si>
  <si>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</si>
  <si>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</si>
  <si>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</si>
  <si>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</si>
  <si>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</si>
  <si>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</si>
  <si>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</si>
  <si>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</si>
  <si>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</si>
  <si>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</si>
  <si>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</si>
  <si>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</si>
  <si>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</si>
  <si>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</si>
  <si>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</si>
  <si>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</si>
  <si>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</si>
  <si>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</si>
  <si>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</si>
  <si>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</si>
  <si>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</si>
  <si>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</si>
  <si>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</si>
  <si>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</si>
  <si>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</si>
  <si>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</si>
  <si>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</si>
  <si>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</si>
  <si>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</si>
  <si>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</si>
  <si>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</si>
  <si>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</si>
  <si>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</si>
  <si>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</si>
  <si>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</si>
  <si>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</si>
  <si>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</si>
  <si>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</si>
  <si>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</si>
  <si>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</si>
  <si>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</si>
  <si>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</si>
  <si>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</si>
  <si>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</si>
  <si>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</si>
  <si>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</si>
  <si>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</si>
  <si>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</si>
  <si>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</si>
  <si>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</si>
  <si>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</si>
  <si>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</si>
  <si>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</si>
  <si>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</si>
  <si>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</si>
  <si>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</si>
  <si>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</si>
  <si>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</si>
  <si>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</si>
  <si>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</si>
  <si>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</si>
  <si>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</si>
  <si>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</si>
  <si>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</si>
  <si>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</si>
  <si>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</si>
  <si>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Proceeds from deposits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</si>
  <si>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</si>
  <si>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</si>
  <si>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</si>
  <si>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</si>
  <si>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</si>
  <si>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</si>
  <si>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</si>
  <si>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</si>
  <si>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</si>
  <si>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</si>
  <si>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</si>
  <si>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</si>
  <si>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</si>
  <si>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</si>
  <si>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EBITDA Growth</t>
  </si>
  <si>
    <t>EBIT Growth</t>
  </si>
  <si>
    <t>Net Profit Growth</t>
  </si>
  <si>
    <t>Dividend Growth</t>
  </si>
  <si>
    <t>Gross Margin</t>
  </si>
  <si>
    <t>EBIDTA Margin</t>
  </si>
  <si>
    <t>EBIT Margin</t>
  </si>
  <si>
    <t>EBT Margin</t>
  </si>
  <si>
    <t>Net Profit Margin</t>
  </si>
  <si>
    <t>Sales Expenses%Sales</t>
  </si>
  <si>
    <t>OperatingIncome%Sales</t>
  </si>
  <si>
    <t>Return on Capital Employed</t>
  </si>
  <si>
    <t>Interest Coverage Ratio</t>
  </si>
  <si>
    <t>Retained Earnings%</t>
  </si>
  <si>
    <t>Return on Equity%</t>
  </si>
  <si>
    <t>Self Sustained Growth Rate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</si>
  <si>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</si>
  <si>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</si>
  <si>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</si>
  <si>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</si>
  <si>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</si>
  <si>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</si>
  <si>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 xml:space="preserve"> Payable Days</t>
  </si>
  <si>
    <t>Inventory Days</t>
  </si>
  <si>
    <t>Cash Conversion Cycle</t>
  </si>
  <si>
    <t>CFO/Sales</t>
  </si>
  <si>
    <t>CFO/Total Sales</t>
  </si>
  <si>
    <t>CFO/Total Debt</t>
  </si>
  <si>
    <t>CFO = Cash Flow from operations</t>
  </si>
  <si>
    <t>Mean</t>
  </si>
  <si>
    <t>Median</t>
  </si>
  <si>
    <t>Trend</t>
  </si>
  <si>
    <t>Year Weight</t>
  </si>
  <si>
    <t>Year</t>
  </si>
  <si>
    <t>Weighted Average Cost of Capital</t>
  </si>
  <si>
    <t>All figures are in INR unless stated otherwise</t>
  </si>
  <si>
    <t>Peer Comps</t>
  </si>
  <si>
    <t>Name of the Company</t>
  </si>
  <si>
    <t>Country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</si>
  <si>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</si>
  <si>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</si>
  <si>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</si>
  <si>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Equity</t>
  </si>
  <si>
    <t>Debt/</t>
  </si>
  <si>
    <t>Capital</t>
  </si>
  <si>
    <t>Levered</t>
  </si>
  <si>
    <t>Unlevered</t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</si>
  <si>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</si>
  <si>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</si>
  <si>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t>India</t>
  </si>
  <si>
    <t>Average</t>
  </si>
  <si>
    <t>Cost of Debt</t>
  </si>
  <si>
    <t>Pre-tax Cost of Debt</t>
  </si>
  <si>
    <t>Tax Rate</t>
  </si>
  <si>
    <t>Post Tax Cost of Debt</t>
  </si>
  <si>
    <t>Cost of Equity</t>
  </si>
  <si>
    <t>Risk Free Rate</t>
  </si>
  <si>
    <t>Equity Risk Premium</t>
  </si>
  <si>
    <t>Capital Structure</t>
  </si>
  <si>
    <t xml:space="preserve">Current </t>
  </si>
  <si>
    <t>Target</t>
  </si>
  <si>
    <t>Total Capital</t>
  </si>
  <si>
    <t>Levered Beta</t>
  </si>
  <si>
    <t>Comps Median Unlevered Beta</t>
  </si>
  <si>
    <t>Target Debt/ Equity</t>
  </si>
  <si>
    <t>Debt/Equity</t>
  </si>
  <si>
    <t>1. Tax Rate considered as Marginal Tax Rate for the country</t>
  </si>
  <si>
    <t>2. Levered Beta is based on 5 year monthly data</t>
  </si>
  <si>
    <t>3. Unlevered Beta = Levered Beta/(1+(1-Tax Rate) x Debt/Equity)</t>
  </si>
  <si>
    <t>4. Levered Beta = Unlevered Beta*(1+(1-Tax Rate) x Debt/Equity)</t>
  </si>
  <si>
    <t>Date</t>
  </si>
  <si>
    <t>Closing Price</t>
  </si>
  <si>
    <t>Avenue Supermart Weekly Returns</t>
  </si>
  <si>
    <t>Returns</t>
  </si>
  <si>
    <t>Nifty Returns</t>
  </si>
  <si>
    <t>Beta 1</t>
  </si>
  <si>
    <t>Beta 2</t>
  </si>
  <si>
    <t>Beta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</si>
  <si>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</si>
  <si>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</si>
  <si>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</si>
  <si>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</si>
  <si>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</si>
  <si>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</si>
  <si>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</si>
  <si>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</si>
  <si>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</si>
  <si>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</si>
  <si>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</si>
  <si>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</si>
  <si>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</si>
  <si>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</si>
  <si>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</si>
  <si>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</si>
  <si>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</si>
  <si>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</si>
  <si>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</si>
  <si>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</si>
  <si>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</si>
  <si>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</si>
  <si>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</si>
  <si>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</si>
  <si>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Drifting</t>
  </si>
  <si>
    <t>Levered Raw Beta</t>
  </si>
  <si>
    <t>Raw Beta Weight</t>
  </si>
  <si>
    <t xml:space="preserve">Market Beta </t>
  </si>
  <si>
    <t>Market Beta Weight</t>
  </si>
  <si>
    <t>Adjusted Beta</t>
  </si>
  <si>
    <t>Regression Beta - 2Y Weekly</t>
  </si>
  <si>
    <t>Avenue Super.</t>
  </si>
  <si>
    <t>Trent</t>
  </si>
  <si>
    <t>Vedant Fashions</t>
  </si>
  <si>
    <t>Aditya Bir. Fas.</t>
  </si>
  <si>
    <t>Metro Brands</t>
  </si>
  <si>
    <t>Medplus Health</t>
  </si>
  <si>
    <t>S.No.</t>
  </si>
  <si>
    <t>Name</t>
  </si>
  <si>
    <t>Debt / Eq</t>
  </si>
  <si>
    <t>CMP Rs.</t>
  </si>
  <si>
    <t xml:space="preserve">Mar Cap Rs.Cr. </t>
  </si>
  <si>
    <t>Debt Rs.Cr.</t>
  </si>
  <si>
    <t>Annual</t>
  </si>
  <si>
    <t>Return on Markets</t>
  </si>
  <si>
    <t>Average Returns</t>
  </si>
  <si>
    <t>Dividend Yield</t>
  </si>
  <si>
    <r>
      <t xml:space="preserve">1.35% </t>
    </r>
    <r>
      <rPr>
        <vertAlign val="superscript"/>
        <sz val="11"/>
        <color theme="1"/>
        <rFont val="Calibri"/>
        <family val="2"/>
      </rPr>
      <t>1</t>
    </r>
  </si>
  <si>
    <t>Total Market Return</t>
  </si>
  <si>
    <r>
      <t xml:space="preserve">Levered Beta </t>
    </r>
    <r>
      <rPr>
        <vertAlign val="superscript"/>
        <sz val="11"/>
        <color rgb="FF000000"/>
        <rFont val="Calibri"/>
        <family val="2"/>
      </rPr>
      <t>4</t>
    </r>
  </si>
  <si>
    <t>Equity Weight</t>
  </si>
  <si>
    <t>Debt Weight</t>
  </si>
  <si>
    <t>WACC</t>
  </si>
  <si>
    <t>Particulars</t>
  </si>
  <si>
    <t xml:space="preserve">Other 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</si>
  <si>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</si>
  <si>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</si>
  <si>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</si>
  <si>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</si>
  <si>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</si>
  <si>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</si>
  <si>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</si>
  <si>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</si>
  <si>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</si>
  <si>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</si>
  <si>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</si>
  <si>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</si>
  <si>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</si>
  <si>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</si>
  <si>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</si>
  <si>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</si>
  <si>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</si>
  <si>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</si>
  <si>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</si>
  <si>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</si>
  <si>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</si>
  <si>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</si>
  <si>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</si>
  <si>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</si>
  <si>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</si>
  <si>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</si>
  <si>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</si>
  <si>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</si>
  <si>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</si>
  <si>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Calculation ROIC</t>
  </si>
  <si>
    <t>Current Assets</t>
  </si>
  <si>
    <t>Current Liabilities</t>
  </si>
  <si>
    <t>Total Current Liabilities</t>
  </si>
  <si>
    <t>Net Working Capital</t>
  </si>
  <si>
    <t>Non-Current Assets</t>
  </si>
  <si>
    <t>Net Non Current Assets</t>
  </si>
  <si>
    <t>Invested Capital</t>
  </si>
  <si>
    <t>EBIT</t>
  </si>
  <si>
    <t>ROIC</t>
  </si>
  <si>
    <t>Calculation of Reinvestment Rate</t>
  </si>
  <si>
    <t>Computers</t>
  </si>
  <si>
    <t>Net Capex</t>
  </si>
  <si>
    <t>Change in Working Capital</t>
  </si>
  <si>
    <t>Marginal Tax Rate</t>
  </si>
  <si>
    <t>Reinvestment</t>
  </si>
  <si>
    <t>EBIT(1-T)</t>
  </si>
  <si>
    <t>Reinvestment Rate</t>
  </si>
  <si>
    <t>Calculation of PV of FCFF</t>
  </si>
  <si>
    <t>EBIT (1-T)</t>
  </si>
  <si>
    <t>Less: Reinvestment Rate</t>
  </si>
  <si>
    <t>4 Year Average</t>
  </si>
  <si>
    <t>4 Year Median</t>
  </si>
  <si>
    <t>Free Cash Flow to Firm</t>
  </si>
  <si>
    <t>Discounting Factor</t>
  </si>
  <si>
    <t>PV of FCFF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</si>
  <si>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</si>
  <si>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</si>
  <si>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</si>
  <si>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</si>
  <si>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</si>
  <si>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</si>
  <si>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Calculation of Enterprise Value</t>
  </si>
  <si>
    <t>PV of Terminal Value</t>
  </si>
  <si>
    <t>Value of Operating Asset</t>
  </si>
  <si>
    <t>Add: Cash</t>
  </si>
  <si>
    <t>Less: Debt</t>
  </si>
  <si>
    <t>Value of Equity</t>
  </si>
  <si>
    <t>No. of Shares</t>
  </si>
  <si>
    <t>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</si>
</sst>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0.00&quot;x&quot;"/>
    <numFmt numFmtId="169" formatCode="0&quot; Days&quot;"/>
    <numFmt numFmtId="170" formatCode="0.0"/>
    <numFmt numFmtId="171" formatCode="yyyy&quot;A&quot;"/>
    <numFmt numFmtId="172" formatCode="yyyy&quot;E&quot;"/>
    <numFmt numFmtId="173" formatCode="#,##0.0"/>
    <numFmt numFmtId="174" formatCode="#,##0.0;\(#,##0.0\);\-"/>
  </numFmts>
  <fonts count="2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b/>
      <sz val="14"/>
      <color theme="1"/>
      <name val="calibri"/>
      <family val="2"/>
    </font>
    <font>
      <i/>
      <sz val="10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3333FF"/>
      <name val="Calibri"/>
      <family val="2"/>
    </font>
    <font>
      <sz val="11"/>
      <color rgb="FF000000"/>
      <name val="Calibri"/>
      <family val="2"/>
    </font>
    <font>
      <i/>
      <sz val="9"/>
      <color theme="1"/>
      <name val="Calibri"/>
      <family val="2"/>
    </font>
    <font>
      <vertAlign val="superscript"/>
      <sz val="11"/>
      <color rgb="FF000000"/>
      <name val="Calibri"/>
      <family val="2"/>
    </font>
    <font>
      <i/>
      <sz val="11"/>
      <color rgb="FF3333FF"/>
      <name val="Calibri"/>
      <family val="2"/>
    </font>
    <font>
      <b/>
      <sz val="11"/>
      <color rgb="FFFFFFFF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8D8D8"/>
        <bgColor indexed="64"/>
      </patternFill>
    </fill>
  </fills>
  <borders count="18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8" tint="-0.499984740745262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rgb="FF002060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158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17" fontId="0" fillId="0" borderId="0" xfId="0" applyNumberFormat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5" borderId="0" xfId="0" applyFont="1" applyFill="1"/>
    <xf numFmtId="0" fontId="0" fillId="5" borderId="0" xfId="0" applyFill="1"/>
    <xf numFmtId="166" fontId="3" fillId="0" borderId="0" xfId="0" applyNumberFormat="1" applyFont="1"/>
    <xf numFmtId="3" fontId="0" fillId="0" borderId="0" xfId="0" applyNumberFormat="1"/>
    <xf numFmtId="0" fontId="3" fillId="0" borderId="1" xfId="0" applyFont="1" applyBorder="1"/>
    <xf numFmtId="167" fontId="3" fillId="0" borderId="1" xfId="0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0" xfId="1" applyNumberFormat="1" applyFont="1" applyBorder="1"/>
    <xf numFmtId="0" fontId="0" fillId="0" borderId="3" xfId="0" applyBorder="1"/>
    <xf numFmtId="10" fontId="0" fillId="0" borderId="3" xfId="1" applyNumberFormat="1" applyFont="1" applyBorder="1"/>
    <xf numFmtId="168" fontId="0" fillId="0" borderId="3" xfId="0" applyNumberFormat="1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  <xf numFmtId="169" fontId="0" fillId="0" borderId="3" xfId="0" applyNumberFormat="1" applyBorder="1"/>
    <xf numFmtId="17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170" fontId="0" fillId="0" borderId="0" xfId="0" applyNumberFormat="1"/>
    <xf numFmtId="0" fontId="2" fillId="4" borderId="0" xfId="0" applyFont="1" applyFill="1" applyAlignment="1">
      <alignment horizontal="right"/>
    </xf>
    <xf numFmtId="171" fontId="8" fillId="6" borderId="0" xfId="5" applyNumberFormat="1" applyFont="1" applyFill="1" applyAlignment="1">
      <alignment horizontal="right"/>
    </xf>
    <xf numFmtId="172" fontId="8" fillId="6" borderId="0" xfId="5" applyNumberFormat="1" applyFont="1" applyFill="1" applyAlignment="1">
      <alignment horizontal="right"/>
    </xf>
    <xf numFmtId="0" fontId="0" fillId="7" borderId="0" xfId="0" applyFill="1" applyAlignment="1">
      <alignment horizontal="left"/>
    </xf>
    <xf numFmtId="172" fontId="8" fillId="7" borderId="0" xfId="5" applyNumberFormat="1" applyFont="1" applyFill="1" applyAlignment="1">
      <alignment horizontal="right"/>
    </xf>
    <xf numFmtId="170" fontId="0" fillId="7" borderId="0" xfId="0" applyNumberFormat="1" applyFill="1"/>
    <xf numFmtId="10" fontId="0" fillId="7" borderId="0" xfId="1" applyNumberFormat="1" applyFont="1" applyFill="1"/>
    <xf numFmtId="0" fontId="0" fillId="7" borderId="0" xfId="0" applyFill="1"/>
    <xf numFmtId="171" fontId="0" fillId="0" borderId="0" xfId="0" applyNumberFormat="1"/>
    <xf numFmtId="0" fontId="16" fillId="0" borderId="0" xfId="0" applyFont="1"/>
    <xf numFmtId="0" fontId="15" fillId="8" borderId="0" xfId="0" applyFont="1" applyFill="1"/>
    <xf numFmtId="0" fontId="0" fillId="8" borderId="0" xfId="0" applyFill="1"/>
    <xf numFmtId="0" fontId="0" fillId="0" borderId="4" xfId="0" applyBorder="1"/>
    <xf numFmtId="0" fontId="0" fillId="0" borderId="5" xfId="0" applyBorder="1"/>
    <xf numFmtId="10" fontId="0" fillId="9" borderId="0" xfId="1" applyNumberFormat="1" applyFont="1" applyFill="1"/>
    <xf numFmtId="2" fontId="0" fillId="9" borderId="0" xfId="0" applyNumberFormat="1" applyFill="1"/>
    <xf numFmtId="0" fontId="3" fillId="0" borderId="4" xfId="0" applyFont="1" applyBorder="1"/>
    <xf numFmtId="0" fontId="3" fillId="0" borderId="5" xfId="0" applyFont="1" applyBorder="1"/>
    <xf numFmtId="10" fontId="0" fillId="0" borderId="4" xfId="0" applyNumberFormat="1" applyBorder="1"/>
    <xf numFmtId="10" fontId="0" fillId="0" borderId="5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0" xfId="0" applyAlignment="1">
      <alignment wrapText="1"/>
    </xf>
    <xf numFmtId="10" fontId="0" fillId="0" borderId="0" xfId="0" applyNumberFormat="1" applyAlignment="1">
      <alignment horizontal="right" wrapText="1"/>
    </xf>
    <xf numFmtId="0" fontId="0" fillId="0" borderId="6" xfId="0" applyBorder="1" applyAlignment="1">
      <alignment wrapText="1"/>
    </xf>
    <xf numFmtId="10" fontId="0" fillId="0" borderId="6" xfId="0" applyNumberFormat="1" applyBorder="1" applyAlignment="1">
      <alignment horizontal="right" wrapText="1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0" xfId="0" applyAlignment="1">
      <alignment vertical="center"/>
    </xf>
    <xf numFmtId="10" fontId="18" fillId="0" borderId="0" xfId="0" applyNumberFormat="1" applyFont="1" applyAlignment="1">
      <alignment horizontal="right" wrapText="1"/>
    </xf>
    <xf numFmtId="0" fontId="19" fillId="0" borderId="6" xfId="0" applyFont="1" applyBorder="1" applyAlignment="1">
      <alignment vertical="center"/>
    </xf>
    <xf numFmtId="10" fontId="0" fillId="10" borderId="0" xfId="0" applyNumberFormat="1" applyFill="1" applyAlignment="1">
      <alignment horizontal="right" wrapText="1"/>
    </xf>
    <xf numFmtId="10" fontId="0" fillId="9" borderId="0" xfId="0" applyNumberFormat="1" applyFill="1"/>
    <xf numFmtId="10" fontId="0" fillId="0" borderId="8" xfId="1" applyNumberFormat="1" applyFont="1" applyBorder="1"/>
    <xf numFmtId="2" fontId="1" fillId="0" borderId="0" xfId="1" applyNumberFormat="1" applyFont="1" applyAlignment="1">
      <alignment horizontal="right" wrapText="1"/>
    </xf>
    <xf numFmtId="2" fontId="0" fillId="10" borderId="0" xfId="0" applyNumberFormat="1" applyFill="1" applyAlignment="1">
      <alignment horizontal="right" wrapText="1"/>
    </xf>
    <xf numFmtId="173" fontId="18" fillId="0" borderId="0" xfId="0" applyNumberFormat="1" applyFont="1" applyAlignment="1">
      <alignment wrapText="1"/>
    </xf>
    <xf numFmtId="173" fontId="18" fillId="0" borderId="6" xfId="0" applyNumberFormat="1" applyFont="1" applyBorder="1" applyAlignment="1">
      <alignment wrapText="1"/>
    </xf>
    <xf numFmtId="173" fontId="0" fillId="0" borderId="0" xfId="0" applyNumberFormat="1"/>
    <xf numFmtId="0" fontId="20" fillId="0" borderId="0" xfId="0" applyFont="1" applyAlignment="1">
      <alignment vertical="center"/>
    </xf>
    <xf numFmtId="2" fontId="0" fillId="0" borderId="0" xfId="0" applyNumberFormat="1"/>
    <xf numFmtId="14" fontId="0" fillId="0" borderId="0" xfId="0" applyNumberFormat="1" applyAlignment="1">
      <alignment horizontal="left"/>
    </xf>
    <xf numFmtId="173" fontId="0" fillId="0" borderId="0" xfId="0" applyNumberFormat="1" applyAlignment="1">
      <alignment horizontal="right"/>
    </xf>
    <xf numFmtId="9" fontId="0" fillId="0" borderId="0" xfId="1" applyFont="1"/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0" fillId="0" borderId="10" xfId="0" applyBorder="1"/>
    <xf numFmtId="0" fontId="13" fillId="0" borderId="11" xfId="0" applyFont="1" applyBorder="1" applyAlignment="1">
      <alignment horizontal="center"/>
    </xf>
    <xf numFmtId="0" fontId="13" fillId="0" borderId="11" xfId="0" applyFont="1" applyBorder="1" applyAlignment="1">
      <alignment horizontal="centerContinuous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18" fillId="0" borderId="0" xfId="0" applyFont="1"/>
    <xf numFmtId="10" fontId="18" fillId="0" borderId="0" xfId="0" applyNumberFormat="1" applyFont="1"/>
    <xf numFmtId="173" fontId="18" fillId="0" borderId="0" xfId="0" applyNumberFormat="1" applyFont="1"/>
    <xf numFmtId="2" fontId="0" fillId="6" borderId="0" xfId="0" applyNumberFormat="1" applyFill="1"/>
    <xf numFmtId="9" fontId="0" fillId="0" borderId="0" xfId="0" applyNumberFormat="1"/>
    <xf numFmtId="10" fontId="18" fillId="0" borderId="0" xfId="0" applyNumberFormat="1" applyFont="1" applyAlignment="1">
      <alignment vertical="top"/>
    </xf>
    <xf numFmtId="2" fontId="18" fillId="0" borderId="0" xfId="0" applyNumberFormat="1" applyFont="1"/>
    <xf numFmtId="10" fontId="18" fillId="6" borderId="0" xfId="0" applyNumberFormat="1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0" fontId="0" fillId="0" borderId="0" xfId="0" applyNumberFormat="1"/>
    <xf numFmtId="10" fontId="0" fillId="0" borderId="0" xfId="1" applyNumberFormat="1" applyFont="1" applyAlignment="1">
      <alignment horizontal="right"/>
    </xf>
    <xf numFmtId="10" fontId="3" fillId="0" borderId="0" xfId="0" applyNumberFormat="1" applyFont="1"/>
    <xf numFmtId="10" fontId="3" fillId="7" borderId="0" xfId="1" applyNumberFormat="1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17" fontId="3" fillId="0" borderId="5" xfId="0" applyNumberFormat="1" applyFont="1" applyBorder="1"/>
    <xf numFmtId="43" fontId="0" fillId="0" borderId="0" xfId="0" applyNumberFormat="1"/>
    <xf numFmtId="17" fontId="3" fillId="0" borderId="0" xfId="0" applyNumberFormat="1" applyFont="1"/>
    <xf numFmtId="43" fontId="3" fillId="0" borderId="0" xfId="0" applyNumberFormat="1" applyFont="1"/>
    <xf numFmtId="10" fontId="3" fillId="0" borderId="0" xfId="1" applyNumberFormat="1" applyFont="1"/>
    <xf numFmtId="0" fontId="2" fillId="6" borderId="0" xfId="0" applyFont="1" applyFill="1"/>
    <xf numFmtId="17" fontId="2" fillId="6" borderId="0" xfId="0" applyNumberFormat="1" applyFont="1" applyFill="1"/>
    <xf numFmtId="17" fontId="3" fillId="6" borderId="0" xfId="0" applyNumberFormat="1" applyFont="1" applyFill="1"/>
    <xf numFmtId="0" fontId="3" fillId="0" borderId="12" xfId="0" applyFont="1" applyBorder="1"/>
    <xf numFmtId="174" fontId="0" fillId="0" borderId="0" xfId="0" applyNumberFormat="1"/>
    <xf numFmtId="174" fontId="3" fillId="0" borderId="12" xfId="0" applyNumberFormat="1" applyFont="1" applyBorder="1"/>
    <xf numFmtId="174" fontId="3" fillId="0" borderId="0" xfId="0" applyNumberFormat="1" applyFont="1"/>
    <xf numFmtId="0" fontId="3" fillId="0" borderId="13" xfId="0" applyFont="1" applyBorder="1"/>
    <xf numFmtId="174" fontId="0" fillId="0" borderId="13" xfId="0" applyNumberFormat="1" applyBorder="1"/>
    <xf numFmtId="0" fontId="0" fillId="0" borderId="14" xfId="0" applyBorder="1"/>
    <xf numFmtId="0" fontId="0" fillId="0" borderId="15" xfId="0" applyBorder="1"/>
    <xf numFmtId="174" fontId="0" fillId="0" borderId="14" xfId="0" applyNumberFormat="1" applyBorder="1"/>
    <xf numFmtId="174" fontId="3" fillId="0" borderId="4" xfId="0" applyNumberFormat="1" applyFont="1" applyBorder="1"/>
    <xf numFmtId="0" fontId="3" fillId="0" borderId="16" xfId="0" applyFont="1" applyBorder="1"/>
    <xf numFmtId="173" fontId="3" fillId="0" borderId="16" xfId="0" applyNumberFormat="1" applyFont="1" applyBorder="1"/>
    <xf numFmtId="10" fontId="22" fillId="0" borderId="0" xfId="0" applyNumberFormat="1" applyFont="1"/>
    <xf numFmtId="0" fontId="23" fillId="13" borderId="0" xfId="0" applyFont="1" applyFill="1" applyAlignment="1">
      <alignment vertical="center"/>
    </xf>
    <xf numFmtId="0" fontId="0" fillId="13" borderId="0" xfId="0" applyFill="1" applyAlignment="1">
      <alignment wrapText="1"/>
    </xf>
    <xf numFmtId="17" fontId="23" fillId="13" borderId="0" xfId="0" applyNumberFormat="1" applyFont="1" applyFill="1" applyAlignment="1">
      <alignment horizontal="right" wrapText="1"/>
    </xf>
    <xf numFmtId="9" fontId="18" fillId="0" borderId="0" xfId="0" applyNumberFormat="1" applyFont="1"/>
    <xf numFmtId="0" fontId="0" fillId="0" borderId="17" xfId="0" applyBorder="1" applyAlignment="1">
      <alignment wrapText="1"/>
    </xf>
    <xf numFmtId="0" fontId="3" fillId="0" borderId="17" xfId="0" applyFont="1" applyBorder="1" applyAlignment="1">
      <alignment vertical="center"/>
    </xf>
    <xf numFmtId="4" fontId="3" fillId="0" borderId="17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14" borderId="0" xfId="0" applyFill="1" applyAlignment="1">
      <alignment vertical="center"/>
    </xf>
    <xf numFmtId="0" fontId="0" fillId="14" borderId="0" xfId="0" applyFill="1" applyAlignment="1">
      <alignment wrapText="1"/>
    </xf>
    <xf numFmtId="10" fontId="0" fillId="14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3" fillId="0" borderId="17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horizontal="right" wrapText="1"/>
    </xf>
    <xf numFmtId="2" fontId="0" fillId="0" borderId="0" xfId="0" applyNumberFormat="1" applyAlignment="1">
      <alignment horizontal="right" wrapText="1"/>
    </xf>
    <xf numFmtId="43" fontId="0" fillId="0" borderId="0" xfId="0" applyNumberFormat="1" applyAlignment="1">
      <alignment horizontal="right" wrapText="1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</cellXfs>
  <cellStyles count="8">
    <cellStyle name="Accent6 2" xfId="4" xr:uid="{BBDB2BF0-232B-4C01-AC19-E13AE7790424}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B826-023B-4246-A96B-65E299F74E2E}">
  <sheetPr>
    <tabColor theme="8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0EA-9EF0-4F47-8452-5110BF835166}">
  <dimension ref="B2:P43"/>
  <sheetViews>
    <sheetView showGridLines="0" tabSelected="1" zoomScale="86" zoomScaleNormal="86" workbookViewId="0">
      <selection activeCell="N14" sqref="N14"/>
    </sheetView>
  </sheetViews>
  <sheetFormatPr defaultRowHeight="14.4" x14ac:dyDescent="0.3"/>
  <cols>
    <col min="1" max="1" width="1.88671875" customWidth="1"/>
    <col min="2" max="2" width="37.109375" bestFit="1" customWidth="1"/>
    <col min="3" max="3" width="9.77734375" bestFit="1" customWidth="1"/>
    <col min="4" max="5" width="20.21875" bestFit="1" customWidth="1"/>
    <col min="6" max="6" width="9.21875" bestFit="1" customWidth="1"/>
    <col min="7" max="9" width="10.5546875" bestFit="1" customWidth="1"/>
    <col min="10" max="10" width="13.88671875" customWidth="1"/>
    <col min="11" max="16" width="8.88671875" style="87"/>
  </cols>
  <sheetData>
    <row r="2" spans="2:10" ht="18" x14ac:dyDescent="0.35">
      <c r="B2" s="57" t="s">
        <v>159</v>
      </c>
      <c r="C2" s="58"/>
      <c r="D2" s="58"/>
      <c r="E2" s="58"/>
      <c r="F2" s="58"/>
      <c r="G2" s="58"/>
      <c r="H2" s="58"/>
      <c r="I2" s="58"/>
      <c r="J2" s="58"/>
    </row>
    <row r="4" spans="2:10" x14ac:dyDescent="0.3">
      <c r="B4" s="56" t="s">
        <v>160</v>
      </c>
    </row>
    <row r="6" spans="2:10" x14ac:dyDescent="0.3">
      <c r="B6" s="15" t="s">
        <v>161</v>
      </c>
    </row>
    <row r="7" spans="2:10" x14ac:dyDescent="0.3">
      <c r="B7" s="59"/>
      <c r="C7" s="59"/>
      <c r="D7" s="59"/>
      <c r="E7" s="59"/>
      <c r="F7" s="59"/>
      <c r="G7" s="59" t="s">
        <v>168</v>
      </c>
      <c r="H7" s="59" t="s">
        <v>168</v>
      </c>
      <c r="I7" s="59" t="s">
        <v>170</v>
      </c>
      <c r="J7" s="59" t="s">
        <v>171</v>
      </c>
    </row>
    <row r="8" spans="2:10" ht="16.2" x14ac:dyDescent="0.3">
      <c r="B8" s="60" t="s">
        <v>162</v>
      </c>
      <c r="C8" s="60" t="s">
        <v>163</v>
      </c>
      <c r="D8" s="60" t="s">
        <v>164</v>
      </c>
      <c r="E8" s="60" t="s">
        <v>165</v>
      </c>
      <c r="F8" s="60" t="s">
        <v>166</v>
      </c>
      <c r="G8" s="60" t="s">
        <v>167</v>
      </c>
      <c r="H8" s="60" t="s">
        <v>169</v>
      </c>
      <c r="I8" s="60" t="s">
        <v>172</v>
      </c>
      <c r="J8" s="60" t="s">
        <v>173</v>
      </c>
    </row>
    <row r="10" spans="2:10" x14ac:dyDescent="0.3">
      <c r="B10" s="98" t="s">
        <v>234</v>
      </c>
      <c r="C10" s="98" t="s">
        <v>174</v>
      </c>
      <c r="D10" s="100">
        <f>'Beta-Comps'!F3</f>
        <v>630.38</v>
      </c>
      <c r="E10" s="100">
        <f>'Beta-Comps'!E3</f>
        <v>264832.09000000003</v>
      </c>
      <c r="F10" s="103">
        <v>0.3</v>
      </c>
      <c r="G10" s="61">
        <f>IFERROR(D10/E10,0)</f>
        <v>2.3803006652252752E-3</v>
      </c>
      <c r="H10" s="61">
        <f>IFERROR(D10/(D10+E10),0)</f>
        <v>2.3746482883248991E-3</v>
      </c>
      <c r="I10" s="104">
        <f>'Beta-Regression(Dmart)'!M9</f>
        <v>1.0234533643058505</v>
      </c>
      <c r="J10" s="62">
        <f>IFERROR(I10/(1+(1-F10)*G10),0)</f>
        <v>1.0217509122425765</v>
      </c>
    </row>
    <row r="11" spans="2:10" x14ac:dyDescent="0.3">
      <c r="B11" s="98" t="s">
        <v>235</v>
      </c>
      <c r="C11" s="98" t="s">
        <v>174</v>
      </c>
      <c r="D11" s="100">
        <f>'Beta-Comps'!F4</f>
        <v>4839.33</v>
      </c>
      <c r="E11" s="100">
        <f>'Beta-Comps'!E4</f>
        <v>102430.16</v>
      </c>
      <c r="F11" s="103">
        <v>0.3</v>
      </c>
      <c r="G11" s="61">
        <f t="shared" ref="G11:G14" si="0">IFERROR(D11/E11,0)</f>
        <v>4.7245166853200266E-2</v>
      </c>
      <c r="H11" s="61">
        <f t="shared" ref="H11:H14" si="1">IFERROR(D11/(D11+E11),0)</f>
        <v>4.5113759746597093E-2</v>
      </c>
      <c r="I11" s="104">
        <f>'Beta-Regression(Trent)'!M9</f>
        <v>1.0234533643058505</v>
      </c>
      <c r="J11" s="62">
        <f t="shared" ref="J11:J14" si="2">IFERROR(I11/(1+(1-F11)*G11),0)</f>
        <v>0.99068965564922928</v>
      </c>
    </row>
    <row r="12" spans="2:10" x14ac:dyDescent="0.3">
      <c r="B12" s="98" t="s">
        <v>236</v>
      </c>
      <c r="C12" s="98" t="s">
        <v>174</v>
      </c>
      <c r="D12" s="100">
        <f>'Beta-Comps'!F5</f>
        <v>365.02</v>
      </c>
      <c r="E12" s="100">
        <f>'Beta-Comps'!E5</f>
        <v>34825.449999999997</v>
      </c>
      <c r="F12" s="103">
        <v>0.3</v>
      </c>
      <c r="G12" s="61">
        <f t="shared" si="0"/>
        <v>1.0481415171950399E-2</v>
      </c>
      <c r="H12" s="61">
        <f t="shared" si="1"/>
        <v>1.0372694652842091E-2</v>
      </c>
      <c r="I12" s="104">
        <v>1.37</v>
      </c>
      <c r="J12" s="62">
        <f t="shared" si="2"/>
        <v>1.3600215347560005</v>
      </c>
    </row>
    <row r="13" spans="2:10" x14ac:dyDescent="0.3">
      <c r="B13" s="98" t="s">
        <v>237</v>
      </c>
      <c r="C13" s="98" t="s">
        <v>174</v>
      </c>
      <c r="D13" s="100">
        <f>'Beta-Comps'!F6</f>
        <v>10174.77</v>
      </c>
      <c r="E13" s="100">
        <f>'Beta-Comps'!E6</f>
        <v>22252.75</v>
      </c>
      <c r="F13" s="103">
        <v>0.3</v>
      </c>
      <c r="G13" s="61">
        <f t="shared" si="0"/>
        <v>0.45723652132882453</v>
      </c>
      <c r="H13" s="61">
        <f t="shared" si="1"/>
        <v>0.31376960063550963</v>
      </c>
      <c r="I13" s="104">
        <v>1.23</v>
      </c>
      <c r="J13" s="62">
        <f t="shared" si="2"/>
        <v>0.93177190033364665</v>
      </c>
    </row>
    <row r="14" spans="2:10" x14ac:dyDescent="0.3">
      <c r="B14" s="98" t="s">
        <v>238</v>
      </c>
      <c r="C14" s="98" t="s">
        <v>174</v>
      </c>
      <c r="D14" s="100">
        <f>'Beta-Comps'!F7</f>
        <v>958.08</v>
      </c>
      <c r="E14" s="100">
        <f>'Beta-Comps'!E7</f>
        <v>8911.43</v>
      </c>
      <c r="F14" s="103">
        <v>0.3</v>
      </c>
      <c r="G14" s="61">
        <f t="shared" si="0"/>
        <v>0.1075113646182487</v>
      </c>
      <c r="H14" s="61">
        <f t="shared" si="1"/>
        <v>9.7074728127333573E-2</v>
      </c>
      <c r="I14" s="104">
        <v>1.41</v>
      </c>
      <c r="J14" s="62">
        <f t="shared" si="2"/>
        <v>1.3113132464058452</v>
      </c>
    </row>
    <row r="16" spans="2:10" x14ac:dyDescent="0.3">
      <c r="E16" s="63" t="s">
        <v>175</v>
      </c>
      <c r="F16" s="65">
        <f>AVERAGE(F10:F14)</f>
        <v>0.3</v>
      </c>
      <c r="G16" s="65">
        <f t="shared" ref="G16:J16" si="3">AVERAGE(G10:G14)</f>
        <v>0.12497095372748983</v>
      </c>
      <c r="H16" s="65">
        <f t="shared" si="3"/>
        <v>9.3741086290121456E-2</v>
      </c>
      <c r="I16" s="67">
        <f t="shared" si="3"/>
        <v>1.2113813457223404</v>
      </c>
      <c r="J16" s="67">
        <f t="shared" si="3"/>
        <v>1.1231094498774596</v>
      </c>
    </row>
    <row r="17" spans="2:10" x14ac:dyDescent="0.3">
      <c r="E17" s="64" t="s">
        <v>155</v>
      </c>
      <c r="F17" s="66">
        <f>MEDIAN(F10:F14)</f>
        <v>0.3</v>
      </c>
      <c r="G17" s="66">
        <f t="shared" ref="G17:J17" si="4">MEDIAN(G10:G14)</f>
        <v>4.7245166853200266E-2</v>
      </c>
      <c r="H17" s="66">
        <f t="shared" si="4"/>
        <v>4.5113759746597093E-2</v>
      </c>
      <c r="I17" s="68">
        <f t="shared" si="4"/>
        <v>1.23</v>
      </c>
      <c r="J17" s="68">
        <f t="shared" si="4"/>
        <v>1.0217509122425765</v>
      </c>
    </row>
    <row r="20" spans="2:10" ht="15" thickBot="1" x14ac:dyDescent="0.35">
      <c r="B20" s="64" t="s">
        <v>176</v>
      </c>
      <c r="C20" s="60"/>
      <c r="D20" s="60"/>
      <c r="E20" s="60"/>
      <c r="G20" s="73" t="s">
        <v>180</v>
      </c>
      <c r="H20" s="74"/>
      <c r="I20" s="74"/>
      <c r="J20" s="74"/>
    </row>
    <row r="21" spans="2:10" x14ac:dyDescent="0.3">
      <c r="B21" s="69" t="s">
        <v>177</v>
      </c>
      <c r="C21" s="69"/>
      <c r="D21" s="69"/>
      <c r="E21" s="76">
        <f>63/D10</f>
        <v>9.9939718899711288E-2</v>
      </c>
      <c r="G21" s="69"/>
      <c r="H21" s="69"/>
      <c r="I21" s="69"/>
      <c r="J21" s="69"/>
    </row>
    <row r="22" spans="2:10" x14ac:dyDescent="0.3">
      <c r="B22" s="71" t="s">
        <v>178</v>
      </c>
      <c r="C22" s="71"/>
      <c r="D22" s="71"/>
      <c r="E22" s="72">
        <f>F17</f>
        <v>0.3</v>
      </c>
      <c r="G22" s="75" t="s">
        <v>181</v>
      </c>
      <c r="H22" s="69"/>
      <c r="I22" s="69"/>
      <c r="J22" s="76">
        <v>7.2800000000000004E-2</v>
      </c>
    </row>
    <row r="23" spans="2:10" x14ac:dyDescent="0.3">
      <c r="B23" t="s">
        <v>179</v>
      </c>
      <c r="E23" s="79">
        <f>E21*(1-E22)</f>
        <v>6.9957803229797902E-2</v>
      </c>
      <c r="G23" s="75" t="s">
        <v>182</v>
      </c>
      <c r="H23" s="69"/>
      <c r="I23" s="69"/>
      <c r="J23" s="70">
        <f>Rm!F7-WACC!J22</f>
        <v>8.1634782608695639E-2</v>
      </c>
    </row>
    <row r="24" spans="2:10" ht="16.2" x14ac:dyDescent="0.3">
      <c r="G24" s="77" t="s">
        <v>252</v>
      </c>
      <c r="H24" s="71"/>
      <c r="I24" s="71"/>
      <c r="J24" s="82">
        <f>J33</f>
        <v>1.0957320089113181</v>
      </c>
    </row>
    <row r="25" spans="2:10" x14ac:dyDescent="0.3">
      <c r="G25" s="75" t="s">
        <v>180</v>
      </c>
      <c r="H25" s="69"/>
      <c r="I25" s="69"/>
      <c r="J25" s="78">
        <f>J22+J23*J24</f>
        <v>0.16224984434486481</v>
      </c>
    </row>
    <row r="28" spans="2:10" ht="15" thickBot="1" x14ac:dyDescent="0.35">
      <c r="B28" s="64" t="s">
        <v>183</v>
      </c>
      <c r="C28" s="64"/>
      <c r="D28" s="64"/>
      <c r="E28" s="64"/>
      <c r="G28" s="73" t="s">
        <v>187</v>
      </c>
      <c r="H28" s="74"/>
      <c r="I28" s="74"/>
      <c r="J28" s="74"/>
    </row>
    <row r="29" spans="2:10" x14ac:dyDescent="0.3">
      <c r="G29" s="69"/>
      <c r="H29" s="69"/>
      <c r="I29" s="69"/>
      <c r="J29" s="69"/>
    </row>
    <row r="30" spans="2:10" x14ac:dyDescent="0.3">
      <c r="D30" s="15" t="s">
        <v>184</v>
      </c>
      <c r="E30" s="15" t="s">
        <v>185</v>
      </c>
      <c r="G30" s="75" t="s">
        <v>188</v>
      </c>
      <c r="H30" s="69"/>
      <c r="I30" s="69"/>
      <c r="J30" s="81">
        <f>J17</f>
        <v>1.0217509122425765</v>
      </c>
    </row>
    <row r="31" spans="2:10" x14ac:dyDescent="0.3">
      <c r="B31" s="69" t="s">
        <v>164</v>
      </c>
      <c r="C31" s="83">
        <f>D10</f>
        <v>630.38</v>
      </c>
      <c r="D31" s="17">
        <f>C31/$C$33</f>
        <v>2.3746482883248991E-3</v>
      </c>
      <c r="E31" s="76">
        <f>H16</f>
        <v>9.3741086290121456E-2</v>
      </c>
      <c r="G31" s="75" t="s">
        <v>189</v>
      </c>
      <c r="H31" s="69"/>
      <c r="I31" s="69"/>
      <c r="J31" s="70">
        <f>E35</f>
        <v>0.10343742265262934</v>
      </c>
    </row>
    <row r="32" spans="2:10" x14ac:dyDescent="0.3">
      <c r="B32" s="71" t="s">
        <v>9</v>
      </c>
      <c r="C32" s="84">
        <f>E10</f>
        <v>264832.09000000003</v>
      </c>
      <c r="D32" s="17">
        <f t="shared" ref="D32:D33" si="5">C32/$C$33</f>
        <v>0.9976253517116751</v>
      </c>
      <c r="E32" s="72">
        <f>E33-E31</f>
        <v>0.90625891370987854</v>
      </c>
      <c r="G32" s="71" t="s">
        <v>178</v>
      </c>
      <c r="H32" s="71"/>
      <c r="I32" s="71"/>
      <c r="J32" s="70">
        <f>E22</f>
        <v>0.3</v>
      </c>
    </row>
    <row r="33" spans="2:10" x14ac:dyDescent="0.3">
      <c r="B33" t="s">
        <v>186</v>
      </c>
      <c r="C33" s="85">
        <f>SUM(C31:C32)</f>
        <v>265462.47000000003</v>
      </c>
      <c r="D33" s="80">
        <f t="shared" si="5"/>
        <v>1</v>
      </c>
      <c r="E33" s="105">
        <v>1</v>
      </c>
      <c r="G33" s="75" t="s">
        <v>187</v>
      </c>
      <c r="H33" s="69"/>
      <c r="I33" s="69"/>
      <c r="J33" s="82">
        <f>J30*(1+(1-J32)*J31)</f>
        <v>1.0957320089113181</v>
      </c>
    </row>
    <row r="35" spans="2:10" ht="15" thickBot="1" x14ac:dyDescent="0.35">
      <c r="B35" t="s">
        <v>190</v>
      </c>
      <c r="D35" s="79">
        <f>D31/D32</f>
        <v>2.3803006652252752E-3</v>
      </c>
      <c r="E35" s="79">
        <f>E31/E32</f>
        <v>0.10343742265262934</v>
      </c>
      <c r="G35" s="73" t="s">
        <v>159</v>
      </c>
      <c r="H35" s="74"/>
      <c r="I35" s="74"/>
      <c r="J35" s="74"/>
    </row>
    <row r="37" spans="2:10" ht="13.2" customHeight="1" x14ac:dyDescent="0.3">
      <c r="B37" s="86" t="s">
        <v>191</v>
      </c>
      <c r="G37" s="75" t="s">
        <v>180</v>
      </c>
      <c r="I37" s="108"/>
      <c r="J37" s="108">
        <f>J25</f>
        <v>0.16224984434486481</v>
      </c>
    </row>
    <row r="38" spans="2:10" x14ac:dyDescent="0.3">
      <c r="B38" s="86" t="s">
        <v>192</v>
      </c>
      <c r="G38" s="75" t="s">
        <v>253</v>
      </c>
      <c r="J38" s="108">
        <f>E32</f>
        <v>0.90625891370987854</v>
      </c>
    </row>
    <row r="39" spans="2:10" x14ac:dyDescent="0.3">
      <c r="B39" s="86" t="s">
        <v>193</v>
      </c>
    </row>
    <row r="40" spans="2:10" x14ac:dyDescent="0.3">
      <c r="B40" s="86" t="s">
        <v>194</v>
      </c>
      <c r="G40" s="75" t="s">
        <v>176</v>
      </c>
      <c r="J40" s="108">
        <f>E23</f>
        <v>6.9957803229797902E-2</v>
      </c>
    </row>
    <row r="41" spans="2:10" x14ac:dyDescent="0.3">
      <c r="G41" s="75" t="s">
        <v>254</v>
      </c>
      <c r="J41" s="108">
        <f>E31</f>
        <v>9.3741086290121456E-2</v>
      </c>
    </row>
    <row r="43" spans="2:10" x14ac:dyDescent="0.3">
      <c r="G43" s="112" t="s">
        <v>255</v>
      </c>
      <c r="H43" s="113"/>
      <c r="I43" s="113"/>
      <c r="J43" s="111">
        <f>SUMPRODUCT(J37:J38,J40:J41)</f>
        <v>9.630433771601285E-2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EAB5-1258-49C9-9C0B-A8027D874526}">
  <sheetPr>
    <tabColor theme="8" tint="-0.499984740745262"/>
  </sheetPr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31B3-54CD-41E9-B0D2-110019434CE7}">
  <dimension ref="B2:T113"/>
  <sheetViews>
    <sheetView showGridLines="0" workbookViewId="0">
      <selection activeCell="L8" sqref="L8"/>
    </sheetView>
  </sheetViews>
  <sheetFormatPr defaultRowHeight="14.4" x14ac:dyDescent="0.3"/>
  <cols>
    <col min="1" max="1" width="1.88671875" customWidth="1"/>
    <col min="2" max="2" width="14.33203125" bestFit="1" customWidth="1"/>
    <col min="3" max="3" width="12" bestFit="1" customWidth="1"/>
    <col min="4" max="4" width="14.21875" bestFit="1" customWidth="1"/>
    <col min="6" max="6" width="12" bestFit="1" customWidth="1"/>
    <col min="9" max="9" width="17.5546875" bestFit="1" customWidth="1"/>
  </cols>
  <sheetData>
    <row r="2" spans="2:13" x14ac:dyDescent="0.3">
      <c r="B2" s="15" t="s">
        <v>233</v>
      </c>
    </row>
    <row r="3" spans="2:13" x14ac:dyDescent="0.3">
      <c r="B3" s="15"/>
    </row>
    <row r="5" spans="2:13" x14ac:dyDescent="0.3">
      <c r="B5" s="156" t="s">
        <v>197</v>
      </c>
      <c r="C5" s="156"/>
      <c r="D5" s="156"/>
      <c r="F5" s="156" t="s">
        <v>199</v>
      </c>
      <c r="G5" s="156"/>
      <c r="I5" s="156" t="s">
        <v>227</v>
      </c>
      <c r="J5" s="156"/>
      <c r="L5" t="s">
        <v>200</v>
      </c>
      <c r="M5" s="87">
        <f>SLOPE(D9:D113,G9:G113)</f>
        <v>1.023453364305851</v>
      </c>
    </row>
    <row r="6" spans="2:13" s="96" customFormat="1" x14ac:dyDescent="0.3">
      <c r="B6" s="97"/>
      <c r="C6" s="97"/>
      <c r="D6" s="97"/>
      <c r="F6" s="97"/>
      <c r="G6" s="97"/>
      <c r="I6" s="97"/>
      <c r="J6" s="97"/>
      <c r="M6" s="101"/>
    </row>
    <row r="7" spans="2:13" x14ac:dyDescent="0.3">
      <c r="B7" s="91" t="s">
        <v>195</v>
      </c>
      <c r="C7" s="92" t="s">
        <v>196</v>
      </c>
      <c r="D7" s="92" t="s">
        <v>198</v>
      </c>
      <c r="F7" s="92" t="s">
        <v>196</v>
      </c>
      <c r="G7" s="92" t="s">
        <v>198</v>
      </c>
      <c r="I7" s="45" t="s">
        <v>228</v>
      </c>
      <c r="J7" s="87">
        <f>M9</f>
        <v>1.0234533643058505</v>
      </c>
      <c r="L7" t="s">
        <v>201</v>
      </c>
      <c r="M7" s="87">
        <f>_xlfn.COVARIANCE.S(D8:D113,G8:G113)/_xlfn.VAR.S(G8:G113)</f>
        <v>1.0234533643058499</v>
      </c>
    </row>
    <row r="8" spans="2:13" x14ac:dyDescent="0.3">
      <c r="B8" s="88">
        <v>44536</v>
      </c>
      <c r="C8" s="89">
        <v>4796.6000979999999</v>
      </c>
      <c r="F8" s="85">
        <v>17511.300781000002</v>
      </c>
      <c r="I8" t="s">
        <v>229</v>
      </c>
      <c r="J8" s="90">
        <v>0.75</v>
      </c>
    </row>
    <row r="9" spans="2:13" x14ac:dyDescent="0.3">
      <c r="B9" s="88">
        <v>44543</v>
      </c>
      <c r="C9" s="89">
        <v>4697.7998049999997</v>
      </c>
      <c r="D9" s="17">
        <f>IFERROR(C9/C8-1,0)</f>
        <v>-2.059798419326142E-2</v>
      </c>
      <c r="F9" s="85">
        <v>16985.199218999998</v>
      </c>
      <c r="G9" s="17">
        <f>IFERROR(F9/F8-1,0)</f>
        <v>-3.0043545512668635E-2</v>
      </c>
      <c r="L9" t="s">
        <v>202</v>
      </c>
      <c r="M9" s="87">
        <f>M28</f>
        <v>1.0234533643058505</v>
      </c>
    </row>
    <row r="10" spans="2:13" x14ac:dyDescent="0.3">
      <c r="B10" s="88">
        <v>44550</v>
      </c>
      <c r="C10" s="89">
        <v>4628.8999020000001</v>
      </c>
      <c r="D10" s="17">
        <f t="shared" ref="D10:D73" si="0">IFERROR(C10/C9-1,0)</f>
        <v>-1.4666419570852574E-2</v>
      </c>
      <c r="F10" s="85">
        <v>17003.75</v>
      </c>
      <c r="G10" s="17">
        <f t="shared" ref="G10:G73" si="1">IFERROR(F10/F9-1,0)</f>
        <v>1.0921732951623131E-3</v>
      </c>
      <c r="I10" t="s">
        <v>230</v>
      </c>
      <c r="J10">
        <v>1</v>
      </c>
    </row>
    <row r="11" spans="2:13" x14ac:dyDescent="0.3">
      <c r="B11" s="88">
        <v>44557</v>
      </c>
      <c r="C11" s="89">
        <v>4671.4501950000003</v>
      </c>
      <c r="D11" s="17">
        <f t="shared" si="0"/>
        <v>9.1923121909842642E-3</v>
      </c>
      <c r="F11" s="85">
        <v>17354.050781000002</v>
      </c>
      <c r="G11" s="17">
        <f t="shared" si="1"/>
        <v>2.0601383871204915E-2</v>
      </c>
      <c r="I11" t="s">
        <v>231</v>
      </c>
      <c r="J11" s="102">
        <f>1-J8</f>
        <v>0.25</v>
      </c>
      <c r="L11" t="s">
        <v>203</v>
      </c>
    </row>
    <row r="12" spans="2:13" ht="15" thickBot="1" x14ac:dyDescent="0.35">
      <c r="B12" s="88">
        <v>44564</v>
      </c>
      <c r="C12" s="89">
        <v>4731.3500979999999</v>
      </c>
      <c r="D12" s="17">
        <f t="shared" si="0"/>
        <v>1.2822549850603604E-2</v>
      </c>
      <c r="F12" s="85">
        <v>17812.699218999998</v>
      </c>
      <c r="G12" s="17">
        <f t="shared" si="1"/>
        <v>2.6428898001275014E-2</v>
      </c>
    </row>
    <row r="13" spans="2:13" x14ac:dyDescent="0.3">
      <c r="B13" s="88">
        <v>44571</v>
      </c>
      <c r="C13" s="89">
        <v>4322.7001950000003</v>
      </c>
      <c r="D13" s="17">
        <f t="shared" si="0"/>
        <v>-8.6370675290492804E-2</v>
      </c>
      <c r="F13" s="85">
        <v>18255.75</v>
      </c>
      <c r="G13" s="17">
        <f t="shared" si="1"/>
        <v>2.4872748119354027E-2</v>
      </c>
      <c r="I13" s="54" t="s">
        <v>232</v>
      </c>
      <c r="J13" s="54">
        <f>J7*J8+J10*J11</f>
        <v>1.017590023229388</v>
      </c>
      <c r="L13" s="95" t="s">
        <v>204</v>
      </c>
      <c r="M13" s="95"/>
    </row>
    <row r="14" spans="2:13" x14ac:dyDescent="0.3">
      <c r="B14" s="88">
        <v>44578</v>
      </c>
      <c r="C14" s="89">
        <v>4299.7998049999997</v>
      </c>
      <c r="D14" s="17">
        <f t="shared" si="0"/>
        <v>-5.2977048990094922E-3</v>
      </c>
      <c r="F14" s="85">
        <v>17617.150390999999</v>
      </c>
      <c r="G14" s="17">
        <f t="shared" si="1"/>
        <v>-3.4980738068827621E-2</v>
      </c>
      <c r="L14" t="s">
        <v>205</v>
      </c>
      <c r="M14">
        <v>0.47645173189937545</v>
      </c>
    </row>
    <row r="15" spans="2:13" x14ac:dyDescent="0.3">
      <c r="B15" s="88">
        <v>44585</v>
      </c>
      <c r="C15" s="89">
        <v>4076</v>
      </c>
      <c r="D15" s="17">
        <f t="shared" si="0"/>
        <v>-5.2048889518008568E-2</v>
      </c>
      <c r="F15" s="85">
        <v>17101.949218999998</v>
      </c>
      <c r="G15" s="17">
        <f t="shared" si="1"/>
        <v>-2.9244296640800638E-2</v>
      </c>
      <c r="L15" t="s">
        <v>206</v>
      </c>
      <c r="M15">
        <v>0.22700625282991435</v>
      </c>
    </row>
    <row r="16" spans="2:13" x14ac:dyDescent="0.3">
      <c r="B16" s="88">
        <v>44592</v>
      </c>
      <c r="C16" s="89">
        <v>4081.8999020000001</v>
      </c>
      <c r="D16" s="17">
        <f t="shared" si="0"/>
        <v>1.4474735034346597E-3</v>
      </c>
      <c r="F16" s="85">
        <v>17516.300781000002</v>
      </c>
      <c r="G16" s="17">
        <f t="shared" si="1"/>
        <v>2.4228323724623468E-2</v>
      </c>
      <c r="L16" t="s">
        <v>207</v>
      </c>
      <c r="M16">
        <v>0.21950145916806887</v>
      </c>
    </row>
    <row r="17" spans="2:20" x14ac:dyDescent="0.3">
      <c r="B17" s="88">
        <v>44599</v>
      </c>
      <c r="C17" s="89">
        <v>4142.25</v>
      </c>
      <c r="D17" s="17">
        <f t="shared" si="0"/>
        <v>1.4784805960192715E-2</v>
      </c>
      <c r="F17" s="85">
        <v>17374.75</v>
      </c>
      <c r="G17" s="17">
        <f t="shared" si="1"/>
        <v>-8.0810887395552644E-3</v>
      </c>
      <c r="L17" t="s">
        <v>208</v>
      </c>
      <c r="M17">
        <v>3.6057265146473491E-2</v>
      </c>
    </row>
    <row r="18" spans="2:20" ht="15" thickBot="1" x14ac:dyDescent="0.35">
      <c r="B18" s="88">
        <v>44606</v>
      </c>
      <c r="C18" s="89">
        <v>4073.1000979999999</v>
      </c>
      <c r="D18" s="17">
        <f t="shared" si="0"/>
        <v>-1.6693802160661519E-2</v>
      </c>
      <c r="F18" s="85">
        <v>17276.300781000002</v>
      </c>
      <c r="G18" s="17">
        <f t="shared" si="1"/>
        <v>-5.66622362911684E-3</v>
      </c>
      <c r="L18" s="93" t="s">
        <v>209</v>
      </c>
      <c r="M18" s="93">
        <v>105</v>
      </c>
    </row>
    <row r="19" spans="2:20" x14ac:dyDescent="0.3">
      <c r="B19" s="88">
        <v>44613</v>
      </c>
      <c r="C19" s="89">
        <v>4190.75</v>
      </c>
      <c r="D19" s="17">
        <f t="shared" si="0"/>
        <v>2.8884608570697523E-2</v>
      </c>
      <c r="F19" s="85">
        <v>16658.400390999999</v>
      </c>
      <c r="G19" s="17">
        <f t="shared" si="1"/>
        <v>-3.5765780987070617E-2</v>
      </c>
    </row>
    <row r="20" spans="2:20" ht="15" thickBot="1" x14ac:dyDescent="0.35">
      <c r="B20" s="88">
        <v>44620</v>
      </c>
      <c r="C20" s="89">
        <v>4110.2001950000003</v>
      </c>
      <c r="D20" s="17">
        <f t="shared" si="0"/>
        <v>-1.9220856648571205E-2</v>
      </c>
      <c r="F20" s="85">
        <v>16245.349609000001</v>
      </c>
      <c r="G20" s="17">
        <f t="shared" si="1"/>
        <v>-2.479534482933643E-2</v>
      </c>
      <c r="L20" t="s">
        <v>210</v>
      </c>
    </row>
    <row r="21" spans="2:20" x14ac:dyDescent="0.3">
      <c r="B21" s="88">
        <v>44627</v>
      </c>
      <c r="C21" s="89">
        <v>4198.9501950000003</v>
      </c>
      <c r="D21" s="17">
        <f t="shared" si="0"/>
        <v>2.1592622205595546E-2</v>
      </c>
      <c r="F21" s="85">
        <v>16630.449218999998</v>
      </c>
      <c r="G21" s="17">
        <f t="shared" si="1"/>
        <v>2.3705221449137115E-2</v>
      </c>
      <c r="L21" s="94"/>
      <c r="M21" s="94" t="s">
        <v>214</v>
      </c>
      <c r="N21" s="94" t="s">
        <v>215</v>
      </c>
      <c r="O21" s="94" t="s">
        <v>216</v>
      </c>
      <c r="P21" s="94" t="s">
        <v>217</v>
      </c>
      <c r="Q21" s="94" t="s">
        <v>218</v>
      </c>
    </row>
    <row r="22" spans="2:20" x14ac:dyDescent="0.3">
      <c r="B22" s="88">
        <v>44634</v>
      </c>
      <c r="C22" s="89">
        <v>4192.75</v>
      </c>
      <c r="D22" s="17">
        <f t="shared" si="0"/>
        <v>-1.476605987702162E-3</v>
      </c>
      <c r="F22" s="85">
        <v>17287.050781000002</v>
      </c>
      <c r="G22" s="17">
        <f t="shared" si="1"/>
        <v>3.9481889716475482E-2</v>
      </c>
      <c r="L22" t="s">
        <v>211</v>
      </c>
      <c r="M22">
        <v>1</v>
      </c>
      <c r="N22">
        <v>3.932643970265573E-2</v>
      </c>
      <c r="O22">
        <v>3.932643970265573E-2</v>
      </c>
      <c r="P22">
        <v>30.248167112710675</v>
      </c>
      <c r="Q22">
        <v>2.7822857990841012E-7</v>
      </c>
    </row>
    <row r="23" spans="2:20" x14ac:dyDescent="0.3">
      <c r="B23" s="88">
        <v>44641</v>
      </c>
      <c r="C23" s="89">
        <v>4001.3000489999999</v>
      </c>
      <c r="D23" s="17">
        <f t="shared" si="0"/>
        <v>-4.5662143223421436E-2</v>
      </c>
      <c r="F23" s="85">
        <v>17153</v>
      </c>
      <c r="G23" s="17">
        <f t="shared" si="1"/>
        <v>-7.7544043051771538E-3</v>
      </c>
      <c r="L23" t="s">
        <v>212</v>
      </c>
      <c r="M23">
        <v>103</v>
      </c>
      <c r="N23">
        <v>0.13391301609383846</v>
      </c>
      <c r="O23">
        <v>1.3001263698430919E-3</v>
      </c>
    </row>
    <row r="24" spans="2:20" ht="15" thickBot="1" x14ac:dyDescent="0.35">
      <c r="B24" s="88">
        <v>44648</v>
      </c>
      <c r="C24" s="89">
        <v>4082.1999510000001</v>
      </c>
      <c r="D24" s="17">
        <f t="shared" si="0"/>
        <v>2.0218404270936574E-2</v>
      </c>
      <c r="F24" s="85">
        <v>17670.449218999998</v>
      </c>
      <c r="G24" s="17">
        <f t="shared" si="1"/>
        <v>3.0166689150585846E-2</v>
      </c>
      <c r="L24" s="93" t="s">
        <v>37</v>
      </c>
      <c r="M24" s="93">
        <v>104</v>
      </c>
      <c r="N24" s="93">
        <v>0.17323945579649419</v>
      </c>
      <c r="O24" s="93"/>
      <c r="P24" s="93"/>
      <c r="Q24" s="93"/>
    </row>
    <row r="25" spans="2:20" ht="15" thickBot="1" x14ac:dyDescent="0.35">
      <c r="B25" s="88">
        <v>44655</v>
      </c>
      <c r="C25" s="89">
        <v>4146.25</v>
      </c>
      <c r="D25" s="17">
        <f t="shared" si="0"/>
        <v>1.5690081272062617E-2</v>
      </c>
      <c r="F25" s="85">
        <v>17784.349609000001</v>
      </c>
      <c r="G25" s="17">
        <f t="shared" si="1"/>
        <v>6.4458117950692007E-3</v>
      </c>
    </row>
    <row r="26" spans="2:20" x14ac:dyDescent="0.3">
      <c r="B26" s="88">
        <v>44662</v>
      </c>
      <c r="C26" s="89">
        <v>4090.8999020000001</v>
      </c>
      <c r="D26" s="17">
        <f t="shared" si="0"/>
        <v>-1.3349435755200423E-2</v>
      </c>
      <c r="F26" s="85">
        <v>17475.650390999999</v>
      </c>
      <c r="G26" s="17">
        <f t="shared" si="1"/>
        <v>-1.7357914390289553E-2</v>
      </c>
      <c r="L26" s="94"/>
      <c r="M26" s="94" t="s">
        <v>219</v>
      </c>
      <c r="N26" s="94" t="s">
        <v>208</v>
      </c>
      <c r="O26" s="94" t="s">
        <v>220</v>
      </c>
      <c r="P26" s="94" t="s">
        <v>221</v>
      </c>
      <c r="Q26" s="94" t="s">
        <v>222</v>
      </c>
      <c r="R26" s="94" t="s">
        <v>223</v>
      </c>
      <c r="S26" s="94" t="s">
        <v>224</v>
      </c>
      <c r="T26" s="94" t="s">
        <v>225</v>
      </c>
    </row>
    <row r="27" spans="2:20" x14ac:dyDescent="0.3">
      <c r="B27" s="88">
        <v>44669</v>
      </c>
      <c r="C27" s="89">
        <v>4028.8500979999999</v>
      </c>
      <c r="D27" s="17">
        <f t="shared" si="0"/>
        <v>-1.5167763936161038E-2</v>
      </c>
      <c r="F27" s="85">
        <v>17171.949218999998</v>
      </c>
      <c r="G27" s="17">
        <f t="shared" si="1"/>
        <v>-1.7378533285170805E-2</v>
      </c>
      <c r="L27" t="s">
        <v>213</v>
      </c>
      <c r="M27">
        <v>-2.6869826106036662E-3</v>
      </c>
      <c r="N27">
        <v>3.5364960855849849E-3</v>
      </c>
      <c r="O27">
        <v>-0.75978667742797812</v>
      </c>
      <c r="P27">
        <v>0.44911764000710619</v>
      </c>
      <c r="Q27">
        <v>-9.7007884952760616E-3</v>
      </c>
      <c r="R27">
        <v>4.32682327406873E-3</v>
      </c>
      <c r="S27">
        <v>-9.7007884952760616E-3</v>
      </c>
      <c r="T27">
        <v>4.32682327406873E-3</v>
      </c>
    </row>
    <row r="28" spans="2:20" ht="15" thickBot="1" x14ac:dyDescent="0.35">
      <c r="B28" s="88">
        <v>44676</v>
      </c>
      <c r="C28" s="89">
        <v>3944.25</v>
      </c>
      <c r="D28" s="17">
        <f t="shared" si="0"/>
        <v>-2.0998571786524645E-2</v>
      </c>
      <c r="F28" s="85">
        <v>17102.550781000002</v>
      </c>
      <c r="G28" s="17">
        <f t="shared" si="1"/>
        <v>-4.041383835634127E-3</v>
      </c>
      <c r="L28" s="93" t="s">
        <v>226</v>
      </c>
      <c r="M28" s="93">
        <v>1.0234533643058505</v>
      </c>
      <c r="N28" s="93">
        <v>0.18608806761958602</v>
      </c>
      <c r="O28" s="93">
        <v>5.499833371358684</v>
      </c>
      <c r="P28" s="93">
        <v>2.782285799084142E-7</v>
      </c>
      <c r="Q28" s="93">
        <v>0.65439157202574638</v>
      </c>
      <c r="R28" s="93">
        <v>1.3925151565859548</v>
      </c>
      <c r="S28" s="93">
        <v>0.65439157202574638</v>
      </c>
      <c r="T28" s="93">
        <v>1.3925151565859548</v>
      </c>
    </row>
    <row r="29" spans="2:20" x14ac:dyDescent="0.3">
      <c r="B29" s="88">
        <v>44683</v>
      </c>
      <c r="C29" s="89">
        <v>3666.1999510000001</v>
      </c>
      <c r="D29" s="17">
        <f t="shared" si="0"/>
        <v>-7.0495036825758972E-2</v>
      </c>
      <c r="F29" s="85">
        <v>16411.25</v>
      </c>
      <c r="G29" s="17">
        <f t="shared" si="1"/>
        <v>-4.0420916730619982E-2</v>
      </c>
    </row>
    <row r="30" spans="2:20" x14ac:dyDescent="0.3">
      <c r="B30" s="88">
        <v>44690</v>
      </c>
      <c r="C30" s="89">
        <v>3230.6000979999999</v>
      </c>
      <c r="D30" s="17">
        <f t="shared" si="0"/>
        <v>-0.11881508341660008</v>
      </c>
      <c r="F30" s="85">
        <v>15782.150390999999</v>
      </c>
      <c r="G30" s="17">
        <f t="shared" si="1"/>
        <v>-3.8333436453652281E-2</v>
      </c>
    </row>
    <row r="31" spans="2:20" x14ac:dyDescent="0.3">
      <c r="B31" s="88">
        <v>44697</v>
      </c>
      <c r="C31" s="89">
        <v>3630.3999020000001</v>
      </c>
      <c r="D31" s="17">
        <f t="shared" si="0"/>
        <v>0.12375403698139809</v>
      </c>
      <c r="F31" s="85">
        <v>16266.150390999999</v>
      </c>
      <c r="G31" s="17">
        <f t="shared" si="1"/>
        <v>3.0667557209187901E-2</v>
      </c>
    </row>
    <row r="32" spans="2:20" x14ac:dyDescent="0.3">
      <c r="B32" s="88">
        <v>44704</v>
      </c>
      <c r="C32" s="89">
        <v>3613.8500979999999</v>
      </c>
      <c r="D32" s="17">
        <f t="shared" si="0"/>
        <v>-4.5586724456672112E-3</v>
      </c>
      <c r="F32" s="85">
        <v>16352.450194999999</v>
      </c>
      <c r="G32" s="17">
        <f t="shared" si="1"/>
        <v>5.3054842064996777E-3</v>
      </c>
    </row>
    <row r="33" spans="2:7" x14ac:dyDescent="0.3">
      <c r="B33" s="88">
        <v>44711</v>
      </c>
      <c r="C33" s="89">
        <v>3820.1000979999999</v>
      </c>
      <c r="D33" s="17">
        <f t="shared" si="0"/>
        <v>5.7072096076742129E-2</v>
      </c>
      <c r="F33" s="85">
        <v>16584.300781000002</v>
      </c>
      <c r="G33" s="17">
        <f t="shared" si="1"/>
        <v>1.4178339223494207E-2</v>
      </c>
    </row>
    <row r="34" spans="2:7" x14ac:dyDescent="0.3">
      <c r="B34" s="88">
        <v>44718</v>
      </c>
      <c r="C34" s="89">
        <v>3755.6499020000001</v>
      </c>
      <c r="D34" s="17">
        <f t="shared" si="0"/>
        <v>-1.6871336966730932E-2</v>
      </c>
      <c r="F34" s="85">
        <v>16201.799805000001</v>
      </c>
      <c r="G34" s="17">
        <f t="shared" si="1"/>
        <v>-2.3064039964724836E-2</v>
      </c>
    </row>
    <row r="35" spans="2:7" x14ac:dyDescent="0.3">
      <c r="B35" s="88">
        <v>44725</v>
      </c>
      <c r="C35" s="89">
        <v>3460.5500489999999</v>
      </c>
      <c r="D35" s="17">
        <f t="shared" si="0"/>
        <v>-7.857490998904082E-2</v>
      </c>
      <c r="F35" s="85">
        <v>15293.5</v>
      </c>
      <c r="G35" s="17">
        <f t="shared" si="1"/>
        <v>-5.606166079892505E-2</v>
      </c>
    </row>
    <row r="36" spans="2:7" x14ac:dyDescent="0.3">
      <c r="B36" s="88">
        <v>44732</v>
      </c>
      <c r="C36" s="89">
        <v>3412</v>
      </c>
      <c r="D36" s="17">
        <f t="shared" si="0"/>
        <v>-1.4029575735808097E-2</v>
      </c>
      <c r="F36" s="85">
        <v>15699.25</v>
      </c>
      <c r="G36" s="17">
        <f t="shared" si="1"/>
        <v>2.6530879131657192E-2</v>
      </c>
    </row>
    <row r="37" spans="2:7" x14ac:dyDescent="0.3">
      <c r="B37" s="88">
        <v>44739</v>
      </c>
      <c r="C37" s="89">
        <v>3388.75</v>
      </c>
      <c r="D37" s="17">
        <f t="shared" si="0"/>
        <v>-6.8141852286048854E-3</v>
      </c>
      <c r="F37" s="85">
        <v>15752.049805000001</v>
      </c>
      <c r="G37" s="17">
        <f t="shared" si="1"/>
        <v>3.3632055671448668E-3</v>
      </c>
    </row>
    <row r="38" spans="2:7" x14ac:dyDescent="0.3">
      <c r="B38" s="88">
        <v>44746</v>
      </c>
      <c r="C38" s="89">
        <v>3941.6999510000001</v>
      </c>
      <c r="D38" s="17">
        <f t="shared" si="0"/>
        <v>0.16317224669863517</v>
      </c>
      <c r="F38" s="85">
        <v>16220.599609000001</v>
      </c>
      <c r="G38" s="17">
        <f t="shared" si="1"/>
        <v>2.9745322659611828E-2</v>
      </c>
    </row>
    <row r="39" spans="2:7" x14ac:dyDescent="0.3">
      <c r="B39" s="88">
        <v>44753</v>
      </c>
      <c r="C39" s="89">
        <v>3926.8000489999999</v>
      </c>
      <c r="D39" s="17">
        <f t="shared" si="0"/>
        <v>-3.7800700675403309E-3</v>
      </c>
      <c r="F39" s="85">
        <v>16049.200194999999</v>
      </c>
      <c r="G39" s="17">
        <f t="shared" si="1"/>
        <v>-1.0566774233481513E-2</v>
      </c>
    </row>
    <row r="40" spans="2:7" x14ac:dyDescent="0.3">
      <c r="B40" s="88">
        <v>44760</v>
      </c>
      <c r="C40" s="89">
        <v>3963.3999020000001</v>
      </c>
      <c r="D40" s="17">
        <f t="shared" si="0"/>
        <v>9.3205288131033015E-3</v>
      </c>
      <c r="F40" s="85">
        <v>16719.449218999998</v>
      </c>
      <c r="G40" s="17">
        <f t="shared" si="1"/>
        <v>4.1762144895470144E-2</v>
      </c>
    </row>
    <row r="41" spans="2:7" x14ac:dyDescent="0.3">
      <c r="B41" s="88">
        <v>44767</v>
      </c>
      <c r="C41" s="89">
        <v>4243.8500979999999</v>
      </c>
      <c r="D41" s="17">
        <f t="shared" si="0"/>
        <v>7.0760004777332686E-2</v>
      </c>
      <c r="F41" s="85">
        <v>17158.25</v>
      </c>
      <c r="G41" s="17">
        <f t="shared" si="1"/>
        <v>2.6244930395275645E-2</v>
      </c>
    </row>
    <row r="42" spans="2:7" x14ac:dyDescent="0.3">
      <c r="B42" s="88">
        <v>44774</v>
      </c>
      <c r="C42" s="89">
        <v>4232.25</v>
      </c>
      <c r="D42" s="17">
        <f t="shared" si="0"/>
        <v>-2.7333901368162827E-3</v>
      </c>
      <c r="F42" s="85">
        <v>17397.5</v>
      </c>
      <c r="G42" s="17">
        <f t="shared" si="1"/>
        <v>1.3943729692713402E-2</v>
      </c>
    </row>
    <row r="43" spans="2:7" x14ac:dyDescent="0.3">
      <c r="B43" s="88">
        <v>44781</v>
      </c>
      <c r="C43" s="89">
        <v>4336.7001950000003</v>
      </c>
      <c r="D43" s="17">
        <f t="shared" si="0"/>
        <v>2.4679590052572697E-2</v>
      </c>
      <c r="F43" s="85">
        <v>17698.150390999999</v>
      </c>
      <c r="G43" s="17">
        <f t="shared" si="1"/>
        <v>1.7281241040379314E-2</v>
      </c>
    </row>
    <row r="44" spans="2:7" x14ac:dyDescent="0.3">
      <c r="B44" s="88">
        <v>44788</v>
      </c>
      <c r="C44" s="89">
        <v>4382</v>
      </c>
      <c r="D44" s="17">
        <f t="shared" si="0"/>
        <v>1.0445685189911957E-2</v>
      </c>
      <c r="F44" s="85">
        <v>17758.449218999998</v>
      </c>
      <c r="G44" s="17">
        <f t="shared" si="1"/>
        <v>3.4070694771959342E-3</v>
      </c>
    </row>
    <row r="45" spans="2:7" x14ac:dyDescent="0.3">
      <c r="B45" s="88">
        <v>44795</v>
      </c>
      <c r="C45" s="89">
        <v>4409.6499020000001</v>
      </c>
      <c r="D45" s="17">
        <f t="shared" si="0"/>
        <v>6.3098817891373837E-3</v>
      </c>
      <c r="F45" s="85">
        <v>17558.900390999999</v>
      </c>
      <c r="G45" s="17">
        <f t="shared" si="1"/>
        <v>-1.1236838619134604E-2</v>
      </c>
    </row>
    <row r="46" spans="2:7" x14ac:dyDescent="0.3">
      <c r="B46" s="88">
        <v>44802</v>
      </c>
      <c r="C46" s="89">
        <v>4576.7998049999997</v>
      </c>
      <c r="D46" s="17">
        <f t="shared" si="0"/>
        <v>3.7905481549496356E-2</v>
      </c>
      <c r="F46" s="85">
        <v>17539.449218999998</v>
      </c>
      <c r="G46" s="17">
        <f t="shared" si="1"/>
        <v>-1.1077670905844661E-3</v>
      </c>
    </row>
    <row r="47" spans="2:7" x14ac:dyDescent="0.3">
      <c r="B47" s="88">
        <v>44809</v>
      </c>
      <c r="C47" s="89">
        <v>4386.1000979999999</v>
      </c>
      <c r="D47" s="17">
        <f t="shared" si="0"/>
        <v>-4.1666604423393538E-2</v>
      </c>
      <c r="F47" s="85">
        <v>17833.349609000001</v>
      </c>
      <c r="G47" s="17">
        <f t="shared" si="1"/>
        <v>1.6756534730955508E-2</v>
      </c>
    </row>
    <row r="48" spans="2:7" x14ac:dyDescent="0.3">
      <c r="B48" s="88">
        <v>44816</v>
      </c>
      <c r="C48" s="89">
        <v>4327.5498049999997</v>
      </c>
      <c r="D48" s="17">
        <f t="shared" si="0"/>
        <v>-1.334905535482378E-2</v>
      </c>
      <c r="F48" s="85">
        <v>17530.849609000001</v>
      </c>
      <c r="G48" s="17">
        <f t="shared" si="1"/>
        <v>-1.6962601341440453E-2</v>
      </c>
    </row>
    <row r="49" spans="2:7" x14ac:dyDescent="0.3">
      <c r="B49" s="88">
        <v>44823</v>
      </c>
      <c r="C49" s="89">
        <v>4367</v>
      </c>
      <c r="D49" s="17">
        <f t="shared" si="0"/>
        <v>9.1160579953164511E-3</v>
      </c>
      <c r="F49" s="85">
        <v>17327.349609000001</v>
      </c>
      <c r="G49" s="17">
        <f t="shared" si="1"/>
        <v>-1.1608108251383698E-2</v>
      </c>
    </row>
    <row r="50" spans="2:7" x14ac:dyDescent="0.3">
      <c r="B50" s="88">
        <v>44830</v>
      </c>
      <c r="C50" s="89">
        <v>4386.5498049999997</v>
      </c>
      <c r="D50" s="17">
        <f t="shared" si="0"/>
        <v>4.4767128463474304E-3</v>
      </c>
      <c r="F50" s="85">
        <v>17094.349609000001</v>
      </c>
      <c r="G50" s="17">
        <f t="shared" si="1"/>
        <v>-1.3446949779265527E-2</v>
      </c>
    </row>
    <row r="51" spans="2:7" x14ac:dyDescent="0.3">
      <c r="B51" s="88">
        <v>44837</v>
      </c>
      <c r="C51" s="89">
        <v>4471.4501950000003</v>
      </c>
      <c r="D51" s="17">
        <f t="shared" si="0"/>
        <v>1.9354707862481613E-2</v>
      </c>
      <c r="F51" s="85">
        <v>17314.650390999999</v>
      </c>
      <c r="G51" s="17">
        <f t="shared" si="1"/>
        <v>1.2887345060733635E-2</v>
      </c>
    </row>
    <row r="52" spans="2:7" x14ac:dyDescent="0.3">
      <c r="B52" s="88">
        <v>44844</v>
      </c>
      <c r="C52" s="89">
        <v>4306.1499020000001</v>
      </c>
      <c r="D52" s="17">
        <f t="shared" si="0"/>
        <v>-3.6967937870545864E-2</v>
      </c>
      <c r="F52" s="85">
        <v>17185.699218999998</v>
      </c>
      <c r="G52" s="17">
        <f t="shared" si="1"/>
        <v>-7.4475180894804094E-3</v>
      </c>
    </row>
    <row r="53" spans="2:7" x14ac:dyDescent="0.3">
      <c r="B53" s="88">
        <v>44851</v>
      </c>
      <c r="C53" s="89">
        <v>4215.5498049999997</v>
      </c>
      <c r="D53" s="17">
        <f t="shared" si="0"/>
        <v>-2.1039698817247654E-2</v>
      </c>
      <c r="F53" s="85">
        <v>17576.300781000002</v>
      </c>
      <c r="G53" s="17">
        <f t="shared" si="1"/>
        <v>2.2728290366455628E-2</v>
      </c>
    </row>
    <row r="54" spans="2:7" x14ac:dyDescent="0.3">
      <c r="B54" s="88">
        <v>44858</v>
      </c>
      <c r="C54" s="89">
        <v>4307.3500979999999</v>
      </c>
      <c r="D54" s="17">
        <f t="shared" si="0"/>
        <v>2.1776588403988884E-2</v>
      </c>
      <c r="F54" s="85">
        <v>17786.800781000002</v>
      </c>
      <c r="G54" s="17">
        <f t="shared" si="1"/>
        <v>1.197635399068453E-2</v>
      </c>
    </row>
    <row r="55" spans="2:7" x14ac:dyDescent="0.3">
      <c r="B55" s="88">
        <v>44865</v>
      </c>
      <c r="C55" s="89">
        <v>4167.3500979999999</v>
      </c>
      <c r="D55" s="17">
        <f t="shared" si="0"/>
        <v>-3.2502582055033091E-2</v>
      </c>
      <c r="F55" s="85">
        <v>18117.150390999999</v>
      </c>
      <c r="G55" s="17">
        <f t="shared" si="1"/>
        <v>1.8572739081492262E-2</v>
      </c>
    </row>
    <row r="56" spans="2:7" x14ac:dyDescent="0.3">
      <c r="B56" s="88">
        <v>44872</v>
      </c>
      <c r="C56" s="89">
        <v>4128.3500979999999</v>
      </c>
      <c r="D56" s="17">
        <f t="shared" si="0"/>
        <v>-9.3584649916302887E-3</v>
      </c>
      <c r="F56" s="85">
        <v>18349.699218999998</v>
      </c>
      <c r="G56" s="17">
        <f t="shared" si="1"/>
        <v>1.2835839134808014E-2</v>
      </c>
    </row>
    <row r="57" spans="2:7" x14ac:dyDescent="0.3">
      <c r="B57" s="88">
        <v>44879</v>
      </c>
      <c r="C57" s="89">
        <v>3910.6000979999999</v>
      </c>
      <c r="D57" s="17">
        <f t="shared" si="0"/>
        <v>-5.2745042167206213E-2</v>
      </c>
      <c r="F57" s="85">
        <v>18307.650390999999</v>
      </c>
      <c r="G57" s="17">
        <f t="shared" si="1"/>
        <v>-2.2915268254892762E-3</v>
      </c>
    </row>
    <row r="58" spans="2:7" x14ac:dyDescent="0.3">
      <c r="B58" s="88">
        <v>44886</v>
      </c>
      <c r="C58" s="89">
        <v>3904.4499510000001</v>
      </c>
      <c r="D58" s="17">
        <f t="shared" si="0"/>
        <v>-1.5726862491373117E-3</v>
      </c>
      <c r="F58" s="85">
        <v>18512.75</v>
      </c>
      <c r="G58" s="17">
        <f t="shared" si="1"/>
        <v>1.1202945469224623E-2</v>
      </c>
    </row>
    <row r="59" spans="2:7" x14ac:dyDescent="0.3">
      <c r="B59" s="88">
        <v>44893</v>
      </c>
      <c r="C59" s="89">
        <v>4005.75</v>
      </c>
      <c r="D59" s="17">
        <f t="shared" si="0"/>
        <v>2.5944768218646219E-2</v>
      </c>
      <c r="F59" s="85">
        <v>18696.099609000001</v>
      </c>
      <c r="G59" s="17">
        <f t="shared" si="1"/>
        <v>9.9039639707769744E-3</v>
      </c>
    </row>
    <row r="60" spans="2:7" x14ac:dyDescent="0.3">
      <c r="B60" s="88">
        <v>44900</v>
      </c>
      <c r="C60" s="89">
        <v>4002.3999020000001</v>
      </c>
      <c r="D60" s="17">
        <f t="shared" si="0"/>
        <v>-8.3632228671282061E-4</v>
      </c>
      <c r="F60" s="85">
        <v>18496.599609000001</v>
      </c>
      <c r="G60" s="17">
        <f t="shared" si="1"/>
        <v>-1.0670674855838058E-2</v>
      </c>
    </row>
    <row r="61" spans="2:7" x14ac:dyDescent="0.3">
      <c r="B61" s="88">
        <v>44907</v>
      </c>
      <c r="C61" s="89">
        <v>3990</v>
      </c>
      <c r="D61" s="17">
        <f t="shared" si="0"/>
        <v>-3.0981167058803383E-3</v>
      </c>
      <c r="F61" s="85">
        <v>18269</v>
      </c>
      <c r="G61" s="17">
        <f t="shared" si="1"/>
        <v>-1.2304943276668867E-2</v>
      </c>
    </row>
    <row r="62" spans="2:7" x14ac:dyDescent="0.3">
      <c r="B62" s="88">
        <v>44914</v>
      </c>
      <c r="C62" s="89">
        <v>3875.6000979999999</v>
      </c>
      <c r="D62" s="17">
        <f t="shared" si="0"/>
        <v>-2.8671654636591493E-2</v>
      </c>
      <c r="F62" s="85">
        <v>17806.800781000002</v>
      </c>
      <c r="G62" s="17">
        <f t="shared" si="1"/>
        <v>-2.529964524604511E-2</v>
      </c>
    </row>
    <row r="63" spans="2:7" x14ac:dyDescent="0.3">
      <c r="B63" s="88">
        <v>44921</v>
      </c>
      <c r="C63" s="89">
        <v>4068.75</v>
      </c>
      <c r="D63" s="17">
        <f t="shared" si="0"/>
        <v>4.9837417978102261E-2</v>
      </c>
      <c r="F63" s="85">
        <v>18105.300781000002</v>
      </c>
      <c r="G63" s="17">
        <f t="shared" si="1"/>
        <v>1.6763258244484991E-2</v>
      </c>
    </row>
    <row r="64" spans="2:7" x14ac:dyDescent="0.3">
      <c r="B64" s="88">
        <v>44928</v>
      </c>
      <c r="C64" s="89">
        <v>3842.5</v>
      </c>
      <c r="D64" s="17">
        <f t="shared" si="0"/>
        <v>-5.5606758832565273E-2</v>
      </c>
      <c r="F64" s="85">
        <v>17859.449218999998</v>
      </c>
      <c r="G64" s="17">
        <f t="shared" si="1"/>
        <v>-1.3578982474458767E-2</v>
      </c>
    </row>
    <row r="65" spans="2:7" x14ac:dyDescent="0.3">
      <c r="B65" s="88">
        <v>44935</v>
      </c>
      <c r="C65" s="89">
        <v>3863.6999510000001</v>
      </c>
      <c r="D65" s="17">
        <f t="shared" si="0"/>
        <v>5.517228627195836E-3</v>
      </c>
      <c r="F65" s="85">
        <v>17956.599609000001</v>
      </c>
      <c r="G65" s="17">
        <f t="shared" si="1"/>
        <v>5.4397192661825855E-3</v>
      </c>
    </row>
    <row r="66" spans="2:7" x14ac:dyDescent="0.3">
      <c r="B66" s="88">
        <v>44942</v>
      </c>
      <c r="C66" s="89">
        <v>3513.75</v>
      </c>
      <c r="D66" s="17">
        <f t="shared" si="0"/>
        <v>-9.0573790780370089E-2</v>
      </c>
      <c r="F66" s="85">
        <v>18027.650390999999</v>
      </c>
      <c r="G66" s="17">
        <f t="shared" si="1"/>
        <v>3.9568060516528281E-3</v>
      </c>
    </row>
    <row r="67" spans="2:7" x14ac:dyDescent="0.3">
      <c r="B67" s="88">
        <v>44949</v>
      </c>
      <c r="C67" s="89">
        <v>3562.3500979999999</v>
      </c>
      <c r="D67" s="17">
        <f t="shared" si="0"/>
        <v>1.3831404624688792E-2</v>
      </c>
      <c r="F67" s="85">
        <v>17604.349609000001</v>
      </c>
      <c r="G67" s="17">
        <f t="shared" si="1"/>
        <v>-2.3480640727941093E-2</v>
      </c>
    </row>
    <row r="68" spans="2:7" x14ac:dyDescent="0.3">
      <c r="B68" s="88">
        <v>44956</v>
      </c>
      <c r="C68" s="89">
        <v>3470.3500979999999</v>
      </c>
      <c r="D68" s="17">
        <f t="shared" si="0"/>
        <v>-2.5825648088785957E-2</v>
      </c>
      <c r="F68" s="85">
        <v>17854.050781000002</v>
      </c>
      <c r="G68" s="17">
        <f t="shared" si="1"/>
        <v>1.4184061186352848E-2</v>
      </c>
    </row>
    <row r="69" spans="2:7" x14ac:dyDescent="0.3">
      <c r="B69" s="88">
        <v>44963</v>
      </c>
      <c r="C69" s="89">
        <v>3498.8500979999999</v>
      </c>
      <c r="D69" s="17">
        <f t="shared" si="0"/>
        <v>8.2124279093411801E-3</v>
      </c>
      <c r="F69" s="85">
        <v>17856.5</v>
      </c>
      <c r="G69" s="17">
        <f t="shared" si="1"/>
        <v>1.371800175793414E-4</v>
      </c>
    </row>
    <row r="70" spans="2:7" x14ac:dyDescent="0.3">
      <c r="B70" s="88">
        <v>44970</v>
      </c>
      <c r="C70" s="89">
        <v>3545</v>
      </c>
      <c r="D70" s="17">
        <f t="shared" si="0"/>
        <v>1.3190019780035867E-2</v>
      </c>
      <c r="F70" s="85">
        <v>17944.199218999998</v>
      </c>
      <c r="G70" s="17">
        <f t="shared" si="1"/>
        <v>4.9113330719905424E-3</v>
      </c>
    </row>
    <row r="71" spans="2:7" x14ac:dyDescent="0.3">
      <c r="B71" s="88">
        <v>44977</v>
      </c>
      <c r="C71" s="89">
        <v>3499.1999510000001</v>
      </c>
      <c r="D71" s="17">
        <f t="shared" si="0"/>
        <v>-1.2919618899858931E-2</v>
      </c>
      <c r="F71" s="85">
        <v>17465.800781000002</v>
      </c>
      <c r="G71" s="17">
        <f t="shared" si="1"/>
        <v>-2.6660339208308015E-2</v>
      </c>
    </row>
    <row r="72" spans="2:7" x14ac:dyDescent="0.3">
      <c r="B72" s="88">
        <v>44984</v>
      </c>
      <c r="C72" s="89">
        <v>3463.25</v>
      </c>
      <c r="D72" s="17">
        <f t="shared" si="0"/>
        <v>-1.0273763003947889E-2</v>
      </c>
      <c r="F72" s="85">
        <v>17594.349609000001</v>
      </c>
      <c r="G72" s="17">
        <f t="shared" si="1"/>
        <v>7.3600305884538031E-3</v>
      </c>
    </row>
    <row r="73" spans="2:7" x14ac:dyDescent="0.3">
      <c r="B73" s="88">
        <v>44991</v>
      </c>
      <c r="C73" s="89">
        <v>3391.8500979999999</v>
      </c>
      <c r="D73" s="17">
        <f t="shared" si="0"/>
        <v>-2.0616444669024792E-2</v>
      </c>
      <c r="F73" s="85">
        <v>17412.900390999999</v>
      </c>
      <c r="G73" s="17">
        <f t="shared" si="1"/>
        <v>-1.0312925571695164E-2</v>
      </c>
    </row>
    <row r="74" spans="2:7" x14ac:dyDescent="0.3">
      <c r="B74" s="88">
        <v>44998</v>
      </c>
      <c r="C74" s="89">
        <v>3311.3000489999999</v>
      </c>
      <c r="D74" s="17">
        <f t="shared" ref="D74:D113" si="2">IFERROR(C74/C73-1,0)</f>
        <v>-2.3748115828437166E-2</v>
      </c>
      <c r="F74" s="85">
        <v>17100.050781000002</v>
      </c>
      <c r="G74" s="17">
        <f t="shared" ref="G74:G113" si="3">IFERROR(F74/F73-1,0)</f>
        <v>-1.7966542217268788E-2</v>
      </c>
    </row>
    <row r="75" spans="2:7" x14ac:dyDescent="0.3">
      <c r="B75" s="88">
        <v>45005</v>
      </c>
      <c r="C75" s="89">
        <v>3358.3999020000001</v>
      </c>
      <c r="D75" s="17">
        <f t="shared" si="2"/>
        <v>1.4223976173413977E-2</v>
      </c>
      <c r="F75" s="85">
        <v>16945.050781000002</v>
      </c>
      <c r="G75" s="17">
        <f t="shared" si="3"/>
        <v>-9.0643005675878907E-3</v>
      </c>
    </row>
    <row r="76" spans="2:7" x14ac:dyDescent="0.3">
      <c r="B76" s="88">
        <v>45012</v>
      </c>
      <c r="C76" s="89">
        <v>3401.0500489999999</v>
      </c>
      <c r="D76" s="17">
        <f t="shared" si="2"/>
        <v>1.2699543903214261E-2</v>
      </c>
      <c r="F76" s="85">
        <v>17359.75</v>
      </c>
      <c r="G76" s="17">
        <f t="shared" si="3"/>
        <v>2.4473176525678486E-2</v>
      </c>
    </row>
    <row r="77" spans="2:7" x14ac:dyDescent="0.3">
      <c r="B77" s="88">
        <v>45019</v>
      </c>
      <c r="C77" s="89">
        <v>3496.1000979999999</v>
      </c>
      <c r="D77" s="17">
        <f t="shared" si="2"/>
        <v>2.7947265588739834E-2</v>
      </c>
      <c r="F77" s="85">
        <v>17599.150390999999</v>
      </c>
      <c r="G77" s="17">
        <f t="shared" si="3"/>
        <v>1.3790543700226143E-2</v>
      </c>
    </row>
    <row r="78" spans="2:7" x14ac:dyDescent="0.3">
      <c r="B78" s="88">
        <v>45026</v>
      </c>
      <c r="C78" s="89">
        <v>3501.0500489999999</v>
      </c>
      <c r="D78" s="17">
        <f t="shared" si="2"/>
        <v>1.4158493353297885E-3</v>
      </c>
      <c r="F78" s="85">
        <v>17828</v>
      </c>
      <c r="G78" s="17">
        <f t="shared" si="3"/>
        <v>1.3003446411653519E-2</v>
      </c>
    </row>
    <row r="79" spans="2:7" x14ac:dyDescent="0.3">
      <c r="B79" s="88">
        <v>45033</v>
      </c>
      <c r="C79" s="89">
        <v>3455.8999020000001</v>
      </c>
      <c r="D79" s="17">
        <f t="shared" si="2"/>
        <v>-1.2896172967563291E-2</v>
      </c>
      <c r="F79" s="85">
        <v>17624.050781000002</v>
      </c>
      <c r="G79" s="17">
        <f t="shared" si="3"/>
        <v>-1.1439826060130054E-2</v>
      </c>
    </row>
    <row r="80" spans="2:7" x14ac:dyDescent="0.3">
      <c r="B80" s="88">
        <v>45040</v>
      </c>
      <c r="C80" s="89">
        <v>3511.9499510000001</v>
      </c>
      <c r="D80" s="17">
        <f t="shared" si="2"/>
        <v>1.621865522423338E-2</v>
      </c>
      <c r="F80" s="85">
        <v>18065</v>
      </c>
      <c r="G80" s="17">
        <f t="shared" si="3"/>
        <v>2.5019742877464557E-2</v>
      </c>
    </row>
    <row r="81" spans="2:7" x14ac:dyDescent="0.3">
      <c r="B81" s="88">
        <v>45047</v>
      </c>
      <c r="C81" s="89">
        <v>3598.1999510000001</v>
      </c>
      <c r="D81" s="17">
        <f t="shared" si="2"/>
        <v>2.4559006023260999E-2</v>
      </c>
      <c r="F81" s="85">
        <v>18069</v>
      </c>
      <c r="G81" s="17">
        <f t="shared" si="3"/>
        <v>2.2142264046509652E-4</v>
      </c>
    </row>
    <row r="82" spans="2:7" x14ac:dyDescent="0.3">
      <c r="B82" s="88">
        <v>45054</v>
      </c>
      <c r="C82" s="89">
        <v>3677.5500489999999</v>
      </c>
      <c r="D82" s="17">
        <f t="shared" si="2"/>
        <v>2.20527205493255E-2</v>
      </c>
      <c r="F82" s="85">
        <v>18314.800781000002</v>
      </c>
      <c r="G82" s="17">
        <f t="shared" si="3"/>
        <v>1.3603452376999448E-2</v>
      </c>
    </row>
    <row r="83" spans="2:7" x14ac:dyDescent="0.3">
      <c r="B83" s="88">
        <v>45061</v>
      </c>
      <c r="C83" s="89">
        <v>3395.25</v>
      </c>
      <c r="D83" s="17">
        <f t="shared" si="2"/>
        <v>-7.6763074666179709E-2</v>
      </c>
      <c r="F83" s="85">
        <v>18203.400390999999</v>
      </c>
      <c r="G83" s="17">
        <f t="shared" si="3"/>
        <v>-6.0825335384249168E-3</v>
      </c>
    </row>
    <row r="84" spans="2:7" x14ac:dyDescent="0.3">
      <c r="B84" s="88">
        <v>45068</v>
      </c>
      <c r="C84" s="89">
        <v>3501.75</v>
      </c>
      <c r="D84" s="17">
        <f t="shared" si="2"/>
        <v>3.1367351446874414E-2</v>
      </c>
      <c r="F84" s="85">
        <v>18499.349609000001</v>
      </c>
      <c r="G84" s="17">
        <f t="shared" si="3"/>
        <v>1.6257908502980811E-2</v>
      </c>
    </row>
    <row r="85" spans="2:7" x14ac:dyDescent="0.3">
      <c r="B85" s="88">
        <v>45075</v>
      </c>
      <c r="C85" s="89">
        <v>3531.6000979999999</v>
      </c>
      <c r="D85" s="17">
        <f t="shared" si="2"/>
        <v>8.5243372599415057E-3</v>
      </c>
      <c r="F85" s="85">
        <v>18534.099609000001</v>
      </c>
      <c r="G85" s="17">
        <f t="shared" si="3"/>
        <v>1.8784444174779757E-3</v>
      </c>
    </row>
    <row r="86" spans="2:7" x14ac:dyDescent="0.3">
      <c r="B86" s="88">
        <v>45082</v>
      </c>
      <c r="C86" s="89">
        <v>3632.1000979999999</v>
      </c>
      <c r="D86" s="17">
        <f t="shared" si="2"/>
        <v>2.8457355649331495E-2</v>
      </c>
      <c r="F86" s="85">
        <v>18563.400390999999</v>
      </c>
      <c r="G86" s="17">
        <f t="shared" si="3"/>
        <v>1.5809120819534339E-3</v>
      </c>
    </row>
    <row r="87" spans="2:7" x14ac:dyDescent="0.3">
      <c r="B87" s="88">
        <v>45089</v>
      </c>
      <c r="C87" s="89">
        <v>4085.6000979999999</v>
      </c>
      <c r="D87" s="17">
        <f t="shared" si="2"/>
        <v>0.12485889368790182</v>
      </c>
      <c r="F87" s="85">
        <v>18826</v>
      </c>
      <c r="G87" s="17">
        <f t="shared" si="3"/>
        <v>1.4146094113625551E-2</v>
      </c>
    </row>
    <row r="88" spans="2:7" x14ac:dyDescent="0.3">
      <c r="B88" s="88">
        <v>45096</v>
      </c>
      <c r="C88" s="89">
        <v>3744.0500489999999</v>
      </c>
      <c r="D88" s="17">
        <f t="shared" si="2"/>
        <v>-8.359850225360943E-2</v>
      </c>
      <c r="F88" s="85">
        <v>18665.5</v>
      </c>
      <c r="G88" s="17">
        <f t="shared" si="3"/>
        <v>-8.5254435355359703E-3</v>
      </c>
    </row>
    <row r="89" spans="2:7" x14ac:dyDescent="0.3">
      <c r="B89" s="88">
        <v>45103</v>
      </c>
      <c r="C89" s="89">
        <v>3889.1999510000001</v>
      </c>
      <c r="D89" s="17">
        <f t="shared" si="2"/>
        <v>3.8768152161525737E-2</v>
      </c>
      <c r="F89" s="85">
        <v>19189.050781000002</v>
      </c>
      <c r="G89" s="17">
        <f t="shared" si="3"/>
        <v>2.804911633762841E-2</v>
      </c>
    </row>
    <row r="90" spans="2:7" x14ac:dyDescent="0.3">
      <c r="B90" s="88">
        <v>45110</v>
      </c>
      <c r="C90" s="89">
        <v>3808.9499510000001</v>
      </c>
      <c r="D90" s="17">
        <f t="shared" si="2"/>
        <v>-2.0634063820597848E-2</v>
      </c>
      <c r="F90" s="85">
        <v>19331.800781000002</v>
      </c>
      <c r="G90" s="17">
        <f t="shared" si="3"/>
        <v>7.4391381642151533E-3</v>
      </c>
    </row>
    <row r="91" spans="2:7" x14ac:dyDescent="0.3">
      <c r="B91" s="88">
        <v>45117</v>
      </c>
      <c r="C91" s="89">
        <v>3838.75</v>
      </c>
      <c r="D91" s="17">
        <f t="shared" si="2"/>
        <v>7.8236914066502905E-3</v>
      </c>
      <c r="F91" s="85">
        <v>19564.5</v>
      </c>
      <c r="G91" s="17">
        <f t="shared" si="3"/>
        <v>1.2037120681933855E-2</v>
      </c>
    </row>
    <row r="92" spans="2:7" x14ac:dyDescent="0.3">
      <c r="B92" s="88">
        <v>45124</v>
      </c>
      <c r="C92" s="89">
        <v>3675.6999510000001</v>
      </c>
      <c r="D92" s="17">
        <f t="shared" si="2"/>
        <v>-4.2474776685118787E-2</v>
      </c>
      <c r="F92" s="85">
        <v>19745</v>
      </c>
      <c r="G92" s="17">
        <f t="shared" si="3"/>
        <v>9.225893838329613E-3</v>
      </c>
    </row>
    <row r="93" spans="2:7" x14ac:dyDescent="0.3">
      <c r="B93" s="88">
        <v>45131</v>
      </c>
      <c r="C93" s="89">
        <v>3713.8999020000001</v>
      </c>
      <c r="D93" s="17">
        <f t="shared" si="2"/>
        <v>1.039256509215547E-2</v>
      </c>
      <c r="F93" s="85">
        <v>19646.050781000002</v>
      </c>
      <c r="G93" s="17">
        <f t="shared" si="3"/>
        <v>-5.0113557356291638E-3</v>
      </c>
    </row>
    <row r="94" spans="2:7" x14ac:dyDescent="0.3">
      <c r="B94" s="88">
        <v>45138</v>
      </c>
      <c r="C94" s="89">
        <v>3652.1000979999999</v>
      </c>
      <c r="D94" s="17">
        <f t="shared" si="2"/>
        <v>-1.6640137222524443E-2</v>
      </c>
      <c r="F94" s="85">
        <v>19517</v>
      </c>
      <c r="G94" s="17">
        <f t="shared" si="3"/>
        <v>-6.568789953694365E-3</v>
      </c>
    </row>
    <row r="95" spans="2:7" x14ac:dyDescent="0.3">
      <c r="B95" s="88">
        <v>45145</v>
      </c>
      <c r="C95" s="89">
        <v>3550.0500489999999</v>
      </c>
      <c r="D95" s="17">
        <f t="shared" si="2"/>
        <v>-2.7942840081487841E-2</v>
      </c>
      <c r="F95" s="85">
        <v>19428.300781000002</v>
      </c>
      <c r="G95" s="17">
        <f t="shared" si="3"/>
        <v>-4.5447158374749552E-3</v>
      </c>
    </row>
    <row r="96" spans="2:7" x14ac:dyDescent="0.3">
      <c r="B96" s="88">
        <v>45152</v>
      </c>
      <c r="C96" s="89">
        <v>3540.9499510000001</v>
      </c>
      <c r="D96" s="17">
        <f t="shared" si="2"/>
        <v>-2.5633717481147178E-3</v>
      </c>
      <c r="F96" s="85">
        <v>19310.150390999999</v>
      </c>
      <c r="G96" s="17">
        <f t="shared" si="3"/>
        <v>-6.0813547891717112E-3</v>
      </c>
    </row>
    <row r="97" spans="2:7" x14ac:dyDescent="0.3">
      <c r="B97" s="88">
        <v>45159</v>
      </c>
      <c r="C97" s="89">
        <v>3534.6000979999999</v>
      </c>
      <c r="D97" s="17">
        <f t="shared" si="2"/>
        <v>-1.7932625673533487E-3</v>
      </c>
      <c r="F97" s="85">
        <v>19265.800781000002</v>
      </c>
      <c r="G97" s="17">
        <f t="shared" si="3"/>
        <v>-2.2966993576947203E-3</v>
      </c>
    </row>
    <row r="98" spans="2:7" x14ac:dyDescent="0.3">
      <c r="B98" s="88">
        <v>45166</v>
      </c>
      <c r="C98" s="89">
        <v>3761.0500489999999</v>
      </c>
      <c r="D98" s="17">
        <f t="shared" si="2"/>
        <v>6.406663971070814E-2</v>
      </c>
      <c r="F98" s="85">
        <v>19435.300781000002</v>
      </c>
      <c r="G98" s="17">
        <f t="shared" si="3"/>
        <v>8.797973254616176E-3</v>
      </c>
    </row>
    <row r="99" spans="2:7" x14ac:dyDescent="0.3">
      <c r="B99" s="88">
        <v>45173</v>
      </c>
      <c r="C99" s="89">
        <v>3782.3999020000001</v>
      </c>
      <c r="D99" s="17">
        <f t="shared" si="2"/>
        <v>5.6765671080811764E-3</v>
      </c>
      <c r="F99" s="85">
        <v>19819.949218999998</v>
      </c>
      <c r="G99" s="17">
        <f t="shared" si="3"/>
        <v>1.9791226404688889E-2</v>
      </c>
    </row>
    <row r="100" spans="2:7" x14ac:dyDescent="0.3">
      <c r="B100" s="88">
        <v>45180</v>
      </c>
      <c r="C100" s="89">
        <v>3796</v>
      </c>
      <c r="D100" s="17">
        <f t="shared" si="2"/>
        <v>3.5956266794552327E-3</v>
      </c>
      <c r="F100" s="85">
        <v>20192.349609000001</v>
      </c>
      <c r="G100" s="17">
        <f t="shared" si="3"/>
        <v>1.8789169734249711E-2</v>
      </c>
    </row>
    <row r="101" spans="2:7" x14ac:dyDescent="0.3">
      <c r="B101" s="88">
        <v>45187</v>
      </c>
      <c r="C101" s="89">
        <v>3689.1000979999999</v>
      </c>
      <c r="D101" s="17">
        <f t="shared" si="2"/>
        <v>-2.8161196522655474E-2</v>
      </c>
      <c r="F101" s="85">
        <v>19674.25</v>
      </c>
      <c r="G101" s="17">
        <f t="shared" si="3"/>
        <v>-2.5658213087251469E-2</v>
      </c>
    </row>
    <row r="102" spans="2:7" x14ac:dyDescent="0.3">
      <c r="B102" s="88">
        <v>45194</v>
      </c>
      <c r="C102" s="89">
        <v>3675.6000979999999</v>
      </c>
      <c r="D102" s="17">
        <f t="shared" si="2"/>
        <v>-3.6594290318440192E-3</v>
      </c>
      <c r="F102" s="85">
        <v>19638.300781000002</v>
      </c>
      <c r="G102" s="17">
        <f t="shared" si="3"/>
        <v>-1.8272218254824502E-3</v>
      </c>
    </row>
    <row r="103" spans="2:7" x14ac:dyDescent="0.3">
      <c r="B103" s="88">
        <v>45201</v>
      </c>
      <c r="C103" s="89">
        <v>3833.9499510000001</v>
      </c>
      <c r="D103" s="17">
        <f t="shared" si="2"/>
        <v>4.308136053379763E-2</v>
      </c>
      <c r="F103" s="85">
        <v>19653.5</v>
      </c>
      <c r="G103" s="17">
        <f t="shared" si="3"/>
        <v>7.7395794928980521E-4</v>
      </c>
    </row>
    <row r="104" spans="2:7" x14ac:dyDescent="0.3">
      <c r="B104" s="88">
        <v>45208</v>
      </c>
      <c r="C104" s="89">
        <v>3935.8500979999999</v>
      </c>
      <c r="D104" s="17">
        <f t="shared" si="2"/>
        <v>2.6578371732114414E-2</v>
      </c>
      <c r="F104" s="85">
        <v>19751.050781000002</v>
      </c>
      <c r="G104" s="17">
        <f t="shared" si="3"/>
        <v>4.96353224616497E-3</v>
      </c>
    </row>
    <row r="105" spans="2:7" x14ac:dyDescent="0.3">
      <c r="B105" s="88">
        <v>45215</v>
      </c>
      <c r="C105" s="89">
        <v>3749.5</v>
      </c>
      <c r="D105" s="17">
        <f t="shared" si="2"/>
        <v>-4.7346848421563004E-2</v>
      </c>
      <c r="F105" s="85">
        <v>19542.650390999999</v>
      </c>
      <c r="G105" s="17">
        <f t="shared" si="3"/>
        <v>-1.0551357105540893E-2</v>
      </c>
    </row>
    <row r="106" spans="2:7" x14ac:dyDescent="0.3">
      <c r="B106" s="88">
        <v>45222</v>
      </c>
      <c r="C106" s="89">
        <v>3665.4499510000001</v>
      </c>
      <c r="D106" s="17">
        <f t="shared" si="2"/>
        <v>-2.2416335244699326E-2</v>
      </c>
      <c r="F106" s="85">
        <v>19047.25</v>
      </c>
      <c r="G106" s="17">
        <f t="shared" si="3"/>
        <v>-2.5349703396840506E-2</v>
      </c>
    </row>
    <row r="107" spans="2:7" x14ac:dyDescent="0.3">
      <c r="B107" s="88">
        <v>45229</v>
      </c>
      <c r="C107" s="89">
        <v>3649.6999510000001</v>
      </c>
      <c r="D107" s="17">
        <f t="shared" si="2"/>
        <v>-4.2968803859135818E-3</v>
      </c>
      <c r="F107" s="85">
        <v>19230.599609000001</v>
      </c>
      <c r="G107" s="17">
        <f t="shared" si="3"/>
        <v>9.6260409770438926E-3</v>
      </c>
    </row>
    <row r="108" spans="2:7" x14ac:dyDescent="0.3">
      <c r="B108" s="88">
        <v>45236</v>
      </c>
      <c r="C108" s="89">
        <v>3798.3999020000001</v>
      </c>
      <c r="D108" s="17">
        <f t="shared" si="2"/>
        <v>4.0743061894514598E-2</v>
      </c>
      <c r="F108" s="85">
        <v>19425.349609000001</v>
      </c>
      <c r="G108" s="17">
        <f t="shared" si="3"/>
        <v>1.0127089324289962E-2</v>
      </c>
    </row>
    <row r="109" spans="2:7" x14ac:dyDescent="0.3">
      <c r="B109" s="88">
        <v>45243</v>
      </c>
      <c r="C109" s="89">
        <v>3810.8999020000001</v>
      </c>
      <c r="D109" s="17">
        <f t="shared" si="2"/>
        <v>3.2908593940881303E-3</v>
      </c>
      <c r="F109" s="85">
        <v>19731.800781000002</v>
      </c>
      <c r="G109" s="17">
        <f t="shared" si="3"/>
        <v>1.5775838178892609E-2</v>
      </c>
    </row>
    <row r="110" spans="2:7" x14ac:dyDescent="0.3">
      <c r="B110" s="88">
        <v>45250</v>
      </c>
      <c r="C110" s="89">
        <v>3842.8999020000001</v>
      </c>
      <c r="D110" s="17">
        <f t="shared" si="2"/>
        <v>8.396966811751172E-3</v>
      </c>
      <c r="F110" s="85">
        <v>19794.699218999998</v>
      </c>
      <c r="G110" s="17">
        <f t="shared" si="3"/>
        <v>3.1876684088845142E-3</v>
      </c>
    </row>
    <row r="111" spans="2:7" x14ac:dyDescent="0.3">
      <c r="B111" s="88">
        <v>45257</v>
      </c>
      <c r="C111" s="89">
        <v>3988.3999020000001</v>
      </c>
      <c r="D111" s="17">
        <f t="shared" si="2"/>
        <v>3.7862032244003085E-2</v>
      </c>
      <c r="F111" s="85">
        <v>20267.900390999999</v>
      </c>
      <c r="G111" s="17">
        <f t="shared" si="3"/>
        <v>2.390544896715574E-2</v>
      </c>
    </row>
    <row r="112" spans="2:7" x14ac:dyDescent="0.3">
      <c r="B112" s="88">
        <v>45264</v>
      </c>
      <c r="C112" s="89">
        <v>4070.6499020000001</v>
      </c>
      <c r="D112" s="17">
        <f t="shared" si="2"/>
        <v>2.0622305190298285E-2</v>
      </c>
      <c r="F112" s="85">
        <v>20969.400390999999</v>
      </c>
      <c r="G112" s="17">
        <f t="shared" si="3"/>
        <v>3.4611379889724736E-2</v>
      </c>
    </row>
    <row r="113" spans="2:7" x14ac:dyDescent="0.3">
      <c r="B113" s="88">
        <v>45268</v>
      </c>
      <c r="C113" s="89">
        <v>4070.6499020000001</v>
      </c>
      <c r="D113" s="17">
        <f t="shared" si="2"/>
        <v>0</v>
      </c>
      <c r="F113" s="85">
        <v>20969.400390999999</v>
      </c>
      <c r="G113" s="17">
        <f t="shared" si="3"/>
        <v>0</v>
      </c>
    </row>
  </sheetData>
  <mergeCells count="3">
    <mergeCell ref="B5:D5"/>
    <mergeCell ref="F5:G5"/>
    <mergeCell ref="I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DED3-43F9-49CE-BCCC-C484F12E8912}">
  <dimension ref="B2:T113"/>
  <sheetViews>
    <sheetView showGridLines="0" workbookViewId="0">
      <selection activeCell="L8" sqref="L8"/>
    </sheetView>
  </sheetViews>
  <sheetFormatPr defaultRowHeight="14.4" x14ac:dyDescent="0.3"/>
  <cols>
    <col min="1" max="1" width="1.88671875" customWidth="1"/>
    <col min="2" max="2" width="14.33203125" bestFit="1" customWidth="1"/>
    <col min="3" max="3" width="12" bestFit="1" customWidth="1"/>
    <col min="4" max="4" width="14.21875" bestFit="1" customWidth="1"/>
    <col min="6" max="6" width="12" bestFit="1" customWidth="1"/>
    <col min="9" max="9" width="17.5546875" bestFit="1" customWidth="1"/>
  </cols>
  <sheetData>
    <row r="2" spans="2:13" x14ac:dyDescent="0.3">
      <c r="B2" s="15" t="s">
        <v>233</v>
      </c>
    </row>
    <row r="3" spans="2:13" x14ac:dyDescent="0.3">
      <c r="B3" s="15"/>
    </row>
    <row r="5" spans="2:13" x14ac:dyDescent="0.3">
      <c r="B5" s="156" t="s">
        <v>197</v>
      </c>
      <c r="C5" s="156"/>
      <c r="D5" s="156"/>
      <c r="F5" s="156" t="s">
        <v>199</v>
      </c>
      <c r="G5" s="156"/>
      <c r="I5" s="156" t="s">
        <v>227</v>
      </c>
      <c r="J5" s="156"/>
      <c r="L5" t="s">
        <v>200</v>
      </c>
      <c r="M5" s="87">
        <f>SLOPE(D9:D113,G9:G113)</f>
        <v>1.1293562568468869</v>
      </c>
    </row>
    <row r="6" spans="2:13" s="96" customFormat="1" x14ac:dyDescent="0.3">
      <c r="B6" s="97"/>
      <c r="C6" s="97"/>
      <c r="D6" s="97"/>
      <c r="F6" s="97"/>
      <c r="G6" s="97"/>
      <c r="I6" s="97"/>
      <c r="J6" s="97"/>
      <c r="M6" s="101"/>
    </row>
    <row r="7" spans="2:13" x14ac:dyDescent="0.3">
      <c r="B7" s="91" t="s">
        <v>195</v>
      </c>
      <c r="C7" s="92" t="s">
        <v>196</v>
      </c>
      <c r="D7" s="92" t="s">
        <v>198</v>
      </c>
      <c r="F7" s="92" t="s">
        <v>196</v>
      </c>
      <c r="G7" s="92" t="s">
        <v>198</v>
      </c>
      <c r="I7" s="45" t="s">
        <v>228</v>
      </c>
      <c r="J7" s="87">
        <f>M9</f>
        <v>1.0234533643058505</v>
      </c>
      <c r="L7" t="s">
        <v>201</v>
      </c>
      <c r="M7" s="87">
        <f>_xlfn.COVARIANCE.S(D8:D113,G8:G113)/_xlfn.VAR.S(G8:G113)</f>
        <v>1.1293562568468856</v>
      </c>
    </row>
    <row r="8" spans="2:13" x14ac:dyDescent="0.3">
      <c r="B8" s="88">
        <v>44536</v>
      </c>
      <c r="C8" s="85">
        <v>1032.7326660000001</v>
      </c>
      <c r="F8" s="85">
        <v>17511.300781000002</v>
      </c>
      <c r="I8" t="s">
        <v>229</v>
      </c>
      <c r="J8" s="90">
        <v>0.75</v>
      </c>
    </row>
    <row r="9" spans="2:13" x14ac:dyDescent="0.3">
      <c r="B9" s="88">
        <v>44543</v>
      </c>
      <c r="C9" s="85">
        <v>1031.885254</v>
      </c>
      <c r="D9" s="17">
        <f>IFERROR(C9/C8-1,0)</f>
        <v>-8.2055310914319612E-4</v>
      </c>
      <c r="F9" s="85">
        <v>16985.199218999998</v>
      </c>
      <c r="G9" s="17">
        <f>IFERROR(F9/F8-1,0)</f>
        <v>-3.0043545512668635E-2</v>
      </c>
      <c r="L9" t="s">
        <v>202</v>
      </c>
      <c r="M9" s="87">
        <f>M28</f>
        <v>1.0234533643058505</v>
      </c>
    </row>
    <row r="10" spans="2:13" x14ac:dyDescent="0.3">
      <c r="B10" s="88">
        <v>44550</v>
      </c>
      <c r="C10" s="85">
        <v>1037.7669679999999</v>
      </c>
      <c r="D10" s="17">
        <f t="shared" ref="D10:D73" si="0">IFERROR(C10/C9-1,0)</f>
        <v>5.6999690393868541E-3</v>
      </c>
      <c r="F10" s="85">
        <v>17003.75</v>
      </c>
      <c r="G10" s="17">
        <f t="shared" ref="G10:G73" si="1">IFERROR(F10/F9-1,0)</f>
        <v>1.0921732951623131E-3</v>
      </c>
      <c r="I10" t="s">
        <v>230</v>
      </c>
      <c r="J10">
        <v>1</v>
      </c>
    </row>
    <row r="11" spans="2:13" x14ac:dyDescent="0.3">
      <c r="B11" s="88">
        <v>44557</v>
      </c>
      <c r="C11" s="85">
        <v>1061.6923830000001</v>
      </c>
      <c r="D11" s="17">
        <f t="shared" si="0"/>
        <v>2.3054708559581139E-2</v>
      </c>
      <c r="F11" s="85">
        <v>17354.050781000002</v>
      </c>
      <c r="G11" s="17">
        <f t="shared" si="1"/>
        <v>2.0601383871204915E-2</v>
      </c>
      <c r="I11" t="s">
        <v>231</v>
      </c>
      <c r="J11" s="102">
        <f>1-J8</f>
        <v>0.25</v>
      </c>
      <c r="L11" t="s">
        <v>203</v>
      </c>
    </row>
    <row r="12" spans="2:13" ht="15" thickBot="1" x14ac:dyDescent="0.35">
      <c r="B12" s="88">
        <v>44564</v>
      </c>
      <c r="C12" s="85">
        <v>1081.8295900000001</v>
      </c>
      <c r="D12" s="17">
        <f t="shared" si="0"/>
        <v>1.8967082483062336E-2</v>
      </c>
      <c r="F12" s="85">
        <v>17812.699218999998</v>
      </c>
      <c r="G12" s="17">
        <f t="shared" si="1"/>
        <v>2.6428898001275014E-2</v>
      </c>
    </row>
    <row r="13" spans="2:13" x14ac:dyDescent="0.3">
      <c r="B13" s="88">
        <v>44571</v>
      </c>
      <c r="C13" s="85">
        <v>1161.2322999999999</v>
      </c>
      <c r="D13" s="17">
        <f t="shared" si="0"/>
        <v>7.3396689029369133E-2</v>
      </c>
      <c r="F13" s="85">
        <v>18255.75</v>
      </c>
      <c r="G13" s="17">
        <f t="shared" si="1"/>
        <v>2.4872748119354027E-2</v>
      </c>
      <c r="I13" s="54" t="s">
        <v>232</v>
      </c>
      <c r="J13" s="54">
        <f>J7*J8+J10*J11</f>
        <v>1.017590023229388</v>
      </c>
      <c r="L13" s="95" t="s">
        <v>204</v>
      </c>
      <c r="M13" s="95"/>
    </row>
    <row r="14" spans="2:13" x14ac:dyDescent="0.3">
      <c r="B14" s="88">
        <v>44578</v>
      </c>
      <c r="C14" s="85">
        <v>1178.179443</v>
      </c>
      <c r="D14" s="17">
        <f t="shared" si="0"/>
        <v>1.4594102316995539E-2</v>
      </c>
      <c r="F14" s="85">
        <v>17617.150390999999</v>
      </c>
      <c r="G14" s="17">
        <f t="shared" si="1"/>
        <v>-3.4980738068827621E-2</v>
      </c>
      <c r="L14" t="s">
        <v>205</v>
      </c>
      <c r="M14">
        <v>0.47645173189937545</v>
      </c>
    </row>
    <row r="15" spans="2:13" x14ac:dyDescent="0.3">
      <c r="B15" s="88">
        <v>44585</v>
      </c>
      <c r="C15" s="85">
        <v>1015.13739</v>
      </c>
      <c r="D15" s="17">
        <f t="shared" si="0"/>
        <v>-0.13838473754460168</v>
      </c>
      <c r="F15" s="85">
        <v>17101.949218999998</v>
      </c>
      <c r="G15" s="17">
        <f t="shared" si="1"/>
        <v>-2.9244296640800638E-2</v>
      </c>
      <c r="L15" t="s">
        <v>206</v>
      </c>
      <c r="M15">
        <v>0.22700625282991435</v>
      </c>
    </row>
    <row r="16" spans="2:13" x14ac:dyDescent="0.3">
      <c r="B16" s="88">
        <v>44592</v>
      </c>
      <c r="C16" s="85">
        <v>1054.115967</v>
      </c>
      <c r="D16" s="17">
        <f t="shared" si="0"/>
        <v>3.8397341467247159E-2</v>
      </c>
      <c r="F16" s="85">
        <v>17516.300781000002</v>
      </c>
      <c r="G16" s="17">
        <f t="shared" si="1"/>
        <v>2.4228323724623468E-2</v>
      </c>
      <c r="L16" t="s">
        <v>207</v>
      </c>
      <c r="M16">
        <v>0.21950145916806887</v>
      </c>
    </row>
    <row r="17" spans="2:20" x14ac:dyDescent="0.3">
      <c r="B17" s="88">
        <v>44599</v>
      </c>
      <c r="C17" s="85">
        <v>1068.0225829999999</v>
      </c>
      <c r="D17" s="17">
        <f t="shared" si="0"/>
        <v>1.3192681294429187E-2</v>
      </c>
      <c r="F17" s="85">
        <v>17374.75</v>
      </c>
      <c r="G17" s="17">
        <f t="shared" si="1"/>
        <v>-8.0810887395552644E-3</v>
      </c>
      <c r="L17" t="s">
        <v>208</v>
      </c>
      <c r="M17">
        <v>3.6057265146473491E-2</v>
      </c>
    </row>
    <row r="18" spans="2:20" ht="15" thickBot="1" x14ac:dyDescent="0.35">
      <c r="B18" s="88">
        <v>44606</v>
      </c>
      <c r="C18" s="85">
        <v>1041.904053</v>
      </c>
      <c r="D18" s="17">
        <f t="shared" si="0"/>
        <v>-2.4455035329529085E-2</v>
      </c>
      <c r="F18" s="85">
        <v>17276.300781000002</v>
      </c>
      <c r="G18" s="17">
        <f t="shared" si="1"/>
        <v>-5.66622362911684E-3</v>
      </c>
      <c r="L18" s="93" t="s">
        <v>209</v>
      </c>
      <c r="M18" s="93">
        <v>105</v>
      </c>
    </row>
    <row r="19" spans="2:20" x14ac:dyDescent="0.3">
      <c r="B19" s="88">
        <v>44613</v>
      </c>
      <c r="C19" s="85">
        <v>1066.7764890000001</v>
      </c>
      <c r="D19" s="17">
        <f t="shared" si="0"/>
        <v>2.3872098326505053E-2</v>
      </c>
      <c r="F19" s="85">
        <v>16658.400390999999</v>
      </c>
      <c r="G19" s="17">
        <f t="shared" si="1"/>
        <v>-3.5765780987070617E-2</v>
      </c>
    </row>
    <row r="20" spans="2:20" ht="15" thickBot="1" x14ac:dyDescent="0.35">
      <c r="B20" s="88">
        <v>44620</v>
      </c>
      <c r="C20" s="85">
        <v>1092.68103</v>
      </c>
      <c r="D20" s="17">
        <f t="shared" si="0"/>
        <v>2.4283007047036564E-2</v>
      </c>
      <c r="F20" s="85">
        <v>16245.349609000001</v>
      </c>
      <c r="G20" s="17">
        <f t="shared" si="1"/>
        <v>-2.479534482933643E-2</v>
      </c>
      <c r="L20" t="s">
        <v>210</v>
      </c>
    </row>
    <row r="21" spans="2:20" x14ac:dyDescent="0.3">
      <c r="B21" s="88">
        <v>44627</v>
      </c>
      <c r="C21" s="85">
        <v>1165.845703</v>
      </c>
      <c r="D21" s="17">
        <f t="shared" si="0"/>
        <v>6.6958857151569573E-2</v>
      </c>
      <c r="F21" s="85">
        <v>16630.449218999998</v>
      </c>
      <c r="G21" s="17">
        <f t="shared" si="1"/>
        <v>2.3705221449137115E-2</v>
      </c>
      <c r="L21" s="94"/>
      <c r="M21" s="94" t="s">
        <v>214</v>
      </c>
      <c r="N21" s="94" t="s">
        <v>215</v>
      </c>
      <c r="O21" s="94" t="s">
        <v>216</v>
      </c>
      <c r="P21" s="94" t="s">
        <v>217</v>
      </c>
      <c r="Q21" s="94" t="s">
        <v>218</v>
      </c>
    </row>
    <row r="22" spans="2:20" x14ac:dyDescent="0.3">
      <c r="B22" s="88">
        <v>44634</v>
      </c>
      <c r="C22" s="85">
        <v>1258.860107</v>
      </c>
      <c r="D22" s="17">
        <f t="shared" si="0"/>
        <v>7.9782773793008577E-2</v>
      </c>
      <c r="F22" s="85">
        <v>17287.050781000002</v>
      </c>
      <c r="G22" s="17">
        <f t="shared" si="1"/>
        <v>3.9481889716475482E-2</v>
      </c>
      <c r="L22" t="s">
        <v>211</v>
      </c>
      <c r="M22">
        <v>1</v>
      </c>
      <c r="N22">
        <v>3.932643970265573E-2</v>
      </c>
      <c r="O22">
        <v>3.932643970265573E-2</v>
      </c>
      <c r="P22">
        <v>30.248167112710675</v>
      </c>
      <c r="Q22">
        <v>2.7822857990841012E-7</v>
      </c>
    </row>
    <row r="23" spans="2:20" x14ac:dyDescent="0.3">
      <c r="B23" s="88">
        <v>44641</v>
      </c>
      <c r="C23" s="85">
        <v>1258.111938</v>
      </c>
      <c r="D23" s="17">
        <f t="shared" si="0"/>
        <v>-5.9432259060376857E-4</v>
      </c>
      <c r="F23" s="85">
        <v>17153</v>
      </c>
      <c r="G23" s="17">
        <f t="shared" si="1"/>
        <v>-7.7544043051771538E-3</v>
      </c>
      <c r="L23" t="s">
        <v>212</v>
      </c>
      <c r="M23">
        <v>103</v>
      </c>
      <c r="N23">
        <v>0.13391301609383846</v>
      </c>
      <c r="O23">
        <v>1.3001263698430919E-3</v>
      </c>
    </row>
    <row r="24" spans="2:20" ht="15" thickBot="1" x14ac:dyDescent="0.35">
      <c r="B24" s="88">
        <v>44648</v>
      </c>
      <c r="C24" s="85">
        <v>1265.243774</v>
      </c>
      <c r="D24" s="17">
        <f t="shared" si="0"/>
        <v>5.6686816050226518E-3</v>
      </c>
      <c r="F24" s="85">
        <v>17670.449218999998</v>
      </c>
      <c r="G24" s="17">
        <f t="shared" si="1"/>
        <v>3.0166689150585846E-2</v>
      </c>
      <c r="L24" s="93" t="s">
        <v>37</v>
      </c>
      <c r="M24" s="93">
        <v>104</v>
      </c>
      <c r="N24" s="93">
        <v>0.17323945579649419</v>
      </c>
      <c r="O24" s="93"/>
      <c r="P24" s="93"/>
      <c r="Q24" s="93"/>
    </row>
    <row r="25" spans="2:20" ht="15" thickBot="1" x14ac:dyDescent="0.35">
      <c r="B25" s="88">
        <v>44655</v>
      </c>
      <c r="C25" s="85">
        <v>1266.4407960000001</v>
      </c>
      <c r="D25" s="17">
        <f t="shared" si="0"/>
        <v>9.460801345939629E-4</v>
      </c>
      <c r="F25" s="85">
        <v>17784.349609000001</v>
      </c>
      <c r="G25" s="17">
        <f t="shared" si="1"/>
        <v>6.4458117950692007E-3</v>
      </c>
    </row>
    <row r="26" spans="2:20" x14ac:dyDescent="0.3">
      <c r="B26" s="88">
        <v>44662</v>
      </c>
      <c r="C26" s="85">
        <v>1229.6839600000001</v>
      </c>
      <c r="D26" s="17">
        <f t="shared" si="0"/>
        <v>-2.9023730217863308E-2</v>
      </c>
      <c r="F26" s="85">
        <v>17475.650390999999</v>
      </c>
      <c r="G26" s="17">
        <f t="shared" si="1"/>
        <v>-1.7357914390289553E-2</v>
      </c>
      <c r="L26" s="94"/>
      <c r="M26" s="94" t="s">
        <v>219</v>
      </c>
      <c r="N26" s="94" t="s">
        <v>208</v>
      </c>
      <c r="O26" s="94" t="s">
        <v>220</v>
      </c>
      <c r="P26" s="94" t="s">
        <v>221</v>
      </c>
      <c r="Q26" s="94" t="s">
        <v>222</v>
      </c>
      <c r="R26" s="94" t="s">
        <v>223</v>
      </c>
      <c r="S26" s="94" t="s">
        <v>224</v>
      </c>
      <c r="T26" s="94" t="s">
        <v>225</v>
      </c>
    </row>
    <row r="27" spans="2:20" x14ac:dyDescent="0.3">
      <c r="B27" s="88">
        <v>44669</v>
      </c>
      <c r="C27" s="85">
        <v>1283.3479</v>
      </c>
      <c r="D27" s="17">
        <f t="shared" si="0"/>
        <v>4.364043261977657E-2</v>
      </c>
      <c r="F27" s="85">
        <v>17171.949218999998</v>
      </c>
      <c r="G27" s="17">
        <f t="shared" si="1"/>
        <v>-1.7378533285170805E-2</v>
      </c>
      <c r="L27" t="s">
        <v>213</v>
      </c>
      <c r="M27">
        <v>-2.6869826106036662E-3</v>
      </c>
      <c r="N27">
        <v>3.5364960855849849E-3</v>
      </c>
      <c r="O27">
        <v>-0.75978667742797812</v>
      </c>
      <c r="P27">
        <v>0.44911764000710619</v>
      </c>
      <c r="Q27">
        <v>-9.7007884952760616E-3</v>
      </c>
      <c r="R27">
        <v>4.32682327406873E-3</v>
      </c>
      <c r="S27">
        <v>-9.7007884952760616E-3</v>
      </c>
      <c r="T27">
        <v>4.32682327406873E-3</v>
      </c>
    </row>
    <row r="28" spans="2:20" ht="15" thickBot="1" x14ac:dyDescent="0.35">
      <c r="B28" s="88">
        <v>44676</v>
      </c>
      <c r="C28" s="85">
        <v>1225.295044</v>
      </c>
      <c r="D28" s="17">
        <f t="shared" si="0"/>
        <v>-4.5235478236260063E-2</v>
      </c>
      <c r="F28" s="85">
        <v>17102.550781000002</v>
      </c>
      <c r="G28" s="17">
        <f t="shared" si="1"/>
        <v>-4.041383835634127E-3</v>
      </c>
      <c r="L28" s="93" t="s">
        <v>226</v>
      </c>
      <c r="M28" s="93">
        <v>1.0234533643058505</v>
      </c>
      <c r="N28" s="93">
        <v>0.18608806761958602</v>
      </c>
      <c r="O28" s="93">
        <v>5.499833371358684</v>
      </c>
      <c r="P28" s="93">
        <v>2.782285799084142E-7</v>
      </c>
      <c r="Q28" s="93">
        <v>0.65439157202574638</v>
      </c>
      <c r="R28" s="93">
        <v>1.3925151565859548</v>
      </c>
      <c r="S28" s="93">
        <v>0.65439157202574638</v>
      </c>
      <c r="T28" s="93">
        <v>1.3925151565859548</v>
      </c>
    </row>
    <row r="29" spans="2:20" x14ac:dyDescent="0.3">
      <c r="B29" s="88">
        <v>44683</v>
      </c>
      <c r="C29" s="85">
        <v>1143.8514399999999</v>
      </c>
      <c r="D29" s="17">
        <f t="shared" si="0"/>
        <v>-6.6468565590639961E-2</v>
      </c>
      <c r="F29" s="85">
        <v>16411.25</v>
      </c>
      <c r="G29" s="17">
        <f t="shared" si="1"/>
        <v>-4.0420916730619982E-2</v>
      </c>
    </row>
    <row r="30" spans="2:20" x14ac:dyDescent="0.3">
      <c r="B30" s="88">
        <v>44690</v>
      </c>
      <c r="C30" s="85">
        <v>1029.3914789999999</v>
      </c>
      <c r="D30" s="17">
        <f t="shared" si="0"/>
        <v>-0.10006540796941255</v>
      </c>
      <c r="F30" s="85">
        <v>15782.150390999999</v>
      </c>
      <c r="G30" s="17">
        <f t="shared" si="1"/>
        <v>-3.8333436453652281E-2</v>
      </c>
    </row>
    <row r="31" spans="2:20" x14ac:dyDescent="0.3">
      <c r="B31" s="88">
        <v>44697</v>
      </c>
      <c r="C31" s="85">
        <v>1084.2025149999999</v>
      </c>
      <c r="D31" s="17">
        <f t="shared" si="0"/>
        <v>5.324605567285845E-2</v>
      </c>
      <c r="F31" s="85">
        <v>16266.150390999999</v>
      </c>
      <c r="G31" s="17">
        <f t="shared" si="1"/>
        <v>3.0667557209187901E-2</v>
      </c>
    </row>
    <row r="32" spans="2:20" x14ac:dyDescent="0.3">
      <c r="B32" s="88">
        <v>44704</v>
      </c>
      <c r="C32" s="85">
        <v>1066.8813479999999</v>
      </c>
      <c r="D32" s="17">
        <f t="shared" si="0"/>
        <v>-1.5975951688324663E-2</v>
      </c>
      <c r="F32" s="85">
        <v>16352.450194999999</v>
      </c>
      <c r="G32" s="17">
        <f t="shared" si="1"/>
        <v>5.3054842064996777E-3</v>
      </c>
    </row>
    <row r="33" spans="2:7" x14ac:dyDescent="0.3">
      <c r="B33" s="88">
        <v>44711</v>
      </c>
      <c r="C33" s="85">
        <v>1127.6420900000001</v>
      </c>
      <c r="D33" s="17">
        <f t="shared" si="0"/>
        <v>5.6951733305586005E-2</v>
      </c>
      <c r="F33" s="85">
        <v>16584.300781000002</v>
      </c>
      <c r="G33" s="17">
        <f t="shared" si="1"/>
        <v>1.4178339223494207E-2</v>
      </c>
    </row>
    <row r="34" spans="2:7" x14ac:dyDescent="0.3">
      <c r="B34" s="88">
        <v>44718</v>
      </c>
      <c r="C34" s="85">
        <v>1111.665649</v>
      </c>
      <c r="D34" s="17">
        <f t="shared" si="0"/>
        <v>-1.4168006978171666E-2</v>
      </c>
      <c r="F34" s="85">
        <v>16201.799805000001</v>
      </c>
      <c r="G34" s="17">
        <f t="shared" si="1"/>
        <v>-2.3064039964724836E-2</v>
      </c>
    </row>
    <row r="35" spans="2:7" x14ac:dyDescent="0.3">
      <c r="B35" s="88">
        <v>44725</v>
      </c>
      <c r="C35" s="85">
        <v>1042.267578</v>
      </c>
      <c r="D35" s="17">
        <f t="shared" si="0"/>
        <v>-6.2427107523226222E-2</v>
      </c>
      <c r="F35" s="85">
        <v>15293.5</v>
      </c>
      <c r="G35" s="17">
        <f t="shared" si="1"/>
        <v>-5.606166079892505E-2</v>
      </c>
    </row>
    <row r="36" spans="2:7" x14ac:dyDescent="0.3">
      <c r="B36" s="88">
        <v>44732</v>
      </c>
      <c r="C36" s="85">
        <v>1057.14563</v>
      </c>
      <c r="D36" s="17">
        <f t="shared" si="0"/>
        <v>1.4274695206915489E-2</v>
      </c>
      <c r="F36" s="85">
        <v>15699.25</v>
      </c>
      <c r="G36" s="17">
        <f t="shared" si="1"/>
        <v>2.6530879131657192E-2</v>
      </c>
    </row>
    <row r="37" spans="2:7" x14ac:dyDescent="0.3">
      <c r="B37" s="88">
        <v>44739</v>
      </c>
      <c r="C37" s="85">
        <v>1071.973999</v>
      </c>
      <c r="D37" s="17">
        <f t="shared" si="0"/>
        <v>1.4026798748626668E-2</v>
      </c>
      <c r="F37" s="85">
        <v>15752.049805000001</v>
      </c>
      <c r="G37" s="17">
        <f t="shared" si="1"/>
        <v>3.3632055671448668E-3</v>
      </c>
    </row>
    <row r="38" spans="2:7" x14ac:dyDescent="0.3">
      <c r="B38" s="88">
        <v>44746</v>
      </c>
      <c r="C38" s="85">
        <v>1202.4820560000001</v>
      </c>
      <c r="D38" s="17">
        <f t="shared" si="0"/>
        <v>0.12174554338234467</v>
      </c>
      <c r="F38" s="85">
        <v>16220.599609000001</v>
      </c>
      <c r="G38" s="17">
        <f t="shared" si="1"/>
        <v>2.9745322659611828E-2</v>
      </c>
    </row>
    <row r="39" spans="2:7" x14ac:dyDescent="0.3">
      <c r="B39" s="88">
        <v>44753</v>
      </c>
      <c r="C39" s="85">
        <v>1208.9224850000001</v>
      </c>
      <c r="D39" s="17">
        <f t="shared" si="0"/>
        <v>5.3559460350067756E-3</v>
      </c>
      <c r="F39" s="85">
        <v>16049.200194999999</v>
      </c>
      <c r="G39" s="17">
        <f t="shared" si="1"/>
        <v>-1.0566774233481513E-2</v>
      </c>
    </row>
    <row r="40" spans="2:7" x14ac:dyDescent="0.3">
      <c r="B40" s="88">
        <v>44760</v>
      </c>
      <c r="C40" s="85">
        <v>1241.924072</v>
      </c>
      <c r="D40" s="17">
        <f t="shared" si="0"/>
        <v>2.7298348247695836E-2</v>
      </c>
      <c r="F40" s="85">
        <v>16719.449218999998</v>
      </c>
      <c r="G40" s="17">
        <f t="shared" si="1"/>
        <v>4.1762144895470144E-2</v>
      </c>
    </row>
    <row r="41" spans="2:7" x14ac:dyDescent="0.3">
      <c r="B41" s="88">
        <v>44767</v>
      </c>
      <c r="C41" s="85">
        <v>1266.7375489999999</v>
      </c>
      <c r="D41" s="17">
        <f t="shared" si="0"/>
        <v>1.9979866369801647E-2</v>
      </c>
      <c r="F41" s="85">
        <v>17158.25</v>
      </c>
      <c r="G41" s="17">
        <f t="shared" si="1"/>
        <v>2.6244930395275645E-2</v>
      </c>
    </row>
    <row r="42" spans="2:7" x14ac:dyDescent="0.3">
      <c r="B42" s="88">
        <v>44774</v>
      </c>
      <c r="C42" s="85">
        <v>1313.9681399999999</v>
      </c>
      <c r="D42" s="17">
        <f t="shared" si="0"/>
        <v>3.7285222212987357E-2</v>
      </c>
      <c r="F42" s="85">
        <v>17397.5</v>
      </c>
      <c r="G42" s="17">
        <f t="shared" si="1"/>
        <v>1.3943729692713402E-2</v>
      </c>
    </row>
    <row r="43" spans="2:7" x14ac:dyDescent="0.3">
      <c r="B43" s="88">
        <v>44781</v>
      </c>
      <c r="C43" s="85">
        <v>1380.719971</v>
      </c>
      <c r="D43" s="17">
        <f t="shared" si="0"/>
        <v>5.0801711980626996E-2</v>
      </c>
      <c r="F43" s="85">
        <v>17698.150390999999</v>
      </c>
      <c r="G43" s="17">
        <f t="shared" si="1"/>
        <v>1.7281241040379314E-2</v>
      </c>
    </row>
    <row r="44" spans="2:7" x14ac:dyDescent="0.3">
      <c r="B44" s="88">
        <v>44788</v>
      </c>
      <c r="C44" s="85">
        <v>1396.0974120000001</v>
      </c>
      <c r="D44" s="17">
        <f t="shared" si="0"/>
        <v>1.1137262676705451E-2</v>
      </c>
      <c r="F44" s="85">
        <v>17758.449218999998</v>
      </c>
      <c r="G44" s="17">
        <f t="shared" si="1"/>
        <v>3.4070694771959342E-3</v>
      </c>
    </row>
    <row r="45" spans="2:7" x14ac:dyDescent="0.3">
      <c r="B45" s="88">
        <v>44795</v>
      </c>
      <c r="C45" s="85">
        <v>1388.55835</v>
      </c>
      <c r="D45" s="17">
        <f t="shared" si="0"/>
        <v>-5.4000973966421562E-3</v>
      </c>
      <c r="F45" s="85">
        <v>17558.900390999999</v>
      </c>
      <c r="G45" s="17">
        <f t="shared" si="1"/>
        <v>-1.1236838619134604E-2</v>
      </c>
    </row>
    <row r="46" spans="2:7" x14ac:dyDescent="0.3">
      <c r="B46" s="88">
        <v>44802</v>
      </c>
      <c r="C46" s="85">
        <v>1389.0576169999999</v>
      </c>
      <c r="D46" s="17">
        <f t="shared" si="0"/>
        <v>3.5955781044405555E-4</v>
      </c>
      <c r="F46" s="85">
        <v>17539.449218999998</v>
      </c>
      <c r="G46" s="17">
        <f t="shared" si="1"/>
        <v>-1.1077670905844661E-3</v>
      </c>
    </row>
    <row r="47" spans="2:7" x14ac:dyDescent="0.3">
      <c r="B47" s="88">
        <v>44809</v>
      </c>
      <c r="C47" s="85">
        <v>1377.3249510000001</v>
      </c>
      <c r="D47" s="17">
        <f t="shared" si="0"/>
        <v>-8.4464934041680317E-3</v>
      </c>
      <c r="F47" s="85">
        <v>17833.349609000001</v>
      </c>
      <c r="G47" s="17">
        <f t="shared" si="1"/>
        <v>1.6756534730955508E-2</v>
      </c>
    </row>
    <row r="48" spans="2:7" x14ac:dyDescent="0.3">
      <c r="B48" s="88">
        <v>44816</v>
      </c>
      <c r="C48" s="85">
        <v>1430.596558</v>
      </c>
      <c r="D48" s="17">
        <f t="shared" si="0"/>
        <v>3.8677588002252072E-2</v>
      </c>
      <c r="F48" s="85">
        <v>17530.849609000001</v>
      </c>
      <c r="G48" s="17">
        <f t="shared" si="1"/>
        <v>-1.6962601341440453E-2</v>
      </c>
    </row>
    <row r="49" spans="2:7" x14ac:dyDescent="0.3">
      <c r="B49" s="88">
        <v>44823</v>
      </c>
      <c r="C49" s="85">
        <v>1431.545288</v>
      </c>
      <c r="D49" s="17">
        <f t="shared" si="0"/>
        <v>6.6317089517275996E-4</v>
      </c>
      <c r="F49" s="85">
        <v>17327.349609000001</v>
      </c>
      <c r="G49" s="17">
        <f t="shared" si="1"/>
        <v>-1.1608108251383698E-2</v>
      </c>
    </row>
    <row r="50" spans="2:7" x14ac:dyDescent="0.3">
      <c r="B50" s="88">
        <v>44830</v>
      </c>
      <c r="C50" s="85">
        <v>1417.915283</v>
      </c>
      <c r="D50" s="17">
        <f t="shared" si="0"/>
        <v>-9.5211832376203009E-3</v>
      </c>
      <c r="F50" s="85">
        <v>17094.349609000001</v>
      </c>
      <c r="G50" s="17">
        <f t="shared" si="1"/>
        <v>-1.3446949779265527E-2</v>
      </c>
    </row>
    <row r="51" spans="2:7" x14ac:dyDescent="0.3">
      <c r="B51" s="88">
        <v>44837</v>
      </c>
      <c r="C51" s="85">
        <v>1448.6201169999999</v>
      </c>
      <c r="D51" s="17">
        <f t="shared" si="0"/>
        <v>2.1654914343708365E-2</v>
      </c>
      <c r="F51" s="85">
        <v>17314.650390999999</v>
      </c>
      <c r="G51" s="17">
        <f t="shared" si="1"/>
        <v>1.2887345060733635E-2</v>
      </c>
    </row>
    <row r="52" spans="2:7" x14ac:dyDescent="0.3">
      <c r="B52" s="88">
        <v>44844</v>
      </c>
      <c r="C52" s="85">
        <v>1377.5745850000001</v>
      </c>
      <c r="D52" s="17">
        <f t="shared" si="0"/>
        <v>-4.9043590632394829E-2</v>
      </c>
      <c r="F52" s="85">
        <v>17185.699218999998</v>
      </c>
      <c r="G52" s="17">
        <f t="shared" si="1"/>
        <v>-7.4475180894804094E-3</v>
      </c>
    </row>
    <row r="53" spans="2:7" x14ac:dyDescent="0.3">
      <c r="B53" s="88">
        <v>44851</v>
      </c>
      <c r="C53" s="85">
        <v>1428.8991699999999</v>
      </c>
      <c r="D53" s="17">
        <f t="shared" si="0"/>
        <v>3.7257209561542437E-2</v>
      </c>
      <c r="F53" s="85">
        <v>17576.300781000002</v>
      </c>
      <c r="G53" s="17">
        <f t="shared" si="1"/>
        <v>2.2728290366455628E-2</v>
      </c>
    </row>
    <row r="54" spans="2:7" x14ac:dyDescent="0.3">
      <c r="B54" s="88">
        <v>44858</v>
      </c>
      <c r="C54" s="85">
        <v>1456.8079829999999</v>
      </c>
      <c r="D54" s="17">
        <f t="shared" si="0"/>
        <v>1.9531688159634131E-2</v>
      </c>
      <c r="F54" s="85">
        <v>17786.800781000002</v>
      </c>
      <c r="G54" s="17">
        <f t="shared" si="1"/>
        <v>1.197635399068453E-2</v>
      </c>
    </row>
    <row r="55" spans="2:7" x14ac:dyDescent="0.3">
      <c r="B55" s="88">
        <v>44865</v>
      </c>
      <c r="C55" s="85">
        <v>1503.7890629999999</v>
      </c>
      <c r="D55" s="17">
        <f t="shared" si="0"/>
        <v>3.2249329045583641E-2</v>
      </c>
      <c r="F55" s="85">
        <v>18117.150390999999</v>
      </c>
      <c r="G55" s="17">
        <f t="shared" si="1"/>
        <v>1.8572739081492262E-2</v>
      </c>
    </row>
    <row r="56" spans="2:7" x14ac:dyDescent="0.3">
      <c r="B56" s="88">
        <v>44872</v>
      </c>
      <c r="C56" s="85">
        <v>1416.9666749999999</v>
      </c>
      <c r="D56" s="17">
        <f t="shared" si="0"/>
        <v>-5.7735749072940323E-2</v>
      </c>
      <c r="F56" s="85">
        <v>18349.699218999998</v>
      </c>
      <c r="G56" s="17">
        <f t="shared" si="1"/>
        <v>1.2835839134808014E-2</v>
      </c>
    </row>
    <row r="57" spans="2:7" x14ac:dyDescent="0.3">
      <c r="B57" s="88">
        <v>44879</v>
      </c>
      <c r="C57" s="85">
        <v>1381.0195309999999</v>
      </c>
      <c r="D57" s="17">
        <f t="shared" si="0"/>
        <v>-2.5369082162782663E-2</v>
      </c>
      <c r="F57" s="85">
        <v>18307.650390999999</v>
      </c>
      <c r="G57" s="17">
        <f t="shared" si="1"/>
        <v>-2.2915268254892762E-3</v>
      </c>
    </row>
    <row r="58" spans="2:7" x14ac:dyDescent="0.3">
      <c r="B58" s="88">
        <v>44886</v>
      </c>
      <c r="C58" s="85">
        <v>1430.2971190000001</v>
      </c>
      <c r="D58" s="17">
        <f t="shared" si="0"/>
        <v>3.568203554972027E-2</v>
      </c>
      <c r="F58" s="85">
        <v>18512.75</v>
      </c>
      <c r="G58" s="17">
        <f t="shared" si="1"/>
        <v>1.1202945469224623E-2</v>
      </c>
    </row>
    <row r="59" spans="2:7" x14ac:dyDescent="0.3">
      <c r="B59" s="88">
        <v>44893</v>
      </c>
      <c r="C59" s="85">
        <v>1466.5437010000001</v>
      </c>
      <c r="D59" s="17">
        <f t="shared" si="0"/>
        <v>2.5341994693621306E-2</v>
      </c>
      <c r="F59" s="85">
        <v>18696.099609000001</v>
      </c>
      <c r="G59" s="17">
        <f t="shared" si="1"/>
        <v>9.9039639707769744E-3</v>
      </c>
    </row>
    <row r="60" spans="2:7" x14ac:dyDescent="0.3">
      <c r="B60" s="88">
        <v>44900</v>
      </c>
      <c r="C60" s="85">
        <v>1455.8594969999999</v>
      </c>
      <c r="D60" s="17">
        <f t="shared" si="0"/>
        <v>-7.2852953462722025E-3</v>
      </c>
      <c r="F60" s="85">
        <v>18496.599609000001</v>
      </c>
      <c r="G60" s="17">
        <f t="shared" si="1"/>
        <v>-1.0670674855838058E-2</v>
      </c>
    </row>
    <row r="61" spans="2:7" x14ac:dyDescent="0.3">
      <c r="B61" s="88">
        <v>44907</v>
      </c>
      <c r="C61" s="85">
        <v>1405.234009</v>
      </c>
      <c r="D61" s="17">
        <f t="shared" si="0"/>
        <v>-3.4773608376578058E-2</v>
      </c>
      <c r="F61" s="85">
        <v>18269</v>
      </c>
      <c r="G61" s="17">
        <f t="shared" si="1"/>
        <v>-1.2304943276668867E-2</v>
      </c>
    </row>
    <row r="62" spans="2:7" x14ac:dyDescent="0.3">
      <c r="B62" s="88">
        <v>44914</v>
      </c>
      <c r="C62" s="85">
        <v>1282.514404</v>
      </c>
      <c r="D62" s="17">
        <f t="shared" si="0"/>
        <v>-8.7330369329255308E-2</v>
      </c>
      <c r="F62" s="85">
        <v>17806.800781000002</v>
      </c>
      <c r="G62" s="17">
        <f t="shared" si="1"/>
        <v>-2.529964524604511E-2</v>
      </c>
    </row>
    <row r="63" spans="2:7" x14ac:dyDescent="0.3">
      <c r="B63" s="88">
        <v>44921</v>
      </c>
      <c r="C63" s="85">
        <v>1349.3660890000001</v>
      </c>
      <c r="D63" s="17">
        <f t="shared" si="0"/>
        <v>5.2125484744263373E-2</v>
      </c>
      <c r="F63" s="85">
        <v>18105.300781000002</v>
      </c>
      <c r="G63" s="17">
        <f t="shared" si="1"/>
        <v>1.6763258244484991E-2</v>
      </c>
    </row>
    <row r="64" spans="2:7" x14ac:dyDescent="0.3">
      <c r="B64" s="88">
        <v>44928</v>
      </c>
      <c r="C64" s="85">
        <v>1246.3176269999999</v>
      </c>
      <c r="D64" s="17">
        <f t="shared" si="0"/>
        <v>-7.6368053740233144E-2</v>
      </c>
      <c r="F64" s="85">
        <v>17859.449218999998</v>
      </c>
      <c r="G64" s="17">
        <f t="shared" si="1"/>
        <v>-1.3578982474458767E-2</v>
      </c>
    </row>
    <row r="65" spans="2:7" x14ac:dyDescent="0.3">
      <c r="B65" s="88">
        <v>44935</v>
      </c>
      <c r="C65" s="85">
        <v>1203.630371</v>
      </c>
      <c r="D65" s="17">
        <f t="shared" si="0"/>
        <v>-3.4250703893799583E-2</v>
      </c>
      <c r="F65" s="85">
        <v>17956.599609000001</v>
      </c>
      <c r="G65" s="17">
        <f t="shared" si="1"/>
        <v>5.4397192661825855E-3</v>
      </c>
    </row>
    <row r="66" spans="2:7" x14ac:dyDescent="0.3">
      <c r="B66" s="88">
        <v>44942</v>
      </c>
      <c r="C66" s="85">
        <v>1180.564331</v>
      </c>
      <c r="D66" s="17">
        <f t="shared" si="0"/>
        <v>-1.9163723810687983E-2</v>
      </c>
      <c r="F66" s="85">
        <v>18027.650390999999</v>
      </c>
      <c r="G66" s="17">
        <f t="shared" si="1"/>
        <v>3.9568060516528281E-3</v>
      </c>
    </row>
    <row r="67" spans="2:7" x14ac:dyDescent="0.3">
      <c r="B67" s="88">
        <v>44949</v>
      </c>
      <c r="C67" s="85">
        <v>1174.57312</v>
      </c>
      <c r="D67" s="17">
        <f t="shared" si="0"/>
        <v>-5.0748704180526572E-3</v>
      </c>
      <c r="F67" s="85">
        <v>17604.349609000001</v>
      </c>
      <c r="G67" s="17">
        <f t="shared" si="1"/>
        <v>-2.3480640727941093E-2</v>
      </c>
    </row>
    <row r="68" spans="2:7" x14ac:dyDescent="0.3">
      <c r="B68" s="88">
        <v>44956</v>
      </c>
      <c r="C68" s="85">
        <v>1233.8359379999999</v>
      </c>
      <c r="D68" s="17">
        <f t="shared" si="0"/>
        <v>5.0454771176782875E-2</v>
      </c>
      <c r="F68" s="85">
        <v>17854.050781000002</v>
      </c>
      <c r="G68" s="17">
        <f t="shared" si="1"/>
        <v>1.4184061186352848E-2</v>
      </c>
    </row>
    <row r="69" spans="2:7" x14ac:dyDescent="0.3">
      <c r="B69" s="88">
        <v>44963</v>
      </c>
      <c r="C69" s="85">
        <v>1326.8492429999999</v>
      </c>
      <c r="D69" s="17">
        <f t="shared" si="0"/>
        <v>7.5385472359291938E-2</v>
      </c>
      <c r="F69" s="85">
        <v>17856.5</v>
      </c>
      <c r="G69" s="17">
        <f t="shared" si="1"/>
        <v>1.371800175793414E-4</v>
      </c>
    </row>
    <row r="70" spans="2:7" x14ac:dyDescent="0.3">
      <c r="B70" s="88">
        <v>44970</v>
      </c>
      <c r="C70" s="85">
        <v>1358.652466</v>
      </c>
      <c r="D70" s="17">
        <f t="shared" si="0"/>
        <v>2.3968980023753916E-2</v>
      </c>
      <c r="F70" s="85">
        <v>17944.199218999998</v>
      </c>
      <c r="G70" s="17">
        <f t="shared" si="1"/>
        <v>4.9113330719905424E-3</v>
      </c>
    </row>
    <row r="71" spans="2:7" x14ac:dyDescent="0.3">
      <c r="B71" s="88">
        <v>44977</v>
      </c>
      <c r="C71" s="85">
        <v>1303.6333010000001</v>
      </c>
      <c r="D71" s="17">
        <f t="shared" si="0"/>
        <v>-4.049539258702517E-2</v>
      </c>
      <c r="F71" s="85">
        <v>17465.800781000002</v>
      </c>
      <c r="G71" s="17">
        <f t="shared" si="1"/>
        <v>-2.6660339208308015E-2</v>
      </c>
    </row>
    <row r="72" spans="2:7" x14ac:dyDescent="0.3">
      <c r="B72" s="88">
        <v>44984</v>
      </c>
      <c r="C72" s="85">
        <v>1302.9842530000001</v>
      </c>
      <c r="D72" s="17">
        <f t="shared" si="0"/>
        <v>-4.9787620452934611E-4</v>
      </c>
      <c r="F72" s="85">
        <v>17594.349609000001</v>
      </c>
      <c r="G72" s="17">
        <f t="shared" si="1"/>
        <v>7.3600305884538031E-3</v>
      </c>
    </row>
    <row r="73" spans="2:7" x14ac:dyDescent="0.3">
      <c r="B73" s="88">
        <v>44991</v>
      </c>
      <c r="C73" s="85">
        <v>1339.03125</v>
      </c>
      <c r="D73" s="17">
        <f t="shared" si="0"/>
        <v>2.7664952141213561E-2</v>
      </c>
      <c r="F73" s="85">
        <v>17412.900390999999</v>
      </c>
      <c r="G73" s="17">
        <f t="shared" si="1"/>
        <v>-1.0312925571695164E-2</v>
      </c>
    </row>
    <row r="74" spans="2:7" x14ac:dyDescent="0.3">
      <c r="B74" s="88">
        <v>44998</v>
      </c>
      <c r="C74" s="85">
        <v>1354.208862</v>
      </c>
      <c r="D74" s="17">
        <f t="shared" ref="D74:D113" si="2">IFERROR(C74/C73-1,0)</f>
        <v>1.1334770566407526E-2</v>
      </c>
      <c r="F74" s="85">
        <v>17100.050781000002</v>
      </c>
      <c r="G74" s="17">
        <f t="shared" ref="G74:G113" si="3">IFERROR(F74/F73-1,0)</f>
        <v>-1.7966542217268788E-2</v>
      </c>
    </row>
    <row r="75" spans="2:7" x14ac:dyDescent="0.3">
      <c r="B75" s="88">
        <v>45005</v>
      </c>
      <c r="C75" s="85">
        <v>1308.1267089999999</v>
      </c>
      <c r="D75" s="17">
        <f t="shared" si="2"/>
        <v>-3.4028837273995083E-2</v>
      </c>
      <c r="F75" s="85">
        <v>16945.050781000002</v>
      </c>
      <c r="G75" s="17">
        <f t="shared" si="3"/>
        <v>-9.0643005675878907E-3</v>
      </c>
    </row>
    <row r="76" spans="2:7" x14ac:dyDescent="0.3">
      <c r="B76" s="88">
        <v>45012</v>
      </c>
      <c r="C76" s="85">
        <v>1372.9313959999999</v>
      </c>
      <c r="D76" s="17">
        <f t="shared" si="2"/>
        <v>4.9540068675411497E-2</v>
      </c>
      <c r="F76" s="85">
        <v>17359.75</v>
      </c>
      <c r="G76" s="17">
        <f t="shared" si="3"/>
        <v>2.4473176525678486E-2</v>
      </c>
    </row>
    <row r="77" spans="2:7" x14ac:dyDescent="0.3">
      <c r="B77" s="88">
        <v>45019</v>
      </c>
      <c r="C77" s="85">
        <v>1365.2426760000001</v>
      </c>
      <c r="D77" s="17">
        <f t="shared" si="2"/>
        <v>-5.6002215568824454E-3</v>
      </c>
      <c r="F77" s="85">
        <v>17599.150390999999</v>
      </c>
      <c r="G77" s="17">
        <f t="shared" si="3"/>
        <v>1.3790543700226143E-2</v>
      </c>
    </row>
    <row r="78" spans="2:7" x14ac:dyDescent="0.3">
      <c r="B78" s="88">
        <v>45026</v>
      </c>
      <c r="C78" s="85">
        <v>1359.8007809999999</v>
      </c>
      <c r="D78" s="17">
        <f t="shared" si="2"/>
        <v>-3.9860276093509617E-3</v>
      </c>
      <c r="F78" s="85">
        <v>17828</v>
      </c>
      <c r="G78" s="17">
        <f t="shared" si="3"/>
        <v>1.3003446411653519E-2</v>
      </c>
    </row>
    <row r="79" spans="2:7" x14ac:dyDescent="0.3">
      <c r="B79" s="88">
        <v>45033</v>
      </c>
      <c r="C79" s="85">
        <v>1381.319092</v>
      </c>
      <c r="D79" s="17">
        <f t="shared" si="2"/>
        <v>1.5824605560364136E-2</v>
      </c>
      <c r="F79" s="85">
        <v>17624.050781000002</v>
      </c>
      <c r="G79" s="17">
        <f t="shared" si="3"/>
        <v>-1.1439826060130054E-2</v>
      </c>
    </row>
    <row r="80" spans="2:7" x14ac:dyDescent="0.3">
      <c r="B80" s="88">
        <v>45040</v>
      </c>
      <c r="C80" s="85">
        <v>1365.741943</v>
      </c>
      <c r="D80" s="17">
        <f t="shared" si="2"/>
        <v>-1.1277009845310881E-2</v>
      </c>
      <c r="F80" s="85">
        <v>18065</v>
      </c>
      <c r="G80" s="17">
        <f t="shared" si="3"/>
        <v>2.5019742877464557E-2</v>
      </c>
    </row>
    <row r="81" spans="2:7" x14ac:dyDescent="0.3">
      <c r="B81" s="88">
        <v>45047</v>
      </c>
      <c r="C81" s="85">
        <v>1414.719971</v>
      </c>
      <c r="D81" s="17">
        <f t="shared" si="2"/>
        <v>3.5861846559690713E-2</v>
      </c>
      <c r="F81" s="85">
        <v>18069</v>
      </c>
      <c r="G81" s="17">
        <f t="shared" si="3"/>
        <v>2.2142264046509652E-4</v>
      </c>
    </row>
    <row r="82" spans="2:7" x14ac:dyDescent="0.3">
      <c r="B82" s="88">
        <v>45054</v>
      </c>
      <c r="C82" s="85">
        <v>1483.9681399999999</v>
      </c>
      <c r="D82" s="17">
        <f t="shared" si="2"/>
        <v>4.8948322225953689E-2</v>
      </c>
      <c r="F82" s="85">
        <v>18314.800781000002</v>
      </c>
      <c r="G82" s="17">
        <f t="shared" si="3"/>
        <v>1.3603452376999448E-2</v>
      </c>
    </row>
    <row r="83" spans="2:7" x14ac:dyDescent="0.3">
      <c r="B83" s="88">
        <v>45061</v>
      </c>
      <c r="C83" s="85">
        <v>1490.9079589999999</v>
      </c>
      <c r="D83" s="17">
        <f t="shared" si="2"/>
        <v>4.6765282979728262E-3</v>
      </c>
      <c r="F83" s="85">
        <v>18203.400390999999</v>
      </c>
      <c r="G83" s="17">
        <f t="shared" si="3"/>
        <v>-6.0825335384249168E-3</v>
      </c>
    </row>
    <row r="84" spans="2:7" x14ac:dyDescent="0.3">
      <c r="B84" s="88">
        <v>45068</v>
      </c>
      <c r="C84" s="85">
        <v>1527.953491</v>
      </c>
      <c r="D84" s="17">
        <f t="shared" si="2"/>
        <v>2.4847631791333091E-2</v>
      </c>
      <c r="F84" s="85">
        <v>18499.349609000001</v>
      </c>
      <c r="G84" s="17">
        <f t="shared" si="3"/>
        <v>1.6257908502980811E-2</v>
      </c>
    </row>
    <row r="85" spans="2:7" x14ac:dyDescent="0.3">
      <c r="B85" s="88">
        <v>45075</v>
      </c>
      <c r="C85" s="85">
        <v>1597.3000489999999</v>
      </c>
      <c r="D85" s="17">
        <f t="shared" si="2"/>
        <v>4.5385254465183156E-2</v>
      </c>
      <c r="F85" s="85">
        <v>18534.099609000001</v>
      </c>
      <c r="G85" s="17">
        <f t="shared" si="3"/>
        <v>1.8784444174779757E-3</v>
      </c>
    </row>
    <row r="86" spans="2:7" x14ac:dyDescent="0.3">
      <c r="B86" s="88">
        <v>45082</v>
      </c>
      <c r="C86" s="85">
        <v>1598.400024</v>
      </c>
      <c r="D86" s="17">
        <f t="shared" si="2"/>
        <v>6.8864644478572323E-4</v>
      </c>
      <c r="F86" s="85">
        <v>18563.400390999999</v>
      </c>
      <c r="G86" s="17">
        <f t="shared" si="3"/>
        <v>1.5809120819534339E-3</v>
      </c>
    </row>
    <row r="87" spans="2:7" x14ac:dyDescent="0.3">
      <c r="B87" s="88">
        <v>45089</v>
      </c>
      <c r="C87" s="85">
        <v>1714.25</v>
      </c>
      <c r="D87" s="17">
        <f t="shared" si="2"/>
        <v>7.2478712625444697E-2</v>
      </c>
      <c r="F87" s="85">
        <v>18826</v>
      </c>
      <c r="G87" s="17">
        <f t="shared" si="3"/>
        <v>1.4146094113625551E-2</v>
      </c>
    </row>
    <row r="88" spans="2:7" x14ac:dyDescent="0.3">
      <c r="B88" s="88">
        <v>45096</v>
      </c>
      <c r="C88" s="85">
        <v>1724.9499510000001</v>
      </c>
      <c r="D88" s="17">
        <f t="shared" si="2"/>
        <v>6.2417681201691888E-3</v>
      </c>
      <c r="F88" s="85">
        <v>18665.5</v>
      </c>
      <c r="G88" s="17">
        <f t="shared" si="3"/>
        <v>-8.5254435355359703E-3</v>
      </c>
    </row>
    <row r="89" spans="2:7" x14ac:dyDescent="0.3">
      <c r="B89" s="88">
        <v>45103</v>
      </c>
      <c r="C89" s="85">
        <v>1764.150024</v>
      </c>
      <c r="D89" s="17">
        <f t="shared" si="2"/>
        <v>2.2725339351019835E-2</v>
      </c>
      <c r="F89" s="85">
        <v>19189.050781000002</v>
      </c>
      <c r="G89" s="17">
        <f t="shared" si="3"/>
        <v>2.804911633762841E-2</v>
      </c>
    </row>
    <row r="90" spans="2:7" x14ac:dyDescent="0.3">
      <c r="B90" s="88">
        <v>45110</v>
      </c>
      <c r="C90" s="85">
        <v>1702.849976</v>
      </c>
      <c r="D90" s="17">
        <f t="shared" si="2"/>
        <v>-3.4747638900352373E-2</v>
      </c>
      <c r="F90" s="85">
        <v>19331.800781000002</v>
      </c>
      <c r="G90" s="17">
        <f t="shared" si="3"/>
        <v>7.4391381642151533E-3</v>
      </c>
    </row>
    <row r="91" spans="2:7" x14ac:dyDescent="0.3">
      <c r="B91" s="88">
        <v>45117</v>
      </c>
      <c r="C91" s="85">
        <v>1687.650024</v>
      </c>
      <c r="D91" s="17">
        <f t="shared" si="2"/>
        <v>-8.92618387657651E-3</v>
      </c>
      <c r="F91" s="85">
        <v>19564.5</v>
      </c>
      <c r="G91" s="17">
        <f t="shared" si="3"/>
        <v>1.2037120681933855E-2</v>
      </c>
    </row>
    <row r="92" spans="2:7" x14ac:dyDescent="0.3">
      <c r="B92" s="88">
        <v>45124</v>
      </c>
      <c r="C92" s="85">
        <v>1713.900024</v>
      </c>
      <c r="D92" s="17">
        <f t="shared" si="2"/>
        <v>1.5554172741208072E-2</v>
      </c>
      <c r="F92" s="85">
        <v>19745</v>
      </c>
      <c r="G92" s="17">
        <f t="shared" si="3"/>
        <v>9.225893838329613E-3</v>
      </c>
    </row>
    <row r="93" spans="2:7" x14ac:dyDescent="0.3">
      <c r="B93" s="88">
        <v>45131</v>
      </c>
      <c r="C93" s="85">
        <v>1730.650024</v>
      </c>
      <c r="D93" s="17">
        <f t="shared" si="2"/>
        <v>9.7730321287399224E-3</v>
      </c>
      <c r="F93" s="85">
        <v>19646.050781000002</v>
      </c>
      <c r="G93" s="17">
        <f t="shared" si="3"/>
        <v>-5.0113557356291638E-3</v>
      </c>
    </row>
    <row r="94" spans="2:7" x14ac:dyDescent="0.3">
      <c r="B94" s="88">
        <v>45138</v>
      </c>
      <c r="C94" s="85">
        <v>1700.9499510000001</v>
      </c>
      <c r="D94" s="17">
        <f t="shared" si="2"/>
        <v>-1.716122415747301E-2</v>
      </c>
      <c r="F94" s="85">
        <v>19517</v>
      </c>
      <c r="G94" s="17">
        <f t="shared" si="3"/>
        <v>-6.568789953694365E-3</v>
      </c>
    </row>
    <row r="95" spans="2:7" x14ac:dyDescent="0.3">
      <c r="B95" s="88">
        <v>45145</v>
      </c>
      <c r="C95" s="85">
        <v>1885.8000489999999</v>
      </c>
      <c r="D95" s="17">
        <f t="shared" si="2"/>
        <v>0.10867462495961466</v>
      </c>
      <c r="F95" s="85">
        <v>19428.300781000002</v>
      </c>
      <c r="G95" s="17">
        <f t="shared" si="3"/>
        <v>-4.5447158374749552E-3</v>
      </c>
    </row>
    <row r="96" spans="2:7" x14ac:dyDescent="0.3">
      <c r="B96" s="88">
        <v>45152</v>
      </c>
      <c r="C96" s="85">
        <v>1974</v>
      </c>
      <c r="D96" s="17">
        <f t="shared" si="2"/>
        <v>4.6770574137364518E-2</v>
      </c>
      <c r="F96" s="85">
        <v>19310.150390999999</v>
      </c>
      <c r="G96" s="17">
        <f t="shared" si="3"/>
        <v>-6.0813547891717112E-3</v>
      </c>
    </row>
    <row r="97" spans="2:7" x14ac:dyDescent="0.3">
      <c r="B97" s="88">
        <v>45159</v>
      </c>
      <c r="C97" s="85">
        <v>2014</v>
      </c>
      <c r="D97" s="17">
        <f t="shared" si="2"/>
        <v>2.0263424518743633E-2</v>
      </c>
      <c r="F97" s="85">
        <v>19265.800781000002</v>
      </c>
      <c r="G97" s="17">
        <f t="shared" si="3"/>
        <v>-2.2966993576947203E-3</v>
      </c>
    </row>
    <row r="98" spans="2:7" x14ac:dyDescent="0.3">
      <c r="B98" s="88">
        <v>45166</v>
      </c>
      <c r="C98" s="85">
        <v>2063.1000979999999</v>
      </c>
      <c r="D98" s="17">
        <f t="shared" si="2"/>
        <v>2.4379393247269121E-2</v>
      </c>
      <c r="F98" s="85">
        <v>19435.300781000002</v>
      </c>
      <c r="G98" s="17">
        <f t="shared" si="3"/>
        <v>8.797973254616176E-3</v>
      </c>
    </row>
    <row r="99" spans="2:7" x14ac:dyDescent="0.3">
      <c r="B99" s="88">
        <v>45173</v>
      </c>
      <c r="C99" s="85">
        <v>2086.5500489999999</v>
      </c>
      <c r="D99" s="17">
        <f t="shared" si="2"/>
        <v>1.1366366092819602E-2</v>
      </c>
      <c r="F99" s="85">
        <v>19819.949218999998</v>
      </c>
      <c r="G99" s="17">
        <f t="shared" si="3"/>
        <v>1.9791226404688889E-2</v>
      </c>
    </row>
    <row r="100" spans="2:7" x14ac:dyDescent="0.3">
      <c r="B100" s="88">
        <v>45180</v>
      </c>
      <c r="C100" s="85">
        <v>2070.25</v>
      </c>
      <c r="D100" s="17">
        <f t="shared" si="2"/>
        <v>-7.8119616674481307E-3</v>
      </c>
      <c r="F100" s="85">
        <v>20192.349609000001</v>
      </c>
      <c r="G100" s="17">
        <f t="shared" si="3"/>
        <v>1.8789169734249711E-2</v>
      </c>
    </row>
    <row r="101" spans="2:7" x14ac:dyDescent="0.3">
      <c r="B101" s="88">
        <v>45187</v>
      </c>
      <c r="C101" s="85">
        <v>2065.8999020000001</v>
      </c>
      <c r="D101" s="17">
        <f t="shared" si="2"/>
        <v>-2.101242845066964E-3</v>
      </c>
      <c r="F101" s="85">
        <v>19674.25</v>
      </c>
      <c r="G101" s="17">
        <f t="shared" si="3"/>
        <v>-2.5658213087251469E-2</v>
      </c>
    </row>
    <row r="102" spans="2:7" x14ac:dyDescent="0.3">
      <c r="B102" s="88">
        <v>45194</v>
      </c>
      <c r="C102" s="85">
        <v>2080.1499020000001</v>
      </c>
      <c r="D102" s="17">
        <f t="shared" si="2"/>
        <v>6.8977204491875721E-3</v>
      </c>
      <c r="F102" s="85">
        <v>19638.300781000002</v>
      </c>
      <c r="G102" s="17">
        <f t="shared" si="3"/>
        <v>-1.8272218254824502E-3</v>
      </c>
    </row>
    <row r="103" spans="2:7" x14ac:dyDescent="0.3">
      <c r="B103" s="88">
        <v>45201</v>
      </c>
      <c r="C103" s="85">
        <v>2072.1000979999999</v>
      </c>
      <c r="D103" s="17">
        <f t="shared" si="2"/>
        <v>-3.8698191857522435E-3</v>
      </c>
      <c r="F103" s="85">
        <v>19653.5</v>
      </c>
      <c r="G103" s="17">
        <f t="shared" si="3"/>
        <v>7.7395794928980521E-4</v>
      </c>
    </row>
    <row r="104" spans="2:7" x14ac:dyDescent="0.3">
      <c r="B104" s="88">
        <v>45208</v>
      </c>
      <c r="C104" s="85">
        <v>2084.8000489999999</v>
      </c>
      <c r="D104" s="17">
        <f t="shared" si="2"/>
        <v>6.1290238884974535E-3</v>
      </c>
      <c r="F104" s="85">
        <v>19751.050781000002</v>
      </c>
      <c r="G104" s="17">
        <f t="shared" si="3"/>
        <v>4.96353224616497E-3</v>
      </c>
    </row>
    <row r="105" spans="2:7" x14ac:dyDescent="0.3">
      <c r="B105" s="88">
        <v>45215</v>
      </c>
      <c r="C105" s="85">
        <v>2036.150024</v>
      </c>
      <c r="D105" s="17">
        <f t="shared" si="2"/>
        <v>-2.3335583200573828E-2</v>
      </c>
      <c r="F105" s="85">
        <v>19542.650390999999</v>
      </c>
      <c r="G105" s="17">
        <f t="shared" si="3"/>
        <v>-1.0551357105540893E-2</v>
      </c>
    </row>
    <row r="106" spans="2:7" x14ac:dyDescent="0.3">
      <c r="B106" s="88">
        <v>45222</v>
      </c>
      <c r="C106" s="85">
        <v>2122.1000979999999</v>
      </c>
      <c r="D106" s="17">
        <f t="shared" si="2"/>
        <v>4.2212053624197887E-2</v>
      </c>
      <c r="F106" s="85">
        <v>19047.25</v>
      </c>
      <c r="G106" s="17">
        <f t="shared" si="3"/>
        <v>-2.5349703396840506E-2</v>
      </c>
    </row>
    <row r="107" spans="2:7" x14ac:dyDescent="0.3">
      <c r="B107" s="88">
        <v>45229</v>
      </c>
      <c r="C107" s="85">
        <v>2196.5</v>
      </c>
      <c r="D107" s="17">
        <f t="shared" si="2"/>
        <v>3.5059562963179358E-2</v>
      </c>
      <c r="F107" s="85">
        <v>19230.599609000001</v>
      </c>
      <c r="G107" s="17">
        <f t="shared" si="3"/>
        <v>9.6260409770438926E-3</v>
      </c>
    </row>
    <row r="108" spans="2:7" x14ac:dyDescent="0.3">
      <c r="B108" s="88">
        <v>45236</v>
      </c>
      <c r="C108" s="85">
        <v>2489.3500979999999</v>
      </c>
      <c r="D108" s="17">
        <f t="shared" si="2"/>
        <v>0.13332579012064638</v>
      </c>
      <c r="F108" s="85">
        <v>19425.349609000001</v>
      </c>
      <c r="G108" s="17">
        <f t="shared" si="3"/>
        <v>1.0127089324289962E-2</v>
      </c>
    </row>
    <row r="109" spans="2:7" x14ac:dyDescent="0.3">
      <c r="B109" s="88">
        <v>45243</v>
      </c>
      <c r="C109" s="85">
        <v>2576.3999020000001</v>
      </c>
      <c r="D109" s="17">
        <f t="shared" si="2"/>
        <v>3.4968887690782324E-2</v>
      </c>
      <c r="F109" s="85">
        <v>19731.800781000002</v>
      </c>
      <c r="G109" s="17">
        <f t="shared" si="3"/>
        <v>1.5775838178892609E-2</v>
      </c>
    </row>
    <row r="110" spans="2:7" x14ac:dyDescent="0.3">
      <c r="B110" s="88">
        <v>45250</v>
      </c>
      <c r="C110" s="85">
        <v>2649.6999510000001</v>
      </c>
      <c r="D110" s="17">
        <f t="shared" si="2"/>
        <v>2.8450571257629287E-2</v>
      </c>
      <c r="F110" s="85">
        <v>19794.699218999998</v>
      </c>
      <c r="G110" s="17">
        <f t="shared" si="3"/>
        <v>3.1876684088845142E-3</v>
      </c>
    </row>
    <row r="111" spans="2:7" x14ac:dyDescent="0.3">
      <c r="B111" s="88">
        <v>45257</v>
      </c>
      <c r="C111" s="85">
        <v>2807.6999510000001</v>
      </c>
      <c r="D111" s="17">
        <f t="shared" si="2"/>
        <v>5.9629393109348339E-2</v>
      </c>
      <c r="F111" s="85">
        <v>20267.900390999999</v>
      </c>
      <c r="G111" s="17">
        <f t="shared" si="3"/>
        <v>2.390544896715574E-2</v>
      </c>
    </row>
    <row r="112" spans="2:7" x14ac:dyDescent="0.3">
      <c r="B112" s="88">
        <v>45264</v>
      </c>
      <c r="C112" s="85">
        <v>2841.3000489999999</v>
      </c>
      <c r="D112" s="17">
        <f t="shared" si="2"/>
        <v>1.1967125613986163E-2</v>
      </c>
      <c r="F112" s="85">
        <v>20969.400390999999</v>
      </c>
      <c r="G112" s="17">
        <f t="shared" si="3"/>
        <v>3.4611379889724736E-2</v>
      </c>
    </row>
    <row r="113" spans="2:7" x14ac:dyDescent="0.3">
      <c r="B113" s="88">
        <v>45268</v>
      </c>
      <c r="C113" s="85">
        <v>2841.3000489999999</v>
      </c>
      <c r="D113" s="17">
        <f t="shared" si="2"/>
        <v>0</v>
      </c>
      <c r="F113" s="85">
        <v>20969.400390999999</v>
      </c>
      <c r="G113" s="17">
        <f t="shared" si="3"/>
        <v>0</v>
      </c>
    </row>
  </sheetData>
  <mergeCells count="3">
    <mergeCell ref="B5:D5"/>
    <mergeCell ref="F5:G5"/>
    <mergeCell ref="I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C24-899A-4E41-ADEE-1FB96CAA30B8}">
  <dimension ref="B2:T113"/>
  <sheetViews>
    <sheetView showGridLines="0" topLeftCell="A4" workbookViewId="0">
      <selection activeCell="L8" sqref="L8"/>
    </sheetView>
  </sheetViews>
  <sheetFormatPr defaultRowHeight="14.4" x14ac:dyDescent="0.3"/>
  <cols>
    <col min="1" max="1" width="1.88671875" customWidth="1"/>
    <col min="2" max="2" width="14.33203125" bestFit="1" customWidth="1"/>
    <col min="3" max="3" width="12" bestFit="1" customWidth="1"/>
    <col min="4" max="4" width="14.21875" bestFit="1" customWidth="1"/>
    <col min="6" max="6" width="12" bestFit="1" customWidth="1"/>
    <col min="9" max="9" width="17.5546875" bestFit="1" customWidth="1"/>
  </cols>
  <sheetData>
    <row r="2" spans="2:13" x14ac:dyDescent="0.3">
      <c r="B2" s="15" t="s">
        <v>233</v>
      </c>
    </row>
    <row r="3" spans="2:13" x14ac:dyDescent="0.3">
      <c r="B3" s="15"/>
    </row>
    <row r="5" spans="2:13" x14ac:dyDescent="0.3">
      <c r="B5" s="156" t="s">
        <v>197</v>
      </c>
      <c r="C5" s="156"/>
      <c r="D5" s="156"/>
      <c r="F5" s="156" t="s">
        <v>199</v>
      </c>
      <c r="G5" s="156"/>
      <c r="I5" s="156" t="s">
        <v>227</v>
      </c>
      <c r="J5" s="156"/>
      <c r="L5" t="s">
        <v>200</v>
      </c>
      <c r="M5" s="87">
        <f>SLOPE(D9:D113,G9:G113)</f>
        <v>0.83241371312722912</v>
      </c>
    </row>
    <row r="6" spans="2:13" s="96" customFormat="1" x14ac:dyDescent="0.3">
      <c r="B6" s="97"/>
      <c r="C6" s="97"/>
      <c r="D6" s="97"/>
      <c r="F6" s="97"/>
      <c r="G6" s="97"/>
      <c r="I6" s="97"/>
      <c r="J6" s="97"/>
      <c r="M6" s="101"/>
    </row>
    <row r="7" spans="2:13" x14ac:dyDescent="0.3">
      <c r="B7" s="91" t="s">
        <v>195</v>
      </c>
      <c r="C7" s="92" t="s">
        <v>196</v>
      </c>
      <c r="D7" s="92" t="s">
        <v>198</v>
      </c>
      <c r="F7" s="92" t="s">
        <v>196</v>
      </c>
      <c r="G7" s="92" t="s">
        <v>198</v>
      </c>
      <c r="I7" s="45" t="s">
        <v>228</v>
      </c>
      <c r="J7" s="87">
        <f>M9</f>
        <v>1.0234533643058505</v>
      </c>
      <c r="L7" t="s">
        <v>201</v>
      </c>
      <c r="M7" s="87">
        <f>_xlfn.COVARIANCE.S(D8:D113,G8:G113)/_xlfn.VAR.S(G8:G113)</f>
        <v>0.83241371312722812</v>
      </c>
    </row>
    <row r="8" spans="2:13" x14ac:dyDescent="0.3">
      <c r="B8" s="88">
        <v>44536</v>
      </c>
      <c r="C8" s="85"/>
      <c r="F8" s="85">
        <v>17511.300781000002</v>
      </c>
      <c r="I8" t="s">
        <v>229</v>
      </c>
      <c r="J8" s="90">
        <v>0.75</v>
      </c>
    </row>
    <row r="9" spans="2:13" x14ac:dyDescent="0.3">
      <c r="B9" s="88">
        <v>44543</v>
      </c>
      <c r="C9" s="85"/>
      <c r="D9" s="17">
        <f>IFERROR(C9/C8-1,0)</f>
        <v>0</v>
      </c>
      <c r="F9" s="85">
        <v>16985.199218999998</v>
      </c>
      <c r="G9" s="17">
        <f>IFERROR(F9/F8-1,0)</f>
        <v>-3.0043545512668635E-2</v>
      </c>
      <c r="L9" t="s">
        <v>202</v>
      </c>
      <c r="M9" s="87">
        <f>M28</f>
        <v>1.0234533643058505</v>
      </c>
    </row>
    <row r="10" spans="2:13" x14ac:dyDescent="0.3">
      <c r="B10" s="88">
        <v>44550</v>
      </c>
      <c r="C10" s="85"/>
      <c r="D10" s="17">
        <f t="shared" ref="D10:D73" si="0">IFERROR(C10/C9-1,0)</f>
        <v>0</v>
      </c>
      <c r="F10" s="85">
        <v>17003.75</v>
      </c>
      <c r="G10" s="17">
        <f t="shared" ref="G10:G73" si="1">IFERROR(F10/F9-1,0)</f>
        <v>1.0921732951623131E-3</v>
      </c>
      <c r="I10" t="s">
        <v>230</v>
      </c>
      <c r="J10">
        <v>1</v>
      </c>
    </row>
    <row r="11" spans="2:13" x14ac:dyDescent="0.3">
      <c r="B11" s="88">
        <v>44557</v>
      </c>
      <c r="C11" s="85"/>
      <c r="D11" s="17">
        <f t="shared" si="0"/>
        <v>0</v>
      </c>
      <c r="F11" s="85">
        <v>17354.050781000002</v>
      </c>
      <c r="G11" s="17">
        <f t="shared" si="1"/>
        <v>2.0601383871204915E-2</v>
      </c>
      <c r="I11" t="s">
        <v>231</v>
      </c>
      <c r="J11" s="102">
        <f>1-J8</f>
        <v>0.25</v>
      </c>
      <c r="L11" t="s">
        <v>203</v>
      </c>
    </row>
    <row r="12" spans="2:13" ht="15" thickBot="1" x14ac:dyDescent="0.35">
      <c r="B12" s="88">
        <v>44564</v>
      </c>
      <c r="C12" s="85"/>
      <c r="D12" s="17">
        <f t="shared" si="0"/>
        <v>0</v>
      </c>
      <c r="F12" s="85">
        <v>17812.699218999998</v>
      </c>
      <c r="G12" s="17">
        <f t="shared" si="1"/>
        <v>2.6428898001275014E-2</v>
      </c>
    </row>
    <row r="13" spans="2:13" x14ac:dyDescent="0.3">
      <c r="B13" s="88">
        <v>44571</v>
      </c>
      <c r="C13" s="85"/>
      <c r="D13" s="17">
        <f t="shared" si="0"/>
        <v>0</v>
      </c>
      <c r="F13" s="85">
        <v>18255.75</v>
      </c>
      <c r="G13" s="17">
        <f t="shared" si="1"/>
        <v>2.4872748119354027E-2</v>
      </c>
      <c r="I13" s="54" t="s">
        <v>232</v>
      </c>
      <c r="J13" s="54">
        <f>J7*J8+J10*J11</f>
        <v>1.017590023229388</v>
      </c>
      <c r="L13" s="95" t="s">
        <v>204</v>
      </c>
      <c r="M13" s="95"/>
    </row>
    <row r="14" spans="2:13" x14ac:dyDescent="0.3">
      <c r="B14" s="88">
        <v>44578</v>
      </c>
      <c r="C14" s="85"/>
      <c r="D14" s="17">
        <f t="shared" si="0"/>
        <v>0</v>
      </c>
      <c r="F14" s="85">
        <v>17617.150390999999</v>
      </c>
      <c r="G14" s="17">
        <f t="shared" si="1"/>
        <v>-3.4980738068827621E-2</v>
      </c>
      <c r="L14" t="s">
        <v>205</v>
      </c>
      <c r="M14">
        <v>0.47645173189937545</v>
      </c>
    </row>
    <row r="15" spans="2:13" x14ac:dyDescent="0.3">
      <c r="B15" s="88">
        <v>44585</v>
      </c>
      <c r="C15" s="85"/>
      <c r="D15" s="17">
        <f t="shared" si="0"/>
        <v>0</v>
      </c>
      <c r="F15" s="85">
        <v>17101.949218999998</v>
      </c>
      <c r="G15" s="17">
        <f t="shared" si="1"/>
        <v>-2.9244296640800638E-2</v>
      </c>
      <c r="L15" t="s">
        <v>206</v>
      </c>
      <c r="M15">
        <v>0.22700625282991435</v>
      </c>
    </row>
    <row r="16" spans="2:13" x14ac:dyDescent="0.3">
      <c r="B16" s="88">
        <v>44592</v>
      </c>
      <c r="C16" s="85"/>
      <c r="D16" s="17">
        <f t="shared" si="0"/>
        <v>0</v>
      </c>
      <c r="F16" s="85">
        <v>17516.300781000002</v>
      </c>
      <c r="G16" s="17">
        <f t="shared" si="1"/>
        <v>2.4228323724623468E-2</v>
      </c>
      <c r="L16" t="s">
        <v>207</v>
      </c>
      <c r="M16">
        <v>0.21950145916806887</v>
      </c>
    </row>
    <row r="17" spans="2:20" x14ac:dyDescent="0.3">
      <c r="B17" s="88">
        <v>44599</v>
      </c>
      <c r="C17" s="85"/>
      <c r="D17" s="17">
        <f t="shared" si="0"/>
        <v>0</v>
      </c>
      <c r="F17" s="85">
        <v>17374.75</v>
      </c>
      <c r="G17" s="17">
        <f t="shared" si="1"/>
        <v>-8.0810887395552644E-3</v>
      </c>
      <c r="L17" t="s">
        <v>208</v>
      </c>
      <c r="M17">
        <v>3.6057265146473491E-2</v>
      </c>
    </row>
    <row r="18" spans="2:20" ht="15" thickBot="1" x14ac:dyDescent="0.35">
      <c r="B18" s="88">
        <v>44606</v>
      </c>
      <c r="C18" s="85"/>
      <c r="D18" s="17">
        <f t="shared" si="0"/>
        <v>0</v>
      </c>
      <c r="F18" s="85">
        <v>17276.300781000002</v>
      </c>
      <c r="G18" s="17">
        <f t="shared" si="1"/>
        <v>-5.66622362911684E-3</v>
      </c>
      <c r="L18" s="93" t="s">
        <v>209</v>
      </c>
      <c r="M18" s="93">
        <v>105</v>
      </c>
    </row>
    <row r="19" spans="2:20" x14ac:dyDescent="0.3">
      <c r="B19" s="88">
        <v>44613</v>
      </c>
      <c r="C19" s="85">
        <v>826.55633499999999</v>
      </c>
      <c r="D19" s="17">
        <f t="shared" si="0"/>
        <v>0</v>
      </c>
      <c r="F19" s="85">
        <v>16658.400390999999</v>
      </c>
      <c r="G19" s="17">
        <f t="shared" si="1"/>
        <v>-3.5765780987070617E-2</v>
      </c>
    </row>
    <row r="20" spans="2:20" ht="15" thickBot="1" x14ac:dyDescent="0.35">
      <c r="B20" s="88">
        <v>44620</v>
      </c>
      <c r="C20" s="85">
        <v>841.09375</v>
      </c>
      <c r="D20" s="17">
        <f t="shared" si="0"/>
        <v>1.7587930047139544E-2</v>
      </c>
      <c r="F20" s="85">
        <v>16245.349609000001</v>
      </c>
      <c r="G20" s="17">
        <f t="shared" si="1"/>
        <v>-2.479534482933643E-2</v>
      </c>
      <c r="L20" t="s">
        <v>210</v>
      </c>
    </row>
    <row r="21" spans="2:20" x14ac:dyDescent="0.3">
      <c r="B21" s="88">
        <v>44627</v>
      </c>
      <c r="C21" s="85">
        <v>854.98834199999999</v>
      </c>
      <c r="D21" s="17">
        <f t="shared" si="0"/>
        <v>1.6519670964146416E-2</v>
      </c>
      <c r="F21" s="85">
        <v>16630.449218999998</v>
      </c>
      <c r="G21" s="17">
        <f t="shared" si="1"/>
        <v>2.3705221449137115E-2</v>
      </c>
      <c r="L21" s="94"/>
      <c r="M21" s="94" t="s">
        <v>214</v>
      </c>
      <c r="N21" s="94" t="s">
        <v>215</v>
      </c>
      <c r="O21" s="94" t="s">
        <v>216</v>
      </c>
      <c r="P21" s="94" t="s">
        <v>217</v>
      </c>
      <c r="Q21" s="94" t="s">
        <v>218</v>
      </c>
    </row>
    <row r="22" spans="2:20" x14ac:dyDescent="0.3">
      <c r="B22" s="88">
        <v>44634</v>
      </c>
      <c r="C22" s="85">
        <v>890.59020999999996</v>
      </c>
      <c r="D22" s="17">
        <f t="shared" si="0"/>
        <v>4.1640179463406035E-2</v>
      </c>
      <c r="F22" s="85">
        <v>17287.050781000002</v>
      </c>
      <c r="G22" s="17">
        <f t="shared" si="1"/>
        <v>3.9481889716475482E-2</v>
      </c>
      <c r="L22" t="s">
        <v>211</v>
      </c>
      <c r="M22">
        <v>1</v>
      </c>
      <c r="N22">
        <v>3.932643970265573E-2</v>
      </c>
      <c r="O22">
        <v>3.932643970265573E-2</v>
      </c>
      <c r="P22">
        <v>30.248167112710675</v>
      </c>
      <c r="Q22">
        <v>2.7822857990841012E-7</v>
      </c>
    </row>
    <row r="23" spans="2:20" x14ac:dyDescent="0.3">
      <c r="B23" s="88">
        <v>44641</v>
      </c>
      <c r="C23" s="85">
        <v>920.40679899999998</v>
      </c>
      <c r="D23" s="17">
        <f t="shared" si="0"/>
        <v>3.3479583163170012E-2</v>
      </c>
      <c r="F23" s="85">
        <v>17153</v>
      </c>
      <c r="G23" s="17">
        <f t="shared" si="1"/>
        <v>-7.7544043051771538E-3</v>
      </c>
      <c r="L23" t="s">
        <v>212</v>
      </c>
      <c r="M23">
        <v>103</v>
      </c>
      <c r="N23">
        <v>0.13391301609383846</v>
      </c>
      <c r="O23">
        <v>1.3001263698430919E-3</v>
      </c>
    </row>
    <row r="24" spans="2:20" ht="15" thickBot="1" x14ac:dyDescent="0.35">
      <c r="B24" s="88">
        <v>44648</v>
      </c>
      <c r="C24" s="85">
        <v>987.40747099999999</v>
      </c>
      <c r="D24" s="17">
        <f t="shared" si="0"/>
        <v>7.279462958421723E-2</v>
      </c>
      <c r="F24" s="85">
        <v>17670.449218999998</v>
      </c>
      <c r="G24" s="17">
        <f t="shared" si="1"/>
        <v>3.0166689150585846E-2</v>
      </c>
      <c r="L24" s="93" t="s">
        <v>37</v>
      </c>
      <c r="M24" s="93">
        <v>104</v>
      </c>
      <c r="N24" s="93">
        <v>0.17323945579649419</v>
      </c>
      <c r="O24" s="93"/>
      <c r="P24" s="93"/>
      <c r="Q24" s="93"/>
    </row>
    <row r="25" spans="2:20" ht="15" thickBot="1" x14ac:dyDescent="0.35">
      <c r="B25" s="88">
        <v>44655</v>
      </c>
      <c r="C25" s="85">
        <v>1031.5142820000001</v>
      </c>
      <c r="D25" s="17">
        <f t="shared" si="0"/>
        <v>4.4669310589002142E-2</v>
      </c>
      <c r="F25" s="85">
        <v>17784.349609000001</v>
      </c>
      <c r="G25" s="17">
        <f t="shared" si="1"/>
        <v>6.4458117950692007E-3</v>
      </c>
    </row>
    <row r="26" spans="2:20" x14ac:dyDescent="0.3">
      <c r="B26" s="88">
        <v>44662</v>
      </c>
      <c r="C26" s="85">
        <v>1038.3874510000001</v>
      </c>
      <c r="D26" s="17">
        <f t="shared" si="0"/>
        <v>6.6631835544472828E-3</v>
      </c>
      <c r="F26" s="85">
        <v>17475.650390999999</v>
      </c>
      <c r="G26" s="17">
        <f t="shared" si="1"/>
        <v>-1.7357914390289553E-2</v>
      </c>
      <c r="L26" s="94"/>
      <c r="M26" s="94" t="s">
        <v>219</v>
      </c>
      <c r="N26" s="94" t="s">
        <v>208</v>
      </c>
      <c r="O26" s="94" t="s">
        <v>220</v>
      </c>
      <c r="P26" s="94" t="s">
        <v>221</v>
      </c>
      <c r="Q26" s="94" t="s">
        <v>222</v>
      </c>
      <c r="R26" s="94" t="s">
        <v>223</v>
      </c>
      <c r="S26" s="94" t="s">
        <v>224</v>
      </c>
      <c r="T26" s="94" t="s">
        <v>225</v>
      </c>
    </row>
    <row r="27" spans="2:20" x14ac:dyDescent="0.3">
      <c r="B27" s="88">
        <v>44669</v>
      </c>
      <c r="C27" s="85">
        <v>1061.182495</v>
      </c>
      <c r="D27" s="17">
        <f t="shared" si="0"/>
        <v>2.1952349268134608E-2</v>
      </c>
      <c r="F27" s="85">
        <v>17171.949218999998</v>
      </c>
      <c r="G27" s="17">
        <f t="shared" si="1"/>
        <v>-1.7378533285170805E-2</v>
      </c>
      <c r="L27" t="s">
        <v>213</v>
      </c>
      <c r="M27">
        <v>-2.6869826106036662E-3</v>
      </c>
      <c r="N27">
        <v>3.5364960855849849E-3</v>
      </c>
      <c r="O27">
        <v>-0.75978667742797812</v>
      </c>
      <c r="P27">
        <v>0.44911764000710619</v>
      </c>
      <c r="Q27">
        <v>-9.7007884952760616E-3</v>
      </c>
      <c r="R27">
        <v>4.32682327406873E-3</v>
      </c>
      <c r="S27">
        <v>-9.7007884952760616E-3</v>
      </c>
      <c r="T27">
        <v>4.32682327406873E-3</v>
      </c>
    </row>
    <row r="28" spans="2:20" ht="15" thickBot="1" x14ac:dyDescent="0.35">
      <c r="B28" s="88">
        <v>44676</v>
      </c>
      <c r="C28" s="85">
        <v>1079.477905</v>
      </c>
      <c r="D28" s="17">
        <f t="shared" si="0"/>
        <v>1.7240587821795827E-2</v>
      </c>
      <c r="F28" s="85">
        <v>17102.550781000002</v>
      </c>
      <c r="G28" s="17">
        <f t="shared" si="1"/>
        <v>-4.041383835634127E-3</v>
      </c>
      <c r="L28" s="93" t="s">
        <v>226</v>
      </c>
      <c r="M28" s="93">
        <v>1.0234533643058505</v>
      </c>
      <c r="N28" s="93">
        <v>0.18608806761958602</v>
      </c>
      <c r="O28" s="93">
        <v>5.499833371358684</v>
      </c>
      <c r="P28" s="93">
        <v>2.782285799084142E-7</v>
      </c>
      <c r="Q28" s="93">
        <v>0.65439157202574638</v>
      </c>
      <c r="R28" s="93">
        <v>1.3925151565859548</v>
      </c>
      <c r="S28" s="93">
        <v>0.65439157202574638</v>
      </c>
      <c r="T28" s="93">
        <v>1.3925151565859548</v>
      </c>
    </row>
    <row r="29" spans="2:20" x14ac:dyDescent="0.3">
      <c r="B29" s="88">
        <v>44683</v>
      </c>
      <c r="C29" s="85">
        <v>988.29748500000005</v>
      </c>
      <c r="D29" s="17">
        <f t="shared" si="0"/>
        <v>-8.4467148033011252E-2</v>
      </c>
      <c r="F29" s="85">
        <v>16411.25</v>
      </c>
      <c r="G29" s="17">
        <f t="shared" si="1"/>
        <v>-4.0420916730619982E-2</v>
      </c>
    </row>
    <row r="30" spans="2:20" x14ac:dyDescent="0.3">
      <c r="B30" s="88">
        <v>44690</v>
      </c>
      <c r="C30" s="85">
        <v>966.68920900000001</v>
      </c>
      <c r="D30" s="17">
        <f t="shared" si="0"/>
        <v>-2.1864141443201257E-2</v>
      </c>
      <c r="F30" s="85">
        <v>15782.150390999999</v>
      </c>
      <c r="G30" s="17">
        <f t="shared" si="1"/>
        <v>-3.8333436453652281E-2</v>
      </c>
    </row>
    <row r="31" spans="2:20" x14ac:dyDescent="0.3">
      <c r="B31" s="88">
        <v>44697</v>
      </c>
      <c r="C31" s="85">
        <v>957.34368900000004</v>
      </c>
      <c r="D31" s="17">
        <f t="shared" si="0"/>
        <v>-9.6675538663222316E-3</v>
      </c>
      <c r="F31" s="85">
        <v>16266.150390999999</v>
      </c>
      <c r="G31" s="17">
        <f t="shared" si="1"/>
        <v>3.0667557209187901E-2</v>
      </c>
    </row>
    <row r="32" spans="2:20" x14ac:dyDescent="0.3">
      <c r="B32" s="88">
        <v>44704</v>
      </c>
      <c r="C32" s="85">
        <v>958.92596400000002</v>
      </c>
      <c r="D32" s="17">
        <f t="shared" si="0"/>
        <v>1.6527763416425145E-3</v>
      </c>
      <c r="F32" s="85">
        <v>16352.450194999999</v>
      </c>
      <c r="G32" s="17">
        <f t="shared" si="1"/>
        <v>5.3054842064996777E-3</v>
      </c>
    </row>
    <row r="33" spans="2:7" x14ac:dyDescent="0.3">
      <c r="B33" s="88">
        <v>44711</v>
      </c>
      <c r="C33" s="85">
        <v>1078.0932620000001</v>
      </c>
      <c r="D33" s="17">
        <f t="shared" si="0"/>
        <v>0.1242716356358875</v>
      </c>
      <c r="F33" s="85">
        <v>16584.300781000002</v>
      </c>
      <c r="G33" s="17">
        <f t="shared" si="1"/>
        <v>1.4178339223494207E-2</v>
      </c>
    </row>
    <row r="34" spans="2:7" x14ac:dyDescent="0.3">
      <c r="B34" s="88">
        <v>44718</v>
      </c>
      <c r="C34" s="85">
        <v>1013.812195</v>
      </c>
      <c r="D34" s="17">
        <f t="shared" si="0"/>
        <v>-5.9624773909402351E-2</v>
      </c>
      <c r="F34" s="85">
        <v>16201.799805000001</v>
      </c>
      <c r="G34" s="17">
        <f t="shared" si="1"/>
        <v>-2.3064039964724836E-2</v>
      </c>
    </row>
    <row r="35" spans="2:7" x14ac:dyDescent="0.3">
      <c r="B35" s="88">
        <v>44725</v>
      </c>
      <c r="C35" s="85">
        <v>960.06323199999997</v>
      </c>
      <c r="D35" s="17">
        <f t="shared" si="0"/>
        <v>-5.3016686192061457E-2</v>
      </c>
      <c r="F35" s="85">
        <v>15293.5</v>
      </c>
      <c r="G35" s="17">
        <f t="shared" si="1"/>
        <v>-5.606166079892505E-2</v>
      </c>
    </row>
    <row r="36" spans="2:7" x14ac:dyDescent="0.3">
      <c r="B36" s="88">
        <v>44732</v>
      </c>
      <c r="C36" s="85">
        <v>973.36450200000002</v>
      </c>
      <c r="D36" s="17">
        <f t="shared" si="0"/>
        <v>1.3854577028526327E-2</v>
      </c>
      <c r="F36" s="85">
        <v>15699.25</v>
      </c>
      <c r="G36" s="17">
        <f t="shared" si="1"/>
        <v>2.6530879131657192E-2</v>
      </c>
    </row>
    <row r="37" spans="2:7" x14ac:dyDescent="0.3">
      <c r="B37" s="88">
        <v>44739</v>
      </c>
      <c r="C37" s="85">
        <v>960.95330799999999</v>
      </c>
      <c r="D37" s="17">
        <f t="shared" si="0"/>
        <v>-1.2750818397936681E-2</v>
      </c>
      <c r="F37" s="85">
        <v>15752.049805000001</v>
      </c>
      <c r="G37" s="17">
        <f t="shared" si="1"/>
        <v>3.3632055671448668E-3</v>
      </c>
    </row>
    <row r="38" spans="2:7" x14ac:dyDescent="0.3">
      <c r="B38" s="88">
        <v>44746</v>
      </c>
      <c r="C38" s="85">
        <v>1022.6632080000001</v>
      </c>
      <c r="D38" s="17">
        <f t="shared" si="0"/>
        <v>6.4217376105853541E-2</v>
      </c>
      <c r="F38" s="85">
        <v>16220.599609000001</v>
      </c>
      <c r="G38" s="17">
        <f t="shared" si="1"/>
        <v>2.9745322659611828E-2</v>
      </c>
    </row>
    <row r="39" spans="2:7" x14ac:dyDescent="0.3">
      <c r="B39" s="88">
        <v>44753</v>
      </c>
      <c r="C39" s="85">
        <v>1092.3339840000001</v>
      </c>
      <c r="D39" s="17">
        <f t="shared" si="0"/>
        <v>6.8126804069008839E-2</v>
      </c>
      <c r="F39" s="85">
        <v>16049.200194999999</v>
      </c>
      <c r="G39" s="17">
        <f t="shared" si="1"/>
        <v>-1.0566774233481513E-2</v>
      </c>
    </row>
    <row r="40" spans="2:7" x14ac:dyDescent="0.3">
      <c r="B40" s="88">
        <v>44760</v>
      </c>
      <c r="C40" s="85">
        <v>1065.7810059999999</v>
      </c>
      <c r="D40" s="17">
        <f t="shared" si="0"/>
        <v>-2.4308479264525173E-2</v>
      </c>
      <c r="F40" s="85">
        <v>16719.449218999998</v>
      </c>
      <c r="G40" s="17">
        <f t="shared" si="1"/>
        <v>4.1762144895470144E-2</v>
      </c>
    </row>
    <row r="41" spans="2:7" x14ac:dyDescent="0.3">
      <c r="B41" s="88">
        <v>44767</v>
      </c>
      <c r="C41" s="85">
        <v>1065.3854980000001</v>
      </c>
      <c r="D41" s="17">
        <f t="shared" si="0"/>
        <v>-3.7109687428582561E-4</v>
      </c>
      <c r="F41" s="85">
        <v>17158.25</v>
      </c>
      <c r="G41" s="17">
        <f t="shared" si="1"/>
        <v>2.6244930395275645E-2</v>
      </c>
    </row>
    <row r="42" spans="2:7" x14ac:dyDescent="0.3">
      <c r="B42" s="88">
        <v>44774</v>
      </c>
      <c r="C42" s="85">
        <v>1198.4968260000001</v>
      </c>
      <c r="D42" s="17">
        <f t="shared" si="0"/>
        <v>0.12494193721416691</v>
      </c>
      <c r="F42" s="85">
        <v>17397.5</v>
      </c>
      <c r="G42" s="17">
        <f t="shared" si="1"/>
        <v>1.3943729692713402E-2</v>
      </c>
    </row>
    <row r="43" spans="2:7" x14ac:dyDescent="0.3">
      <c r="B43" s="88">
        <v>44781</v>
      </c>
      <c r="C43" s="85">
        <v>1179.0145259999999</v>
      </c>
      <c r="D43" s="17">
        <f t="shared" si="0"/>
        <v>-1.6255612511734907E-2</v>
      </c>
      <c r="F43" s="85">
        <v>17698.150390999999</v>
      </c>
      <c r="G43" s="17">
        <f t="shared" si="1"/>
        <v>1.7281241040379314E-2</v>
      </c>
    </row>
    <row r="44" spans="2:7" x14ac:dyDescent="0.3">
      <c r="B44" s="88">
        <v>44788</v>
      </c>
      <c r="C44" s="85">
        <v>1170.7075199999999</v>
      </c>
      <c r="D44" s="17">
        <f t="shared" si="0"/>
        <v>-7.0457198082053418E-3</v>
      </c>
      <c r="F44" s="85">
        <v>17758.449218999998</v>
      </c>
      <c r="G44" s="17">
        <f t="shared" si="1"/>
        <v>3.4070694771959342E-3</v>
      </c>
    </row>
    <row r="45" spans="2:7" x14ac:dyDescent="0.3">
      <c r="B45" s="88">
        <v>44795</v>
      </c>
      <c r="C45" s="85">
        <v>1257.635376</v>
      </c>
      <c r="D45" s="17">
        <f t="shared" si="0"/>
        <v>7.4252411054812395E-2</v>
      </c>
      <c r="F45" s="85">
        <v>17558.900390999999</v>
      </c>
      <c r="G45" s="17">
        <f t="shared" si="1"/>
        <v>-1.1236838619134604E-2</v>
      </c>
    </row>
    <row r="46" spans="2:7" x14ac:dyDescent="0.3">
      <c r="B46" s="88">
        <v>44802</v>
      </c>
      <c r="C46" s="85">
        <v>1285.8201899999999</v>
      </c>
      <c r="D46" s="17">
        <f t="shared" si="0"/>
        <v>2.2410958325332464E-2</v>
      </c>
      <c r="F46" s="85">
        <v>17539.449218999998</v>
      </c>
      <c r="G46" s="17">
        <f t="shared" si="1"/>
        <v>-1.1077670905844661E-3</v>
      </c>
    </row>
    <row r="47" spans="2:7" x14ac:dyDescent="0.3">
      <c r="B47" s="88">
        <v>44809</v>
      </c>
      <c r="C47" s="85">
        <v>1391.877686</v>
      </c>
      <c r="D47" s="17">
        <f t="shared" si="0"/>
        <v>8.2482369482781426E-2</v>
      </c>
      <c r="F47" s="85">
        <v>17833.349609000001</v>
      </c>
      <c r="G47" s="17">
        <f t="shared" si="1"/>
        <v>1.6756534730955508E-2</v>
      </c>
    </row>
    <row r="48" spans="2:7" x14ac:dyDescent="0.3">
      <c r="B48" s="88">
        <v>44816</v>
      </c>
      <c r="C48" s="85">
        <v>1353.8514399999999</v>
      </c>
      <c r="D48" s="17">
        <f t="shared" si="0"/>
        <v>-2.7320106057077909E-2</v>
      </c>
      <c r="F48" s="85">
        <v>17530.849609000001</v>
      </c>
      <c r="G48" s="17">
        <f t="shared" si="1"/>
        <v>-1.6962601341440453E-2</v>
      </c>
    </row>
    <row r="49" spans="2:7" x14ac:dyDescent="0.3">
      <c r="B49" s="88">
        <v>44823</v>
      </c>
      <c r="C49" s="85">
        <v>1392.3244629999999</v>
      </c>
      <c r="D49" s="17">
        <f t="shared" si="0"/>
        <v>2.8417462849542829E-2</v>
      </c>
      <c r="F49" s="85">
        <v>17327.349609000001</v>
      </c>
      <c r="G49" s="17">
        <f t="shared" si="1"/>
        <v>-1.1608108251383698E-2</v>
      </c>
    </row>
    <row r="50" spans="2:7" x14ac:dyDescent="0.3">
      <c r="B50" s="88">
        <v>44830</v>
      </c>
      <c r="C50" s="85">
        <v>1398.728394</v>
      </c>
      <c r="D50" s="17">
        <f t="shared" si="0"/>
        <v>4.5994530514832377E-3</v>
      </c>
      <c r="F50" s="85">
        <v>17094.349609000001</v>
      </c>
      <c r="G50" s="17">
        <f t="shared" si="1"/>
        <v>-1.3446949779265527E-2</v>
      </c>
    </row>
    <row r="51" spans="2:7" x14ac:dyDescent="0.3">
      <c r="B51" s="88">
        <v>44837</v>
      </c>
      <c r="C51" s="85">
        <v>1458.5972899999999</v>
      </c>
      <c r="D51" s="17">
        <f t="shared" si="0"/>
        <v>4.2802374111238661E-2</v>
      </c>
      <c r="F51" s="85">
        <v>17314.650390999999</v>
      </c>
      <c r="G51" s="17">
        <f t="shared" si="1"/>
        <v>1.2887345060733635E-2</v>
      </c>
    </row>
    <row r="52" spans="2:7" x14ac:dyDescent="0.3">
      <c r="B52" s="88">
        <v>44844</v>
      </c>
      <c r="C52" s="85">
        <v>1385.0269780000001</v>
      </c>
      <c r="D52" s="17">
        <f t="shared" si="0"/>
        <v>-5.0439084526202493E-2</v>
      </c>
      <c r="F52" s="85">
        <v>17185.699218999998</v>
      </c>
      <c r="G52" s="17">
        <f t="shared" si="1"/>
        <v>-7.4475180894804094E-3</v>
      </c>
    </row>
    <row r="53" spans="2:7" x14ac:dyDescent="0.3">
      <c r="B53" s="88">
        <v>44851</v>
      </c>
      <c r="C53" s="85">
        <v>1398.5794679999999</v>
      </c>
      <c r="D53" s="17">
        <f t="shared" si="0"/>
        <v>9.7850007366424574E-3</v>
      </c>
      <c r="F53" s="85">
        <v>17576.300781000002</v>
      </c>
      <c r="G53" s="17">
        <f t="shared" si="1"/>
        <v>2.2728290366455628E-2</v>
      </c>
    </row>
    <row r="54" spans="2:7" x14ac:dyDescent="0.3">
      <c r="B54" s="88">
        <v>44858</v>
      </c>
      <c r="C54" s="85">
        <v>1420.322876</v>
      </c>
      <c r="D54" s="17">
        <f t="shared" si="0"/>
        <v>1.5546780499426038E-2</v>
      </c>
      <c r="F54" s="85">
        <v>17786.800781000002</v>
      </c>
      <c r="G54" s="17">
        <f t="shared" si="1"/>
        <v>1.197635399068453E-2</v>
      </c>
    </row>
    <row r="55" spans="2:7" x14ac:dyDescent="0.3">
      <c r="B55" s="88">
        <v>44865</v>
      </c>
      <c r="C55" s="85">
        <v>1421.8616939999999</v>
      </c>
      <c r="D55" s="17">
        <f t="shared" si="0"/>
        <v>1.0834283007070677E-3</v>
      </c>
      <c r="F55" s="85">
        <v>18117.150390999999</v>
      </c>
      <c r="G55" s="17">
        <f t="shared" si="1"/>
        <v>1.8572739081492262E-2</v>
      </c>
    </row>
    <row r="56" spans="2:7" x14ac:dyDescent="0.3">
      <c r="B56" s="88">
        <v>44872</v>
      </c>
      <c r="C56" s="85">
        <v>1358.7164310000001</v>
      </c>
      <c r="D56" s="17">
        <f t="shared" si="0"/>
        <v>-4.4410270890946402E-2</v>
      </c>
      <c r="F56" s="85">
        <v>18349.699218999998</v>
      </c>
      <c r="G56" s="17">
        <f t="shared" si="1"/>
        <v>1.2835839134808014E-2</v>
      </c>
    </row>
    <row r="57" spans="2:7" x14ac:dyDescent="0.3">
      <c r="B57" s="88">
        <v>44879</v>
      </c>
      <c r="C57" s="85">
        <v>1308.0313719999999</v>
      </c>
      <c r="D57" s="17">
        <f t="shared" si="0"/>
        <v>-3.7303632931484088E-2</v>
      </c>
      <c r="F57" s="85">
        <v>18307.650390999999</v>
      </c>
      <c r="G57" s="17">
        <f t="shared" si="1"/>
        <v>-2.2915268254892762E-3</v>
      </c>
    </row>
    <row r="58" spans="2:7" x14ac:dyDescent="0.3">
      <c r="B58" s="88">
        <v>44886</v>
      </c>
      <c r="C58" s="85">
        <v>1380.013062</v>
      </c>
      <c r="D58" s="17">
        <f t="shared" si="0"/>
        <v>5.5030553196854015E-2</v>
      </c>
      <c r="F58" s="85">
        <v>18512.75</v>
      </c>
      <c r="G58" s="17">
        <f t="shared" si="1"/>
        <v>1.1202945469224623E-2</v>
      </c>
    </row>
    <row r="59" spans="2:7" x14ac:dyDescent="0.3">
      <c r="B59" s="88">
        <v>44893</v>
      </c>
      <c r="C59" s="85">
        <v>1390.338745</v>
      </c>
      <c r="D59" s="17">
        <f t="shared" si="0"/>
        <v>7.482308163833995E-3</v>
      </c>
      <c r="F59" s="85">
        <v>18696.099609000001</v>
      </c>
      <c r="G59" s="17">
        <f t="shared" si="1"/>
        <v>9.9039639707769744E-3</v>
      </c>
    </row>
    <row r="60" spans="2:7" x14ac:dyDescent="0.3">
      <c r="B60" s="88">
        <v>44900</v>
      </c>
      <c r="C60" s="85">
        <v>1350.2772219999999</v>
      </c>
      <c r="D60" s="17">
        <f t="shared" si="0"/>
        <v>-2.8814217502080797E-2</v>
      </c>
      <c r="F60" s="85">
        <v>18496.599609000001</v>
      </c>
      <c r="G60" s="17">
        <f t="shared" si="1"/>
        <v>-1.0670674855838058E-2</v>
      </c>
    </row>
    <row r="61" spans="2:7" x14ac:dyDescent="0.3">
      <c r="B61" s="88">
        <v>44907</v>
      </c>
      <c r="C61" s="85">
        <v>1307.783203</v>
      </c>
      <c r="D61" s="17">
        <f t="shared" si="0"/>
        <v>-3.1470588637390162E-2</v>
      </c>
      <c r="F61" s="85">
        <v>18269</v>
      </c>
      <c r="G61" s="17">
        <f t="shared" si="1"/>
        <v>-1.2304943276668867E-2</v>
      </c>
    </row>
    <row r="62" spans="2:7" x14ac:dyDescent="0.3">
      <c r="B62" s="88">
        <v>44914</v>
      </c>
      <c r="C62" s="85">
        <v>1276.0616460000001</v>
      </c>
      <c r="D62" s="17">
        <f t="shared" si="0"/>
        <v>-2.4255975246686101E-2</v>
      </c>
      <c r="F62" s="85">
        <v>17806.800781000002</v>
      </c>
      <c r="G62" s="17">
        <f t="shared" si="1"/>
        <v>-2.529964524604511E-2</v>
      </c>
    </row>
    <row r="63" spans="2:7" x14ac:dyDescent="0.3">
      <c r="B63" s="88">
        <v>44921</v>
      </c>
      <c r="C63" s="85">
        <v>1328.533813</v>
      </c>
      <c r="D63" s="17">
        <f t="shared" si="0"/>
        <v>4.1120401325814848E-2</v>
      </c>
      <c r="F63" s="85">
        <v>18105.300781000002</v>
      </c>
      <c r="G63" s="17">
        <f t="shared" si="1"/>
        <v>1.6763258244484991E-2</v>
      </c>
    </row>
    <row r="64" spans="2:7" x14ac:dyDescent="0.3">
      <c r="B64" s="88">
        <v>44928</v>
      </c>
      <c r="C64" s="85">
        <v>1290.1104740000001</v>
      </c>
      <c r="D64" s="17">
        <f t="shared" si="0"/>
        <v>-2.8921611647380718E-2</v>
      </c>
      <c r="F64" s="85">
        <v>17859.449218999998</v>
      </c>
      <c r="G64" s="17">
        <f t="shared" si="1"/>
        <v>-1.3578982474458767E-2</v>
      </c>
    </row>
    <row r="65" spans="2:7" x14ac:dyDescent="0.3">
      <c r="B65" s="88">
        <v>44935</v>
      </c>
      <c r="C65" s="85">
        <v>1283.954712</v>
      </c>
      <c r="D65" s="17">
        <f t="shared" si="0"/>
        <v>-4.7714999017983706E-3</v>
      </c>
      <c r="F65" s="85">
        <v>17956.599609000001</v>
      </c>
      <c r="G65" s="17">
        <f t="shared" si="1"/>
        <v>5.4397192661825855E-3</v>
      </c>
    </row>
    <row r="66" spans="2:7" x14ac:dyDescent="0.3">
      <c r="B66" s="88">
        <v>44942</v>
      </c>
      <c r="C66" s="85">
        <v>1211.8242190000001</v>
      </c>
      <c r="D66" s="17">
        <f t="shared" si="0"/>
        <v>-5.6178377886586972E-2</v>
      </c>
      <c r="F66" s="85">
        <v>18027.650390999999</v>
      </c>
      <c r="G66" s="17">
        <f t="shared" si="1"/>
        <v>3.9568060516528281E-3</v>
      </c>
    </row>
    <row r="67" spans="2:7" x14ac:dyDescent="0.3">
      <c r="B67" s="88">
        <v>44949</v>
      </c>
      <c r="C67" s="85">
        <v>1150.565186</v>
      </c>
      <c r="D67" s="17">
        <f t="shared" si="0"/>
        <v>-5.0551088218513396E-2</v>
      </c>
      <c r="F67" s="85">
        <v>17604.349609000001</v>
      </c>
      <c r="G67" s="17">
        <f t="shared" si="1"/>
        <v>-2.3480640727941093E-2</v>
      </c>
    </row>
    <row r="68" spans="2:7" x14ac:dyDescent="0.3">
      <c r="B68" s="88">
        <v>44956</v>
      </c>
      <c r="C68" s="85">
        <v>1224.1354980000001</v>
      </c>
      <c r="D68" s="17">
        <f t="shared" si="0"/>
        <v>6.3942758650443077E-2</v>
      </c>
      <c r="F68" s="85">
        <v>17854.050781000002</v>
      </c>
      <c r="G68" s="17">
        <f t="shared" si="1"/>
        <v>1.4184061186352848E-2</v>
      </c>
    </row>
    <row r="69" spans="2:7" x14ac:dyDescent="0.3">
      <c r="B69" s="88">
        <v>44963</v>
      </c>
      <c r="C69" s="85">
        <v>1249.502808</v>
      </c>
      <c r="D69" s="17">
        <f t="shared" si="0"/>
        <v>2.0722632454859058E-2</v>
      </c>
      <c r="F69" s="85">
        <v>17856.5</v>
      </c>
      <c r="G69" s="17">
        <f t="shared" si="1"/>
        <v>1.371800175793414E-4</v>
      </c>
    </row>
    <row r="70" spans="2:7" x14ac:dyDescent="0.3">
      <c r="B70" s="88">
        <v>44970</v>
      </c>
      <c r="C70" s="85">
        <v>1233.4187010000001</v>
      </c>
      <c r="D70" s="17">
        <f t="shared" si="0"/>
        <v>-1.2872405645686147E-2</v>
      </c>
      <c r="F70" s="85">
        <v>17944.199218999998</v>
      </c>
      <c r="G70" s="17">
        <f t="shared" si="1"/>
        <v>4.9113330719905424E-3</v>
      </c>
    </row>
    <row r="71" spans="2:7" x14ac:dyDescent="0.3">
      <c r="B71" s="88">
        <v>44977</v>
      </c>
      <c r="C71" s="85">
        <v>1154.5863039999999</v>
      </c>
      <c r="D71" s="17">
        <f t="shared" si="0"/>
        <v>-6.3913735810950834E-2</v>
      </c>
      <c r="F71" s="85">
        <v>17465.800781000002</v>
      </c>
      <c r="G71" s="17">
        <f t="shared" si="1"/>
        <v>-2.6660339208308015E-2</v>
      </c>
    </row>
    <row r="72" spans="2:7" x14ac:dyDescent="0.3">
      <c r="B72" s="88">
        <v>44984</v>
      </c>
      <c r="C72" s="85">
        <v>1178.762207</v>
      </c>
      <c r="D72" s="17">
        <f t="shared" si="0"/>
        <v>2.0939017651815162E-2</v>
      </c>
      <c r="F72" s="85">
        <v>17594.349609000001</v>
      </c>
      <c r="G72" s="17">
        <f t="shared" si="1"/>
        <v>7.3600305884538031E-3</v>
      </c>
    </row>
    <row r="73" spans="2:7" x14ac:dyDescent="0.3">
      <c r="B73" s="88">
        <v>44991</v>
      </c>
      <c r="C73" s="85">
        <v>1159.0541989999999</v>
      </c>
      <c r="D73" s="17">
        <f t="shared" si="0"/>
        <v>-1.6719239794901308E-2</v>
      </c>
      <c r="F73" s="85">
        <v>17412.900390999999</v>
      </c>
      <c r="G73" s="17">
        <f t="shared" si="1"/>
        <v>-1.0312925571695164E-2</v>
      </c>
    </row>
    <row r="74" spans="2:7" x14ac:dyDescent="0.3">
      <c r="B74" s="88">
        <v>44998</v>
      </c>
      <c r="C74" s="85">
        <v>1160.295288</v>
      </c>
      <c r="D74" s="17">
        <f t="shared" ref="D74:D113" si="2">IFERROR(C74/C73-1,0)</f>
        <v>1.0707773640532547E-3</v>
      </c>
      <c r="F74" s="85">
        <v>17100.050781000002</v>
      </c>
      <c r="G74" s="17">
        <f t="shared" ref="G74:G113" si="3">IFERROR(F74/F73-1,0)</f>
        <v>-1.7966542217268788E-2</v>
      </c>
    </row>
    <row r="75" spans="2:7" x14ac:dyDescent="0.3">
      <c r="B75" s="88">
        <v>45005</v>
      </c>
      <c r="C75" s="85">
        <v>1102.4616699999999</v>
      </c>
      <c r="D75" s="17">
        <f t="shared" si="2"/>
        <v>-4.9843879052278051E-2</v>
      </c>
      <c r="F75" s="85">
        <v>16945.050781000002</v>
      </c>
      <c r="G75" s="17">
        <f t="shared" si="3"/>
        <v>-9.0643005675878907E-3</v>
      </c>
    </row>
    <row r="76" spans="2:7" x14ac:dyDescent="0.3">
      <c r="B76" s="88">
        <v>45012</v>
      </c>
      <c r="C76" s="85">
        <v>1131.0061040000001</v>
      </c>
      <c r="D76" s="17">
        <f t="shared" si="2"/>
        <v>2.5891543240682546E-2</v>
      </c>
      <c r="F76" s="85">
        <v>17359.75</v>
      </c>
      <c r="G76" s="17">
        <f t="shared" si="3"/>
        <v>2.4473176525678486E-2</v>
      </c>
    </row>
    <row r="77" spans="2:7" x14ac:dyDescent="0.3">
      <c r="B77" s="88">
        <v>45019</v>
      </c>
      <c r="C77" s="85">
        <v>1131.4528809999999</v>
      </c>
      <c r="D77" s="17">
        <f t="shared" si="2"/>
        <v>3.9502616159170501E-4</v>
      </c>
      <c r="F77" s="85">
        <v>17599.150390999999</v>
      </c>
      <c r="G77" s="17">
        <f t="shared" si="3"/>
        <v>1.3790543700226143E-2</v>
      </c>
    </row>
    <row r="78" spans="2:7" x14ac:dyDescent="0.3">
      <c r="B78" s="88">
        <v>45026</v>
      </c>
      <c r="C78" s="85">
        <v>1229.695557</v>
      </c>
      <c r="D78" s="17">
        <f t="shared" si="2"/>
        <v>8.6828782399821502E-2</v>
      </c>
      <c r="F78" s="85">
        <v>17828</v>
      </c>
      <c r="G78" s="17">
        <f t="shared" si="3"/>
        <v>1.3003446411653519E-2</v>
      </c>
    </row>
    <row r="79" spans="2:7" x14ac:dyDescent="0.3">
      <c r="B79" s="88">
        <v>45033</v>
      </c>
      <c r="C79" s="85">
        <v>1271.0477289999999</v>
      </c>
      <c r="D79" s="17">
        <f t="shared" si="2"/>
        <v>3.3627975448560443E-2</v>
      </c>
      <c r="F79" s="85">
        <v>17624.050781000002</v>
      </c>
      <c r="G79" s="17">
        <f t="shared" si="3"/>
        <v>-1.1439826060130054E-2</v>
      </c>
    </row>
    <row r="80" spans="2:7" x14ac:dyDescent="0.3">
      <c r="B80" s="88">
        <v>45040</v>
      </c>
      <c r="C80" s="85">
        <v>1263.055298</v>
      </c>
      <c r="D80" s="17">
        <f t="shared" si="2"/>
        <v>-6.2880652060862685E-3</v>
      </c>
      <c r="F80" s="85">
        <v>18065</v>
      </c>
      <c r="G80" s="17">
        <f t="shared" si="3"/>
        <v>2.5019742877464557E-2</v>
      </c>
    </row>
    <row r="81" spans="2:7" x14ac:dyDescent="0.3">
      <c r="B81" s="88">
        <v>45047</v>
      </c>
      <c r="C81" s="85">
        <v>1217.135986</v>
      </c>
      <c r="D81" s="17">
        <f t="shared" si="2"/>
        <v>-3.6355741567856481E-2</v>
      </c>
      <c r="F81" s="85">
        <v>18069</v>
      </c>
      <c r="G81" s="17">
        <f t="shared" si="3"/>
        <v>2.2142264046509652E-4</v>
      </c>
    </row>
    <row r="82" spans="2:7" x14ac:dyDescent="0.3">
      <c r="B82" s="88">
        <v>45054</v>
      </c>
      <c r="C82" s="85">
        <v>1265.2395019999999</v>
      </c>
      <c r="D82" s="17">
        <f t="shared" si="2"/>
        <v>3.9521891188253777E-2</v>
      </c>
      <c r="F82" s="85">
        <v>18314.800781000002</v>
      </c>
      <c r="G82" s="17">
        <f t="shared" si="3"/>
        <v>1.3603452376999448E-2</v>
      </c>
    </row>
    <row r="83" spans="2:7" x14ac:dyDescent="0.3">
      <c r="B83" s="88">
        <v>45061</v>
      </c>
      <c r="C83" s="85">
        <v>1221.4548339999999</v>
      </c>
      <c r="D83" s="17">
        <f t="shared" si="2"/>
        <v>-3.4605833860536506E-2</v>
      </c>
      <c r="F83" s="85">
        <v>18203.400390999999</v>
      </c>
      <c r="G83" s="17">
        <f t="shared" si="3"/>
        <v>-6.0825335384249168E-3</v>
      </c>
    </row>
    <row r="84" spans="2:7" x14ac:dyDescent="0.3">
      <c r="B84" s="88">
        <v>45068</v>
      </c>
      <c r="C84" s="85">
        <v>1265.7856449999999</v>
      </c>
      <c r="D84" s="17">
        <f t="shared" si="2"/>
        <v>3.6293450863693621E-2</v>
      </c>
      <c r="F84" s="85">
        <v>18499.349609000001</v>
      </c>
      <c r="G84" s="17">
        <f t="shared" si="3"/>
        <v>1.6257908502980811E-2</v>
      </c>
    </row>
    <row r="85" spans="2:7" x14ac:dyDescent="0.3">
      <c r="B85" s="88">
        <v>45075</v>
      </c>
      <c r="C85" s="85">
        <v>1277.600586</v>
      </c>
      <c r="D85" s="17">
        <f t="shared" si="2"/>
        <v>9.3340772560270846E-3</v>
      </c>
      <c r="F85" s="85">
        <v>18534.099609000001</v>
      </c>
      <c r="G85" s="17">
        <f t="shared" si="3"/>
        <v>1.8784444174779757E-3</v>
      </c>
    </row>
    <row r="86" spans="2:7" x14ac:dyDescent="0.3">
      <c r="B86" s="88">
        <v>45082</v>
      </c>
      <c r="C86" s="85">
        <v>1275.763672</v>
      </c>
      <c r="D86" s="17">
        <f t="shared" si="2"/>
        <v>-1.437784249732621E-3</v>
      </c>
      <c r="F86" s="85">
        <v>18563.400390999999</v>
      </c>
      <c r="G86" s="17">
        <f t="shared" si="3"/>
        <v>1.5809120819534339E-3</v>
      </c>
    </row>
    <row r="87" spans="2:7" x14ac:dyDescent="0.3">
      <c r="B87" s="88">
        <v>45089</v>
      </c>
      <c r="C87" s="85">
        <v>1353.9506839999999</v>
      </c>
      <c r="D87" s="17">
        <f t="shared" si="2"/>
        <v>6.1286438637515817E-2</v>
      </c>
      <c r="F87" s="85">
        <v>18826</v>
      </c>
      <c r="G87" s="17">
        <f t="shared" si="3"/>
        <v>1.4146094113625551E-2</v>
      </c>
    </row>
    <row r="88" spans="2:7" x14ac:dyDescent="0.3">
      <c r="B88" s="88">
        <v>45096</v>
      </c>
      <c r="C88" s="85">
        <v>1291.30188</v>
      </c>
      <c r="D88" s="17">
        <f t="shared" si="2"/>
        <v>-4.6271112190671149E-2</v>
      </c>
      <c r="F88" s="85">
        <v>18665.5</v>
      </c>
      <c r="G88" s="17">
        <f t="shared" si="3"/>
        <v>-8.5254435355359703E-3</v>
      </c>
    </row>
    <row r="89" spans="2:7" x14ac:dyDescent="0.3">
      <c r="B89" s="88">
        <v>45103</v>
      </c>
      <c r="C89" s="85">
        <v>1230.142212</v>
      </c>
      <c r="D89" s="17">
        <f t="shared" si="2"/>
        <v>-4.7362796374152305E-2</v>
      </c>
      <c r="F89" s="85">
        <v>19189.050781000002</v>
      </c>
      <c r="G89" s="17">
        <f t="shared" si="3"/>
        <v>2.804911633762841E-2</v>
      </c>
    </row>
    <row r="90" spans="2:7" x14ac:dyDescent="0.3">
      <c r="B90" s="88">
        <v>45110</v>
      </c>
      <c r="C90" s="85">
        <v>1197.5271</v>
      </c>
      <c r="D90" s="17">
        <f t="shared" si="2"/>
        <v>-2.6513285766345152E-2</v>
      </c>
      <c r="F90" s="85">
        <v>19331.800781000002</v>
      </c>
      <c r="G90" s="17">
        <f t="shared" si="3"/>
        <v>7.4391381642151533E-3</v>
      </c>
    </row>
    <row r="91" spans="2:7" x14ac:dyDescent="0.3">
      <c r="B91" s="88">
        <v>45117</v>
      </c>
      <c r="C91" s="85">
        <v>1222.0505370000001</v>
      </c>
      <c r="D91" s="17">
        <f t="shared" si="2"/>
        <v>2.0478398359419225E-2</v>
      </c>
      <c r="F91" s="85">
        <v>19564.5</v>
      </c>
      <c r="G91" s="17">
        <f t="shared" si="3"/>
        <v>1.2037120681933855E-2</v>
      </c>
    </row>
    <row r="92" spans="2:7" x14ac:dyDescent="0.3">
      <c r="B92" s="88">
        <v>45124</v>
      </c>
      <c r="C92" s="85">
        <v>1271.8917240000001</v>
      </c>
      <c r="D92" s="17">
        <f t="shared" si="2"/>
        <v>4.0784882041257076E-2</v>
      </c>
      <c r="F92" s="85">
        <v>19745</v>
      </c>
      <c r="G92" s="17">
        <f t="shared" si="3"/>
        <v>9.225893838329613E-3</v>
      </c>
    </row>
    <row r="93" spans="2:7" x14ac:dyDescent="0.3">
      <c r="B93" s="88">
        <v>45131</v>
      </c>
      <c r="C93" s="85">
        <v>1231.7308350000001</v>
      </c>
      <c r="D93" s="17">
        <f t="shared" si="2"/>
        <v>-3.1575713751558321E-2</v>
      </c>
      <c r="F93" s="85">
        <v>19646.050781000002</v>
      </c>
      <c r="G93" s="17">
        <f t="shared" si="3"/>
        <v>-5.0113557356291638E-3</v>
      </c>
    </row>
    <row r="94" spans="2:7" x14ac:dyDescent="0.3">
      <c r="B94" s="88">
        <v>45138</v>
      </c>
      <c r="C94" s="85">
        <v>1265.0410159999999</v>
      </c>
      <c r="D94" s="17">
        <f t="shared" si="2"/>
        <v>2.70433929666134E-2</v>
      </c>
      <c r="F94" s="85">
        <v>19517</v>
      </c>
      <c r="G94" s="17">
        <f t="shared" si="3"/>
        <v>-6.568789953694365E-3</v>
      </c>
    </row>
    <row r="95" spans="2:7" x14ac:dyDescent="0.3">
      <c r="B95" s="88">
        <v>45145</v>
      </c>
      <c r="C95" s="85">
        <v>1257.9918210000001</v>
      </c>
      <c r="D95" s="17">
        <f t="shared" si="2"/>
        <v>-5.5723054911602787E-3</v>
      </c>
      <c r="F95" s="85">
        <v>19428.300781000002</v>
      </c>
      <c r="G95" s="17">
        <f t="shared" si="3"/>
        <v>-4.5447158374749552E-3</v>
      </c>
    </row>
    <row r="96" spans="2:7" x14ac:dyDescent="0.3">
      <c r="B96" s="88">
        <v>45152</v>
      </c>
      <c r="C96" s="85">
        <v>1216.2919919999999</v>
      </c>
      <c r="D96" s="17">
        <f t="shared" si="2"/>
        <v>-3.314793332030741E-2</v>
      </c>
      <c r="F96" s="85">
        <v>19310.150390999999</v>
      </c>
      <c r="G96" s="17">
        <f t="shared" si="3"/>
        <v>-6.0813547891717112E-3</v>
      </c>
    </row>
    <row r="97" spans="2:7" x14ac:dyDescent="0.3">
      <c r="B97" s="88">
        <v>45159</v>
      </c>
      <c r="C97" s="85">
        <v>1218.5500489999999</v>
      </c>
      <c r="D97" s="17">
        <f t="shared" si="2"/>
        <v>1.8565089755191444E-3</v>
      </c>
      <c r="F97" s="85">
        <v>19265.800781000002</v>
      </c>
      <c r="G97" s="17">
        <f t="shared" si="3"/>
        <v>-2.2966993576947203E-3</v>
      </c>
    </row>
    <row r="98" spans="2:7" x14ac:dyDescent="0.3">
      <c r="B98" s="88">
        <v>45166</v>
      </c>
      <c r="C98" s="85">
        <v>1258.400024</v>
      </c>
      <c r="D98" s="17">
        <f t="shared" si="2"/>
        <v>3.2702780679958909E-2</v>
      </c>
      <c r="F98" s="85">
        <v>19435.300781000002</v>
      </c>
      <c r="G98" s="17">
        <f t="shared" si="3"/>
        <v>8.797973254616176E-3</v>
      </c>
    </row>
    <row r="99" spans="2:7" x14ac:dyDescent="0.3">
      <c r="B99" s="88">
        <v>45173</v>
      </c>
      <c r="C99" s="85">
        <v>1280.75</v>
      </c>
      <c r="D99" s="17">
        <f t="shared" si="2"/>
        <v>1.7760629031901454E-2</v>
      </c>
      <c r="F99" s="85">
        <v>19819.949218999998</v>
      </c>
      <c r="G99" s="17">
        <f t="shared" si="3"/>
        <v>1.9791226404688889E-2</v>
      </c>
    </row>
    <row r="100" spans="2:7" x14ac:dyDescent="0.3">
      <c r="B100" s="88">
        <v>45180</v>
      </c>
      <c r="C100" s="85">
        <v>1314</v>
      </c>
      <c r="D100" s="17">
        <f t="shared" si="2"/>
        <v>2.5961350771032565E-2</v>
      </c>
      <c r="F100" s="85">
        <v>20192.349609000001</v>
      </c>
      <c r="G100" s="17">
        <f t="shared" si="3"/>
        <v>1.8789169734249711E-2</v>
      </c>
    </row>
    <row r="101" spans="2:7" x14ac:dyDescent="0.3">
      <c r="B101" s="88">
        <v>45187</v>
      </c>
      <c r="C101" s="85">
        <v>1342.25</v>
      </c>
      <c r="D101" s="17">
        <f t="shared" si="2"/>
        <v>2.1499238964992395E-2</v>
      </c>
      <c r="F101" s="85">
        <v>19674.25</v>
      </c>
      <c r="G101" s="17">
        <f t="shared" si="3"/>
        <v>-2.5658213087251469E-2</v>
      </c>
    </row>
    <row r="102" spans="2:7" x14ac:dyDescent="0.3">
      <c r="B102" s="88">
        <v>45194</v>
      </c>
      <c r="C102" s="85">
        <v>1338.5500489999999</v>
      </c>
      <c r="D102" s="17">
        <f t="shared" si="2"/>
        <v>-2.7565289625629541E-3</v>
      </c>
      <c r="F102" s="85">
        <v>19638.300781000002</v>
      </c>
      <c r="G102" s="17">
        <f t="shared" si="3"/>
        <v>-1.8272218254824502E-3</v>
      </c>
    </row>
    <row r="103" spans="2:7" x14ac:dyDescent="0.3">
      <c r="B103" s="88">
        <v>45201</v>
      </c>
      <c r="C103" s="85">
        <v>1298.900024</v>
      </c>
      <c r="D103" s="17">
        <f t="shared" si="2"/>
        <v>-2.9621623061178437E-2</v>
      </c>
      <c r="F103" s="85">
        <v>19653.5</v>
      </c>
      <c r="G103" s="17">
        <f t="shared" si="3"/>
        <v>7.7395794928980521E-4</v>
      </c>
    </row>
    <row r="104" spans="2:7" x14ac:dyDescent="0.3">
      <c r="B104" s="88">
        <v>45208</v>
      </c>
      <c r="C104" s="85">
        <v>1276.900024</v>
      </c>
      <c r="D104" s="17">
        <f t="shared" si="2"/>
        <v>-1.6937408263532405E-2</v>
      </c>
      <c r="F104" s="85">
        <v>19751.050781000002</v>
      </c>
      <c r="G104" s="17">
        <f t="shared" si="3"/>
        <v>4.96353224616497E-3</v>
      </c>
    </row>
    <row r="105" spans="2:7" x14ac:dyDescent="0.3">
      <c r="B105" s="88">
        <v>45215</v>
      </c>
      <c r="C105" s="85">
        <v>1311.099976</v>
      </c>
      <c r="D105" s="17">
        <f t="shared" si="2"/>
        <v>2.6783578476931691E-2</v>
      </c>
      <c r="F105" s="85">
        <v>19542.650390999999</v>
      </c>
      <c r="G105" s="17">
        <f t="shared" si="3"/>
        <v>-1.0551357105540893E-2</v>
      </c>
    </row>
    <row r="106" spans="2:7" x14ac:dyDescent="0.3">
      <c r="B106" s="88">
        <v>45222</v>
      </c>
      <c r="C106" s="85">
        <v>1283.0500489999999</v>
      </c>
      <c r="D106" s="17">
        <f t="shared" si="2"/>
        <v>-2.1394193816993923E-2</v>
      </c>
      <c r="F106" s="85">
        <v>19047.25</v>
      </c>
      <c r="G106" s="17">
        <f t="shared" si="3"/>
        <v>-2.5349703396840506E-2</v>
      </c>
    </row>
    <row r="107" spans="2:7" x14ac:dyDescent="0.3">
      <c r="B107" s="88">
        <v>45229</v>
      </c>
      <c r="C107" s="85">
        <v>1302.650024</v>
      </c>
      <c r="D107" s="17">
        <f t="shared" si="2"/>
        <v>1.5276079849945168E-2</v>
      </c>
      <c r="F107" s="85">
        <v>19230.599609000001</v>
      </c>
      <c r="G107" s="17">
        <f t="shared" si="3"/>
        <v>9.6260409770438926E-3</v>
      </c>
    </row>
    <row r="108" spans="2:7" x14ac:dyDescent="0.3">
      <c r="B108" s="88">
        <v>45236</v>
      </c>
      <c r="C108" s="85">
        <v>1332.6999510000001</v>
      </c>
      <c r="D108" s="17">
        <f t="shared" si="2"/>
        <v>2.3068304184823862E-2</v>
      </c>
      <c r="F108" s="85">
        <v>19425.349609000001</v>
      </c>
      <c r="G108" s="17">
        <f t="shared" si="3"/>
        <v>1.0127089324289962E-2</v>
      </c>
    </row>
    <row r="109" spans="2:7" x14ac:dyDescent="0.3">
      <c r="B109" s="88">
        <v>45243</v>
      </c>
      <c r="C109" s="85">
        <v>1304.8000489999999</v>
      </c>
      <c r="D109" s="17">
        <f t="shared" si="2"/>
        <v>-2.0934871333239902E-2</v>
      </c>
      <c r="F109" s="85">
        <v>19731.800781000002</v>
      </c>
      <c r="G109" s="17">
        <f t="shared" si="3"/>
        <v>1.5775838178892609E-2</v>
      </c>
    </row>
    <row r="110" spans="2:7" x14ac:dyDescent="0.3">
      <c r="B110" s="88">
        <v>45250</v>
      </c>
      <c r="C110" s="85">
        <v>1344.349976</v>
      </c>
      <c r="D110" s="17">
        <f t="shared" si="2"/>
        <v>3.0311101712719113E-2</v>
      </c>
      <c r="F110" s="85">
        <v>19794.699218999998</v>
      </c>
      <c r="G110" s="17">
        <f t="shared" si="3"/>
        <v>3.1876684088845142E-3</v>
      </c>
    </row>
    <row r="111" spans="2:7" x14ac:dyDescent="0.3">
      <c r="B111" s="88">
        <v>45257</v>
      </c>
      <c r="C111" s="85">
        <v>1391.75</v>
      </c>
      <c r="D111" s="17">
        <f t="shared" si="2"/>
        <v>3.525869367814094E-2</v>
      </c>
      <c r="F111" s="85">
        <v>20267.900390999999</v>
      </c>
      <c r="G111" s="17">
        <f t="shared" si="3"/>
        <v>2.390544896715574E-2</v>
      </c>
    </row>
    <row r="112" spans="2:7" x14ac:dyDescent="0.3">
      <c r="B112" s="88">
        <v>45264</v>
      </c>
      <c r="C112" s="85">
        <v>1458.75</v>
      </c>
      <c r="D112" s="17">
        <f t="shared" si="2"/>
        <v>4.8140829890425785E-2</v>
      </c>
      <c r="F112" s="85">
        <v>20969.400390999999</v>
      </c>
      <c r="G112" s="17">
        <f t="shared" si="3"/>
        <v>3.4611379889724736E-2</v>
      </c>
    </row>
    <row r="113" spans="2:7" x14ac:dyDescent="0.3">
      <c r="B113" s="88">
        <v>45268</v>
      </c>
      <c r="D113" s="17">
        <f t="shared" si="2"/>
        <v>-1</v>
      </c>
      <c r="F113" s="85">
        <v>20969.400390999999</v>
      </c>
      <c r="G113" s="17">
        <f t="shared" si="3"/>
        <v>0</v>
      </c>
    </row>
  </sheetData>
  <mergeCells count="3">
    <mergeCell ref="B5:D5"/>
    <mergeCell ref="F5:G5"/>
    <mergeCell ref="I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C914-6543-4A08-9815-4DD0E8DEC14A}">
  <dimension ref="B2:T113"/>
  <sheetViews>
    <sheetView showGridLines="0" topLeftCell="A4" workbookViewId="0">
      <selection activeCell="L8" sqref="L8"/>
    </sheetView>
  </sheetViews>
  <sheetFormatPr defaultRowHeight="14.4" x14ac:dyDescent="0.3"/>
  <cols>
    <col min="1" max="1" width="1.88671875" customWidth="1"/>
    <col min="2" max="2" width="14.33203125" bestFit="1" customWidth="1"/>
    <col min="3" max="3" width="12" bestFit="1" customWidth="1"/>
    <col min="4" max="4" width="14.21875" bestFit="1" customWidth="1"/>
    <col min="6" max="6" width="12" bestFit="1" customWidth="1"/>
    <col min="9" max="9" width="17.5546875" bestFit="1" customWidth="1"/>
  </cols>
  <sheetData>
    <row r="2" spans="2:13" x14ac:dyDescent="0.3">
      <c r="B2" s="15" t="s">
        <v>233</v>
      </c>
    </row>
    <row r="3" spans="2:13" x14ac:dyDescent="0.3">
      <c r="B3" s="15"/>
    </row>
    <row r="5" spans="2:13" x14ac:dyDescent="0.3">
      <c r="B5" s="156" t="s">
        <v>197</v>
      </c>
      <c r="C5" s="156"/>
      <c r="D5" s="156"/>
      <c r="F5" s="156" t="s">
        <v>199</v>
      </c>
      <c r="G5" s="156"/>
      <c r="I5" s="156" t="s">
        <v>227</v>
      </c>
      <c r="J5" s="156"/>
      <c r="L5" t="s">
        <v>200</v>
      </c>
      <c r="M5" s="87">
        <f>SLOPE(D9:D113,G9:G113)</f>
        <v>0.83241371312722912</v>
      </c>
    </row>
    <row r="6" spans="2:13" s="96" customFormat="1" x14ac:dyDescent="0.3">
      <c r="B6" s="97"/>
      <c r="C6" s="97"/>
      <c r="D6" s="97"/>
      <c r="F6" s="97"/>
      <c r="G6" s="97"/>
      <c r="I6" s="97"/>
      <c r="J6" s="97"/>
      <c r="M6" s="101"/>
    </row>
    <row r="7" spans="2:13" x14ac:dyDescent="0.3">
      <c r="B7" s="91" t="s">
        <v>195</v>
      </c>
      <c r="C7" s="92" t="s">
        <v>196</v>
      </c>
      <c r="D7" s="92" t="s">
        <v>198</v>
      </c>
      <c r="F7" s="92" t="s">
        <v>196</v>
      </c>
      <c r="G7" s="92" t="s">
        <v>198</v>
      </c>
      <c r="I7" s="45" t="s">
        <v>228</v>
      </c>
      <c r="J7" s="87">
        <f>M9</f>
        <v>1.0234533643058505</v>
      </c>
      <c r="L7" t="s">
        <v>201</v>
      </c>
      <c r="M7" s="87">
        <f>_xlfn.COVARIANCE.S(D8:D113,G8:G113)/_xlfn.VAR.S(G8:G113)</f>
        <v>0.83241371312722812</v>
      </c>
    </row>
    <row r="8" spans="2:13" x14ac:dyDescent="0.3">
      <c r="B8" s="88">
        <v>44536</v>
      </c>
      <c r="C8" s="85"/>
      <c r="F8" s="85">
        <v>17511.300781000002</v>
      </c>
      <c r="I8" t="s">
        <v>229</v>
      </c>
      <c r="J8" s="90">
        <v>0.75</v>
      </c>
    </row>
    <row r="9" spans="2:13" x14ac:dyDescent="0.3">
      <c r="B9" s="88">
        <v>44543</v>
      </c>
      <c r="C9" s="85"/>
      <c r="D9" s="17">
        <f>IFERROR(C9/C8-1,0)</f>
        <v>0</v>
      </c>
      <c r="F9" s="85">
        <v>16985.199218999998</v>
      </c>
      <c r="G9" s="17">
        <f>IFERROR(F9/F8-1,0)</f>
        <v>-3.0043545512668635E-2</v>
      </c>
      <c r="L9" t="s">
        <v>202</v>
      </c>
      <c r="M9" s="87">
        <f>M28</f>
        <v>1.0234533643058505</v>
      </c>
    </row>
    <row r="10" spans="2:13" x14ac:dyDescent="0.3">
      <c r="B10" s="88">
        <v>44550</v>
      </c>
      <c r="C10" s="85"/>
      <c r="D10" s="17">
        <f t="shared" ref="D10:D73" si="0">IFERROR(C10/C9-1,0)</f>
        <v>0</v>
      </c>
      <c r="F10" s="85">
        <v>17003.75</v>
      </c>
      <c r="G10" s="17">
        <f t="shared" ref="G10:G73" si="1">IFERROR(F10/F9-1,0)</f>
        <v>1.0921732951623131E-3</v>
      </c>
      <c r="I10" t="s">
        <v>230</v>
      </c>
      <c r="J10">
        <v>1</v>
      </c>
    </row>
    <row r="11" spans="2:13" x14ac:dyDescent="0.3">
      <c r="B11" s="88">
        <v>44557</v>
      </c>
      <c r="C11" s="85"/>
      <c r="D11" s="17">
        <f t="shared" si="0"/>
        <v>0</v>
      </c>
      <c r="F11" s="85">
        <v>17354.050781000002</v>
      </c>
      <c r="G11" s="17">
        <f t="shared" si="1"/>
        <v>2.0601383871204915E-2</v>
      </c>
      <c r="I11" t="s">
        <v>231</v>
      </c>
      <c r="J11" s="102">
        <f>1-J8</f>
        <v>0.25</v>
      </c>
      <c r="L11" t="s">
        <v>203</v>
      </c>
    </row>
    <row r="12" spans="2:13" ht="15" thickBot="1" x14ac:dyDescent="0.35">
      <c r="B12" s="88">
        <v>44564</v>
      </c>
      <c r="C12" s="85"/>
      <c r="D12" s="17">
        <f t="shared" si="0"/>
        <v>0</v>
      </c>
      <c r="F12" s="85">
        <v>17812.699218999998</v>
      </c>
      <c r="G12" s="17">
        <f t="shared" si="1"/>
        <v>2.6428898001275014E-2</v>
      </c>
    </row>
    <row r="13" spans="2:13" x14ac:dyDescent="0.3">
      <c r="B13" s="88">
        <v>44571</v>
      </c>
      <c r="C13" s="85"/>
      <c r="D13" s="17">
        <f t="shared" si="0"/>
        <v>0</v>
      </c>
      <c r="F13" s="85">
        <v>18255.75</v>
      </c>
      <c r="G13" s="17">
        <f t="shared" si="1"/>
        <v>2.4872748119354027E-2</v>
      </c>
      <c r="I13" s="54" t="s">
        <v>232</v>
      </c>
      <c r="J13" s="54">
        <f>J7*J8+J10*J11</f>
        <v>1.017590023229388</v>
      </c>
      <c r="L13" s="95" t="s">
        <v>204</v>
      </c>
      <c r="M13" s="95"/>
    </row>
    <row r="14" spans="2:13" x14ac:dyDescent="0.3">
      <c r="B14" s="88">
        <v>44578</v>
      </c>
      <c r="C14" s="85"/>
      <c r="D14" s="17">
        <f t="shared" si="0"/>
        <v>0</v>
      </c>
      <c r="F14" s="85">
        <v>17617.150390999999</v>
      </c>
      <c r="G14" s="17">
        <f t="shared" si="1"/>
        <v>-3.4980738068827621E-2</v>
      </c>
      <c r="L14" t="s">
        <v>205</v>
      </c>
      <c r="M14">
        <v>0.47645173189937545</v>
      </c>
    </row>
    <row r="15" spans="2:13" x14ac:dyDescent="0.3">
      <c r="B15" s="88">
        <v>44585</v>
      </c>
      <c r="C15" s="85"/>
      <c r="D15" s="17">
        <f t="shared" si="0"/>
        <v>0</v>
      </c>
      <c r="F15" s="85">
        <v>17101.949218999998</v>
      </c>
      <c r="G15" s="17">
        <f t="shared" si="1"/>
        <v>-2.9244296640800638E-2</v>
      </c>
      <c r="L15" t="s">
        <v>206</v>
      </c>
      <c r="M15">
        <v>0.22700625282991435</v>
      </c>
    </row>
    <row r="16" spans="2:13" x14ac:dyDescent="0.3">
      <c r="B16" s="88">
        <v>44592</v>
      </c>
      <c r="C16" s="85"/>
      <c r="D16" s="17">
        <f t="shared" si="0"/>
        <v>0</v>
      </c>
      <c r="F16" s="85">
        <v>17516.300781000002</v>
      </c>
      <c r="G16" s="17">
        <f t="shared" si="1"/>
        <v>2.4228323724623468E-2</v>
      </c>
      <c r="L16" t="s">
        <v>207</v>
      </c>
      <c r="M16">
        <v>0.21950145916806887</v>
      </c>
    </row>
    <row r="17" spans="2:20" x14ac:dyDescent="0.3">
      <c r="B17" s="88">
        <v>44599</v>
      </c>
      <c r="C17" s="85"/>
      <c r="D17" s="17">
        <f t="shared" si="0"/>
        <v>0</v>
      </c>
      <c r="F17" s="85">
        <v>17374.75</v>
      </c>
      <c r="G17" s="17">
        <f t="shared" si="1"/>
        <v>-8.0810887395552644E-3</v>
      </c>
      <c r="L17" t="s">
        <v>208</v>
      </c>
      <c r="M17">
        <v>3.6057265146473491E-2</v>
      </c>
    </row>
    <row r="18" spans="2:20" ht="15" thickBot="1" x14ac:dyDescent="0.35">
      <c r="B18" s="88">
        <v>44606</v>
      </c>
      <c r="C18" s="85"/>
      <c r="D18" s="17">
        <f t="shared" si="0"/>
        <v>0</v>
      </c>
      <c r="F18" s="85">
        <v>17276.300781000002</v>
      </c>
      <c r="G18" s="17">
        <f t="shared" si="1"/>
        <v>-5.66622362911684E-3</v>
      </c>
      <c r="L18" s="93" t="s">
        <v>209</v>
      </c>
      <c r="M18" s="93">
        <v>105</v>
      </c>
    </row>
    <row r="19" spans="2:20" x14ac:dyDescent="0.3">
      <c r="B19" s="88">
        <v>44613</v>
      </c>
      <c r="C19" s="85">
        <v>826.55633499999999</v>
      </c>
      <c r="D19" s="17">
        <f t="shared" si="0"/>
        <v>0</v>
      </c>
      <c r="F19" s="85">
        <v>16658.400390999999</v>
      </c>
      <c r="G19" s="17">
        <f t="shared" si="1"/>
        <v>-3.5765780987070617E-2</v>
      </c>
    </row>
    <row r="20" spans="2:20" ht="15" thickBot="1" x14ac:dyDescent="0.35">
      <c r="B20" s="88">
        <v>44620</v>
      </c>
      <c r="C20" s="85">
        <v>841.09375</v>
      </c>
      <c r="D20" s="17">
        <f t="shared" si="0"/>
        <v>1.7587930047139544E-2</v>
      </c>
      <c r="F20" s="85">
        <v>16245.349609000001</v>
      </c>
      <c r="G20" s="17">
        <f t="shared" si="1"/>
        <v>-2.479534482933643E-2</v>
      </c>
      <c r="L20" t="s">
        <v>210</v>
      </c>
    </row>
    <row r="21" spans="2:20" x14ac:dyDescent="0.3">
      <c r="B21" s="88">
        <v>44627</v>
      </c>
      <c r="C21" s="85">
        <v>854.98834199999999</v>
      </c>
      <c r="D21" s="17">
        <f t="shared" si="0"/>
        <v>1.6519670964146416E-2</v>
      </c>
      <c r="F21" s="85">
        <v>16630.449218999998</v>
      </c>
      <c r="G21" s="17">
        <f t="shared" si="1"/>
        <v>2.3705221449137115E-2</v>
      </c>
      <c r="L21" s="94"/>
      <c r="M21" s="94" t="s">
        <v>214</v>
      </c>
      <c r="N21" s="94" t="s">
        <v>215</v>
      </c>
      <c r="O21" s="94" t="s">
        <v>216</v>
      </c>
      <c r="P21" s="94" t="s">
        <v>217</v>
      </c>
      <c r="Q21" s="94" t="s">
        <v>218</v>
      </c>
    </row>
    <row r="22" spans="2:20" x14ac:dyDescent="0.3">
      <c r="B22" s="88">
        <v>44634</v>
      </c>
      <c r="C22" s="85">
        <v>890.59020999999996</v>
      </c>
      <c r="D22" s="17">
        <f t="shared" si="0"/>
        <v>4.1640179463406035E-2</v>
      </c>
      <c r="F22" s="85">
        <v>17287.050781000002</v>
      </c>
      <c r="G22" s="17">
        <f t="shared" si="1"/>
        <v>3.9481889716475482E-2</v>
      </c>
      <c r="L22" t="s">
        <v>211</v>
      </c>
      <c r="M22">
        <v>1</v>
      </c>
      <c r="N22">
        <v>3.932643970265573E-2</v>
      </c>
      <c r="O22">
        <v>3.932643970265573E-2</v>
      </c>
      <c r="P22">
        <v>30.248167112710675</v>
      </c>
      <c r="Q22">
        <v>2.7822857990841012E-7</v>
      </c>
    </row>
    <row r="23" spans="2:20" x14ac:dyDescent="0.3">
      <c r="B23" s="88">
        <v>44641</v>
      </c>
      <c r="C23" s="85">
        <v>920.40679899999998</v>
      </c>
      <c r="D23" s="17">
        <f t="shared" si="0"/>
        <v>3.3479583163170012E-2</v>
      </c>
      <c r="F23" s="85">
        <v>17153</v>
      </c>
      <c r="G23" s="17">
        <f t="shared" si="1"/>
        <v>-7.7544043051771538E-3</v>
      </c>
      <c r="L23" t="s">
        <v>212</v>
      </c>
      <c r="M23">
        <v>103</v>
      </c>
      <c r="N23">
        <v>0.13391301609383846</v>
      </c>
      <c r="O23">
        <v>1.3001263698430919E-3</v>
      </c>
    </row>
    <row r="24" spans="2:20" ht="15" thickBot="1" x14ac:dyDescent="0.35">
      <c r="B24" s="88">
        <v>44648</v>
      </c>
      <c r="C24" s="85">
        <v>987.40747099999999</v>
      </c>
      <c r="D24" s="17">
        <f t="shared" si="0"/>
        <v>7.279462958421723E-2</v>
      </c>
      <c r="F24" s="85">
        <v>17670.449218999998</v>
      </c>
      <c r="G24" s="17">
        <f t="shared" si="1"/>
        <v>3.0166689150585846E-2</v>
      </c>
      <c r="L24" s="93" t="s">
        <v>37</v>
      </c>
      <c r="M24" s="93">
        <v>104</v>
      </c>
      <c r="N24" s="93">
        <v>0.17323945579649419</v>
      </c>
      <c r="O24" s="93"/>
      <c r="P24" s="93"/>
      <c r="Q24" s="93"/>
    </row>
    <row r="25" spans="2:20" ht="15" thickBot="1" x14ac:dyDescent="0.35">
      <c r="B25" s="88">
        <v>44655</v>
      </c>
      <c r="C25" s="85">
        <v>1031.5142820000001</v>
      </c>
      <c r="D25" s="17">
        <f t="shared" si="0"/>
        <v>4.4669310589002142E-2</v>
      </c>
      <c r="F25" s="85">
        <v>17784.349609000001</v>
      </c>
      <c r="G25" s="17">
        <f t="shared" si="1"/>
        <v>6.4458117950692007E-3</v>
      </c>
    </row>
    <row r="26" spans="2:20" x14ac:dyDescent="0.3">
      <c r="B26" s="88">
        <v>44662</v>
      </c>
      <c r="C26" s="85">
        <v>1038.3874510000001</v>
      </c>
      <c r="D26" s="17">
        <f t="shared" si="0"/>
        <v>6.6631835544472828E-3</v>
      </c>
      <c r="F26" s="85">
        <v>17475.650390999999</v>
      </c>
      <c r="G26" s="17">
        <f t="shared" si="1"/>
        <v>-1.7357914390289553E-2</v>
      </c>
      <c r="L26" s="94"/>
      <c r="M26" s="94" t="s">
        <v>219</v>
      </c>
      <c r="N26" s="94" t="s">
        <v>208</v>
      </c>
      <c r="O26" s="94" t="s">
        <v>220</v>
      </c>
      <c r="P26" s="94" t="s">
        <v>221</v>
      </c>
      <c r="Q26" s="94" t="s">
        <v>222</v>
      </c>
      <c r="R26" s="94" t="s">
        <v>223</v>
      </c>
      <c r="S26" s="94" t="s">
        <v>224</v>
      </c>
      <c r="T26" s="94" t="s">
        <v>225</v>
      </c>
    </row>
    <row r="27" spans="2:20" x14ac:dyDescent="0.3">
      <c r="B27" s="88">
        <v>44669</v>
      </c>
      <c r="C27" s="85">
        <v>1061.182495</v>
      </c>
      <c r="D27" s="17">
        <f t="shared" si="0"/>
        <v>2.1952349268134608E-2</v>
      </c>
      <c r="F27" s="85">
        <v>17171.949218999998</v>
      </c>
      <c r="G27" s="17">
        <f t="shared" si="1"/>
        <v>-1.7378533285170805E-2</v>
      </c>
      <c r="L27" t="s">
        <v>213</v>
      </c>
      <c r="M27">
        <v>-2.6869826106036662E-3</v>
      </c>
      <c r="N27">
        <v>3.5364960855849849E-3</v>
      </c>
      <c r="O27">
        <v>-0.75978667742797812</v>
      </c>
      <c r="P27">
        <v>0.44911764000710619</v>
      </c>
      <c r="Q27">
        <v>-9.7007884952760616E-3</v>
      </c>
      <c r="R27">
        <v>4.32682327406873E-3</v>
      </c>
      <c r="S27">
        <v>-9.7007884952760616E-3</v>
      </c>
      <c r="T27">
        <v>4.32682327406873E-3</v>
      </c>
    </row>
    <row r="28" spans="2:20" ht="15" thickBot="1" x14ac:dyDescent="0.35">
      <c r="B28" s="88">
        <v>44676</v>
      </c>
      <c r="C28" s="85">
        <v>1079.477905</v>
      </c>
      <c r="D28" s="17">
        <f t="shared" si="0"/>
        <v>1.7240587821795827E-2</v>
      </c>
      <c r="F28" s="85">
        <v>17102.550781000002</v>
      </c>
      <c r="G28" s="17">
        <f t="shared" si="1"/>
        <v>-4.041383835634127E-3</v>
      </c>
      <c r="L28" s="93" t="s">
        <v>226</v>
      </c>
      <c r="M28" s="93">
        <v>1.0234533643058505</v>
      </c>
      <c r="N28" s="93">
        <v>0.18608806761958602</v>
      </c>
      <c r="O28" s="93">
        <v>5.499833371358684</v>
      </c>
      <c r="P28" s="93">
        <v>2.782285799084142E-7</v>
      </c>
      <c r="Q28" s="93">
        <v>0.65439157202574638</v>
      </c>
      <c r="R28" s="93">
        <v>1.3925151565859548</v>
      </c>
      <c r="S28" s="93">
        <v>0.65439157202574638</v>
      </c>
      <c r="T28" s="93">
        <v>1.3925151565859548</v>
      </c>
    </row>
    <row r="29" spans="2:20" x14ac:dyDescent="0.3">
      <c r="B29" s="88">
        <v>44683</v>
      </c>
      <c r="C29" s="85">
        <v>988.29748500000005</v>
      </c>
      <c r="D29" s="17">
        <f t="shared" si="0"/>
        <v>-8.4467148033011252E-2</v>
      </c>
      <c r="F29" s="85">
        <v>16411.25</v>
      </c>
      <c r="G29" s="17">
        <f t="shared" si="1"/>
        <v>-4.0420916730619982E-2</v>
      </c>
    </row>
    <row r="30" spans="2:20" x14ac:dyDescent="0.3">
      <c r="B30" s="88">
        <v>44690</v>
      </c>
      <c r="C30" s="85">
        <v>966.68920900000001</v>
      </c>
      <c r="D30" s="17">
        <f t="shared" si="0"/>
        <v>-2.1864141443201257E-2</v>
      </c>
      <c r="F30" s="85">
        <v>15782.150390999999</v>
      </c>
      <c r="G30" s="17">
        <f t="shared" si="1"/>
        <v>-3.8333436453652281E-2</v>
      </c>
    </row>
    <row r="31" spans="2:20" x14ac:dyDescent="0.3">
      <c r="B31" s="88">
        <v>44697</v>
      </c>
      <c r="C31" s="85">
        <v>957.34368900000004</v>
      </c>
      <c r="D31" s="17">
        <f t="shared" si="0"/>
        <v>-9.6675538663222316E-3</v>
      </c>
      <c r="F31" s="85">
        <v>16266.150390999999</v>
      </c>
      <c r="G31" s="17">
        <f t="shared" si="1"/>
        <v>3.0667557209187901E-2</v>
      </c>
    </row>
    <row r="32" spans="2:20" x14ac:dyDescent="0.3">
      <c r="B32" s="88">
        <v>44704</v>
      </c>
      <c r="C32" s="85">
        <v>958.92596400000002</v>
      </c>
      <c r="D32" s="17">
        <f t="shared" si="0"/>
        <v>1.6527763416425145E-3</v>
      </c>
      <c r="F32" s="85">
        <v>16352.450194999999</v>
      </c>
      <c r="G32" s="17">
        <f t="shared" si="1"/>
        <v>5.3054842064996777E-3</v>
      </c>
    </row>
    <row r="33" spans="2:7" x14ac:dyDescent="0.3">
      <c r="B33" s="88">
        <v>44711</v>
      </c>
      <c r="C33" s="85">
        <v>1078.0932620000001</v>
      </c>
      <c r="D33" s="17">
        <f t="shared" si="0"/>
        <v>0.1242716356358875</v>
      </c>
      <c r="F33" s="85">
        <v>16584.300781000002</v>
      </c>
      <c r="G33" s="17">
        <f t="shared" si="1"/>
        <v>1.4178339223494207E-2</v>
      </c>
    </row>
    <row r="34" spans="2:7" x14ac:dyDescent="0.3">
      <c r="B34" s="88">
        <v>44718</v>
      </c>
      <c r="C34" s="85">
        <v>1013.812195</v>
      </c>
      <c r="D34" s="17">
        <f t="shared" si="0"/>
        <v>-5.9624773909402351E-2</v>
      </c>
      <c r="F34" s="85">
        <v>16201.799805000001</v>
      </c>
      <c r="G34" s="17">
        <f t="shared" si="1"/>
        <v>-2.3064039964724836E-2</v>
      </c>
    </row>
    <row r="35" spans="2:7" x14ac:dyDescent="0.3">
      <c r="B35" s="88">
        <v>44725</v>
      </c>
      <c r="C35" s="85">
        <v>960.06323199999997</v>
      </c>
      <c r="D35" s="17">
        <f t="shared" si="0"/>
        <v>-5.3016686192061457E-2</v>
      </c>
      <c r="F35" s="85">
        <v>15293.5</v>
      </c>
      <c r="G35" s="17">
        <f t="shared" si="1"/>
        <v>-5.606166079892505E-2</v>
      </c>
    </row>
    <row r="36" spans="2:7" x14ac:dyDescent="0.3">
      <c r="B36" s="88">
        <v>44732</v>
      </c>
      <c r="C36" s="85">
        <v>973.36450200000002</v>
      </c>
      <c r="D36" s="17">
        <f t="shared" si="0"/>
        <v>1.3854577028526327E-2</v>
      </c>
      <c r="F36" s="85">
        <v>15699.25</v>
      </c>
      <c r="G36" s="17">
        <f t="shared" si="1"/>
        <v>2.6530879131657192E-2</v>
      </c>
    </row>
    <row r="37" spans="2:7" x14ac:dyDescent="0.3">
      <c r="B37" s="88">
        <v>44739</v>
      </c>
      <c r="C37" s="85">
        <v>960.95330799999999</v>
      </c>
      <c r="D37" s="17">
        <f t="shared" si="0"/>
        <v>-1.2750818397936681E-2</v>
      </c>
      <c r="F37" s="85">
        <v>15752.049805000001</v>
      </c>
      <c r="G37" s="17">
        <f t="shared" si="1"/>
        <v>3.3632055671448668E-3</v>
      </c>
    </row>
    <row r="38" spans="2:7" x14ac:dyDescent="0.3">
      <c r="B38" s="88">
        <v>44746</v>
      </c>
      <c r="C38" s="85">
        <v>1022.6632080000001</v>
      </c>
      <c r="D38" s="17">
        <f t="shared" si="0"/>
        <v>6.4217376105853541E-2</v>
      </c>
      <c r="F38" s="85">
        <v>16220.599609000001</v>
      </c>
      <c r="G38" s="17">
        <f t="shared" si="1"/>
        <v>2.9745322659611828E-2</v>
      </c>
    </row>
    <row r="39" spans="2:7" x14ac:dyDescent="0.3">
      <c r="B39" s="88">
        <v>44753</v>
      </c>
      <c r="C39" s="85">
        <v>1092.3339840000001</v>
      </c>
      <c r="D39" s="17">
        <f t="shared" si="0"/>
        <v>6.8126804069008839E-2</v>
      </c>
      <c r="F39" s="85">
        <v>16049.200194999999</v>
      </c>
      <c r="G39" s="17">
        <f t="shared" si="1"/>
        <v>-1.0566774233481513E-2</v>
      </c>
    </row>
    <row r="40" spans="2:7" x14ac:dyDescent="0.3">
      <c r="B40" s="88">
        <v>44760</v>
      </c>
      <c r="C40" s="85">
        <v>1065.7810059999999</v>
      </c>
      <c r="D40" s="17">
        <f t="shared" si="0"/>
        <v>-2.4308479264525173E-2</v>
      </c>
      <c r="F40" s="85">
        <v>16719.449218999998</v>
      </c>
      <c r="G40" s="17">
        <f t="shared" si="1"/>
        <v>4.1762144895470144E-2</v>
      </c>
    </row>
    <row r="41" spans="2:7" x14ac:dyDescent="0.3">
      <c r="B41" s="88">
        <v>44767</v>
      </c>
      <c r="C41" s="85">
        <v>1065.3854980000001</v>
      </c>
      <c r="D41" s="17">
        <f t="shared" si="0"/>
        <v>-3.7109687428582561E-4</v>
      </c>
      <c r="F41" s="85">
        <v>17158.25</v>
      </c>
      <c r="G41" s="17">
        <f t="shared" si="1"/>
        <v>2.6244930395275645E-2</v>
      </c>
    </row>
    <row r="42" spans="2:7" x14ac:dyDescent="0.3">
      <c r="B42" s="88">
        <v>44774</v>
      </c>
      <c r="C42" s="85">
        <v>1198.4968260000001</v>
      </c>
      <c r="D42" s="17">
        <f t="shared" si="0"/>
        <v>0.12494193721416691</v>
      </c>
      <c r="F42" s="85">
        <v>17397.5</v>
      </c>
      <c r="G42" s="17">
        <f t="shared" si="1"/>
        <v>1.3943729692713402E-2</v>
      </c>
    </row>
    <row r="43" spans="2:7" x14ac:dyDescent="0.3">
      <c r="B43" s="88">
        <v>44781</v>
      </c>
      <c r="C43" s="85">
        <v>1179.0145259999999</v>
      </c>
      <c r="D43" s="17">
        <f t="shared" si="0"/>
        <v>-1.6255612511734907E-2</v>
      </c>
      <c r="F43" s="85">
        <v>17698.150390999999</v>
      </c>
      <c r="G43" s="17">
        <f t="shared" si="1"/>
        <v>1.7281241040379314E-2</v>
      </c>
    </row>
    <row r="44" spans="2:7" x14ac:dyDescent="0.3">
      <c r="B44" s="88">
        <v>44788</v>
      </c>
      <c r="C44" s="85">
        <v>1170.7075199999999</v>
      </c>
      <c r="D44" s="17">
        <f t="shared" si="0"/>
        <v>-7.0457198082053418E-3</v>
      </c>
      <c r="F44" s="85">
        <v>17758.449218999998</v>
      </c>
      <c r="G44" s="17">
        <f t="shared" si="1"/>
        <v>3.4070694771959342E-3</v>
      </c>
    </row>
    <row r="45" spans="2:7" x14ac:dyDescent="0.3">
      <c r="B45" s="88">
        <v>44795</v>
      </c>
      <c r="C45" s="85">
        <v>1257.635376</v>
      </c>
      <c r="D45" s="17">
        <f t="shared" si="0"/>
        <v>7.4252411054812395E-2</v>
      </c>
      <c r="F45" s="85">
        <v>17558.900390999999</v>
      </c>
      <c r="G45" s="17">
        <f t="shared" si="1"/>
        <v>-1.1236838619134604E-2</v>
      </c>
    </row>
    <row r="46" spans="2:7" x14ac:dyDescent="0.3">
      <c r="B46" s="88">
        <v>44802</v>
      </c>
      <c r="C46" s="85">
        <v>1285.8201899999999</v>
      </c>
      <c r="D46" s="17">
        <f t="shared" si="0"/>
        <v>2.2410958325332464E-2</v>
      </c>
      <c r="F46" s="85">
        <v>17539.449218999998</v>
      </c>
      <c r="G46" s="17">
        <f t="shared" si="1"/>
        <v>-1.1077670905844661E-3</v>
      </c>
    </row>
    <row r="47" spans="2:7" x14ac:dyDescent="0.3">
      <c r="B47" s="88">
        <v>44809</v>
      </c>
      <c r="C47" s="85">
        <v>1391.877686</v>
      </c>
      <c r="D47" s="17">
        <f t="shared" si="0"/>
        <v>8.2482369482781426E-2</v>
      </c>
      <c r="F47" s="85">
        <v>17833.349609000001</v>
      </c>
      <c r="G47" s="17">
        <f t="shared" si="1"/>
        <v>1.6756534730955508E-2</v>
      </c>
    </row>
    <row r="48" spans="2:7" x14ac:dyDescent="0.3">
      <c r="B48" s="88">
        <v>44816</v>
      </c>
      <c r="C48" s="85">
        <v>1353.8514399999999</v>
      </c>
      <c r="D48" s="17">
        <f t="shared" si="0"/>
        <v>-2.7320106057077909E-2</v>
      </c>
      <c r="F48" s="85">
        <v>17530.849609000001</v>
      </c>
      <c r="G48" s="17">
        <f t="shared" si="1"/>
        <v>-1.6962601341440453E-2</v>
      </c>
    </row>
    <row r="49" spans="2:7" x14ac:dyDescent="0.3">
      <c r="B49" s="88">
        <v>44823</v>
      </c>
      <c r="C49" s="85">
        <v>1392.3244629999999</v>
      </c>
      <c r="D49" s="17">
        <f t="shared" si="0"/>
        <v>2.8417462849542829E-2</v>
      </c>
      <c r="F49" s="85">
        <v>17327.349609000001</v>
      </c>
      <c r="G49" s="17">
        <f t="shared" si="1"/>
        <v>-1.1608108251383698E-2</v>
      </c>
    </row>
    <row r="50" spans="2:7" x14ac:dyDescent="0.3">
      <c r="B50" s="88">
        <v>44830</v>
      </c>
      <c r="C50" s="85">
        <v>1398.728394</v>
      </c>
      <c r="D50" s="17">
        <f t="shared" si="0"/>
        <v>4.5994530514832377E-3</v>
      </c>
      <c r="F50" s="85">
        <v>17094.349609000001</v>
      </c>
      <c r="G50" s="17">
        <f t="shared" si="1"/>
        <v>-1.3446949779265527E-2</v>
      </c>
    </row>
    <row r="51" spans="2:7" x14ac:dyDescent="0.3">
      <c r="B51" s="88">
        <v>44837</v>
      </c>
      <c r="C51" s="85">
        <v>1458.5972899999999</v>
      </c>
      <c r="D51" s="17">
        <f t="shared" si="0"/>
        <v>4.2802374111238661E-2</v>
      </c>
      <c r="F51" s="85">
        <v>17314.650390999999</v>
      </c>
      <c r="G51" s="17">
        <f t="shared" si="1"/>
        <v>1.2887345060733635E-2</v>
      </c>
    </row>
    <row r="52" spans="2:7" x14ac:dyDescent="0.3">
      <c r="B52" s="88">
        <v>44844</v>
      </c>
      <c r="C52" s="85">
        <v>1385.0269780000001</v>
      </c>
      <c r="D52" s="17">
        <f t="shared" si="0"/>
        <v>-5.0439084526202493E-2</v>
      </c>
      <c r="F52" s="85">
        <v>17185.699218999998</v>
      </c>
      <c r="G52" s="17">
        <f t="shared" si="1"/>
        <v>-7.4475180894804094E-3</v>
      </c>
    </row>
    <row r="53" spans="2:7" x14ac:dyDescent="0.3">
      <c r="B53" s="88">
        <v>44851</v>
      </c>
      <c r="C53" s="85">
        <v>1398.5794679999999</v>
      </c>
      <c r="D53" s="17">
        <f t="shared" si="0"/>
        <v>9.7850007366424574E-3</v>
      </c>
      <c r="F53" s="85">
        <v>17576.300781000002</v>
      </c>
      <c r="G53" s="17">
        <f t="shared" si="1"/>
        <v>2.2728290366455628E-2</v>
      </c>
    </row>
    <row r="54" spans="2:7" x14ac:dyDescent="0.3">
      <c r="B54" s="88">
        <v>44858</v>
      </c>
      <c r="C54" s="85">
        <v>1420.322876</v>
      </c>
      <c r="D54" s="17">
        <f t="shared" si="0"/>
        <v>1.5546780499426038E-2</v>
      </c>
      <c r="F54" s="85">
        <v>17786.800781000002</v>
      </c>
      <c r="G54" s="17">
        <f t="shared" si="1"/>
        <v>1.197635399068453E-2</v>
      </c>
    </row>
    <row r="55" spans="2:7" x14ac:dyDescent="0.3">
      <c r="B55" s="88">
        <v>44865</v>
      </c>
      <c r="C55" s="85">
        <v>1421.8616939999999</v>
      </c>
      <c r="D55" s="17">
        <f t="shared" si="0"/>
        <v>1.0834283007070677E-3</v>
      </c>
      <c r="F55" s="85">
        <v>18117.150390999999</v>
      </c>
      <c r="G55" s="17">
        <f t="shared" si="1"/>
        <v>1.8572739081492262E-2</v>
      </c>
    </row>
    <row r="56" spans="2:7" x14ac:dyDescent="0.3">
      <c r="B56" s="88">
        <v>44872</v>
      </c>
      <c r="C56" s="85">
        <v>1358.7164310000001</v>
      </c>
      <c r="D56" s="17">
        <f t="shared" si="0"/>
        <v>-4.4410270890946402E-2</v>
      </c>
      <c r="F56" s="85">
        <v>18349.699218999998</v>
      </c>
      <c r="G56" s="17">
        <f t="shared" si="1"/>
        <v>1.2835839134808014E-2</v>
      </c>
    </row>
    <row r="57" spans="2:7" x14ac:dyDescent="0.3">
      <c r="B57" s="88">
        <v>44879</v>
      </c>
      <c r="C57" s="85">
        <v>1308.0313719999999</v>
      </c>
      <c r="D57" s="17">
        <f t="shared" si="0"/>
        <v>-3.7303632931484088E-2</v>
      </c>
      <c r="F57" s="85">
        <v>18307.650390999999</v>
      </c>
      <c r="G57" s="17">
        <f t="shared" si="1"/>
        <v>-2.2915268254892762E-3</v>
      </c>
    </row>
    <row r="58" spans="2:7" x14ac:dyDescent="0.3">
      <c r="B58" s="88">
        <v>44886</v>
      </c>
      <c r="C58" s="85">
        <v>1380.013062</v>
      </c>
      <c r="D58" s="17">
        <f t="shared" si="0"/>
        <v>5.5030553196854015E-2</v>
      </c>
      <c r="F58" s="85">
        <v>18512.75</v>
      </c>
      <c r="G58" s="17">
        <f t="shared" si="1"/>
        <v>1.1202945469224623E-2</v>
      </c>
    </row>
    <row r="59" spans="2:7" x14ac:dyDescent="0.3">
      <c r="B59" s="88">
        <v>44893</v>
      </c>
      <c r="C59" s="85">
        <v>1390.338745</v>
      </c>
      <c r="D59" s="17">
        <f t="shared" si="0"/>
        <v>7.482308163833995E-3</v>
      </c>
      <c r="F59" s="85">
        <v>18696.099609000001</v>
      </c>
      <c r="G59" s="17">
        <f t="shared" si="1"/>
        <v>9.9039639707769744E-3</v>
      </c>
    </row>
    <row r="60" spans="2:7" x14ac:dyDescent="0.3">
      <c r="B60" s="88">
        <v>44900</v>
      </c>
      <c r="C60" s="85">
        <v>1350.2772219999999</v>
      </c>
      <c r="D60" s="17">
        <f t="shared" si="0"/>
        <v>-2.8814217502080797E-2</v>
      </c>
      <c r="F60" s="85">
        <v>18496.599609000001</v>
      </c>
      <c r="G60" s="17">
        <f t="shared" si="1"/>
        <v>-1.0670674855838058E-2</v>
      </c>
    </row>
    <row r="61" spans="2:7" x14ac:dyDescent="0.3">
      <c r="B61" s="88">
        <v>44907</v>
      </c>
      <c r="C61" s="85">
        <v>1307.783203</v>
      </c>
      <c r="D61" s="17">
        <f t="shared" si="0"/>
        <v>-3.1470588637390162E-2</v>
      </c>
      <c r="F61" s="85">
        <v>18269</v>
      </c>
      <c r="G61" s="17">
        <f t="shared" si="1"/>
        <v>-1.2304943276668867E-2</v>
      </c>
    </row>
    <row r="62" spans="2:7" x14ac:dyDescent="0.3">
      <c r="B62" s="88">
        <v>44914</v>
      </c>
      <c r="C62" s="85">
        <v>1276.0616460000001</v>
      </c>
      <c r="D62" s="17">
        <f t="shared" si="0"/>
        <v>-2.4255975246686101E-2</v>
      </c>
      <c r="F62" s="85">
        <v>17806.800781000002</v>
      </c>
      <c r="G62" s="17">
        <f t="shared" si="1"/>
        <v>-2.529964524604511E-2</v>
      </c>
    </row>
    <row r="63" spans="2:7" x14ac:dyDescent="0.3">
      <c r="B63" s="88">
        <v>44921</v>
      </c>
      <c r="C63" s="85">
        <v>1328.533813</v>
      </c>
      <c r="D63" s="17">
        <f t="shared" si="0"/>
        <v>4.1120401325814848E-2</v>
      </c>
      <c r="F63" s="85">
        <v>18105.300781000002</v>
      </c>
      <c r="G63" s="17">
        <f t="shared" si="1"/>
        <v>1.6763258244484991E-2</v>
      </c>
    </row>
    <row r="64" spans="2:7" x14ac:dyDescent="0.3">
      <c r="B64" s="88">
        <v>44928</v>
      </c>
      <c r="C64" s="85">
        <v>1290.1104740000001</v>
      </c>
      <c r="D64" s="17">
        <f t="shared" si="0"/>
        <v>-2.8921611647380718E-2</v>
      </c>
      <c r="F64" s="85">
        <v>17859.449218999998</v>
      </c>
      <c r="G64" s="17">
        <f t="shared" si="1"/>
        <v>-1.3578982474458767E-2</v>
      </c>
    </row>
    <row r="65" spans="2:7" x14ac:dyDescent="0.3">
      <c r="B65" s="88">
        <v>44935</v>
      </c>
      <c r="C65" s="85">
        <v>1283.954712</v>
      </c>
      <c r="D65" s="17">
        <f t="shared" si="0"/>
        <v>-4.7714999017983706E-3</v>
      </c>
      <c r="F65" s="85">
        <v>17956.599609000001</v>
      </c>
      <c r="G65" s="17">
        <f t="shared" si="1"/>
        <v>5.4397192661825855E-3</v>
      </c>
    </row>
    <row r="66" spans="2:7" x14ac:dyDescent="0.3">
      <c r="B66" s="88">
        <v>44942</v>
      </c>
      <c r="C66" s="85">
        <v>1211.8242190000001</v>
      </c>
      <c r="D66" s="17">
        <f t="shared" si="0"/>
        <v>-5.6178377886586972E-2</v>
      </c>
      <c r="F66" s="85">
        <v>18027.650390999999</v>
      </c>
      <c r="G66" s="17">
        <f t="shared" si="1"/>
        <v>3.9568060516528281E-3</v>
      </c>
    </row>
    <row r="67" spans="2:7" x14ac:dyDescent="0.3">
      <c r="B67" s="88">
        <v>44949</v>
      </c>
      <c r="C67" s="85">
        <v>1150.565186</v>
      </c>
      <c r="D67" s="17">
        <f t="shared" si="0"/>
        <v>-5.0551088218513396E-2</v>
      </c>
      <c r="F67" s="85">
        <v>17604.349609000001</v>
      </c>
      <c r="G67" s="17">
        <f t="shared" si="1"/>
        <v>-2.3480640727941093E-2</v>
      </c>
    </row>
    <row r="68" spans="2:7" x14ac:dyDescent="0.3">
      <c r="B68" s="88">
        <v>44956</v>
      </c>
      <c r="C68" s="85">
        <v>1224.1354980000001</v>
      </c>
      <c r="D68" s="17">
        <f t="shared" si="0"/>
        <v>6.3942758650443077E-2</v>
      </c>
      <c r="F68" s="85">
        <v>17854.050781000002</v>
      </c>
      <c r="G68" s="17">
        <f t="shared" si="1"/>
        <v>1.4184061186352848E-2</v>
      </c>
    </row>
    <row r="69" spans="2:7" x14ac:dyDescent="0.3">
      <c r="B69" s="88">
        <v>44963</v>
      </c>
      <c r="C69" s="85">
        <v>1249.502808</v>
      </c>
      <c r="D69" s="17">
        <f t="shared" si="0"/>
        <v>2.0722632454859058E-2</v>
      </c>
      <c r="F69" s="85">
        <v>17856.5</v>
      </c>
      <c r="G69" s="17">
        <f t="shared" si="1"/>
        <v>1.371800175793414E-4</v>
      </c>
    </row>
    <row r="70" spans="2:7" x14ac:dyDescent="0.3">
      <c r="B70" s="88">
        <v>44970</v>
      </c>
      <c r="C70" s="85">
        <v>1233.4187010000001</v>
      </c>
      <c r="D70" s="17">
        <f t="shared" si="0"/>
        <v>-1.2872405645686147E-2</v>
      </c>
      <c r="F70" s="85">
        <v>17944.199218999998</v>
      </c>
      <c r="G70" s="17">
        <f t="shared" si="1"/>
        <v>4.9113330719905424E-3</v>
      </c>
    </row>
    <row r="71" spans="2:7" x14ac:dyDescent="0.3">
      <c r="B71" s="88">
        <v>44977</v>
      </c>
      <c r="C71" s="85">
        <v>1154.5863039999999</v>
      </c>
      <c r="D71" s="17">
        <f t="shared" si="0"/>
        <v>-6.3913735810950834E-2</v>
      </c>
      <c r="F71" s="85">
        <v>17465.800781000002</v>
      </c>
      <c r="G71" s="17">
        <f t="shared" si="1"/>
        <v>-2.6660339208308015E-2</v>
      </c>
    </row>
    <row r="72" spans="2:7" x14ac:dyDescent="0.3">
      <c r="B72" s="88">
        <v>44984</v>
      </c>
      <c r="C72" s="85">
        <v>1178.762207</v>
      </c>
      <c r="D72" s="17">
        <f t="shared" si="0"/>
        <v>2.0939017651815162E-2</v>
      </c>
      <c r="F72" s="85">
        <v>17594.349609000001</v>
      </c>
      <c r="G72" s="17">
        <f t="shared" si="1"/>
        <v>7.3600305884538031E-3</v>
      </c>
    </row>
    <row r="73" spans="2:7" x14ac:dyDescent="0.3">
      <c r="B73" s="88">
        <v>44991</v>
      </c>
      <c r="C73" s="85">
        <v>1159.0541989999999</v>
      </c>
      <c r="D73" s="17">
        <f t="shared" si="0"/>
        <v>-1.6719239794901308E-2</v>
      </c>
      <c r="F73" s="85">
        <v>17412.900390999999</v>
      </c>
      <c r="G73" s="17">
        <f t="shared" si="1"/>
        <v>-1.0312925571695164E-2</v>
      </c>
    </row>
    <row r="74" spans="2:7" x14ac:dyDescent="0.3">
      <c r="B74" s="88">
        <v>44998</v>
      </c>
      <c r="C74" s="85">
        <v>1160.295288</v>
      </c>
      <c r="D74" s="17">
        <f t="shared" ref="D74:D113" si="2">IFERROR(C74/C73-1,0)</f>
        <v>1.0707773640532547E-3</v>
      </c>
      <c r="F74" s="85">
        <v>17100.050781000002</v>
      </c>
      <c r="G74" s="17">
        <f t="shared" ref="G74:G113" si="3">IFERROR(F74/F73-1,0)</f>
        <v>-1.7966542217268788E-2</v>
      </c>
    </row>
    <row r="75" spans="2:7" x14ac:dyDescent="0.3">
      <c r="B75" s="88">
        <v>45005</v>
      </c>
      <c r="C75" s="85">
        <v>1102.4616699999999</v>
      </c>
      <c r="D75" s="17">
        <f t="shared" si="2"/>
        <v>-4.9843879052278051E-2</v>
      </c>
      <c r="F75" s="85">
        <v>16945.050781000002</v>
      </c>
      <c r="G75" s="17">
        <f t="shared" si="3"/>
        <v>-9.0643005675878907E-3</v>
      </c>
    </row>
    <row r="76" spans="2:7" x14ac:dyDescent="0.3">
      <c r="B76" s="88">
        <v>45012</v>
      </c>
      <c r="C76" s="85">
        <v>1131.0061040000001</v>
      </c>
      <c r="D76" s="17">
        <f t="shared" si="2"/>
        <v>2.5891543240682546E-2</v>
      </c>
      <c r="F76" s="85">
        <v>17359.75</v>
      </c>
      <c r="G76" s="17">
        <f t="shared" si="3"/>
        <v>2.4473176525678486E-2</v>
      </c>
    </row>
    <row r="77" spans="2:7" x14ac:dyDescent="0.3">
      <c r="B77" s="88">
        <v>45019</v>
      </c>
      <c r="C77" s="85">
        <v>1131.4528809999999</v>
      </c>
      <c r="D77" s="17">
        <f t="shared" si="2"/>
        <v>3.9502616159170501E-4</v>
      </c>
      <c r="F77" s="85">
        <v>17599.150390999999</v>
      </c>
      <c r="G77" s="17">
        <f t="shared" si="3"/>
        <v>1.3790543700226143E-2</v>
      </c>
    </row>
    <row r="78" spans="2:7" x14ac:dyDescent="0.3">
      <c r="B78" s="88">
        <v>45026</v>
      </c>
      <c r="C78" s="85">
        <v>1229.695557</v>
      </c>
      <c r="D78" s="17">
        <f t="shared" si="2"/>
        <v>8.6828782399821502E-2</v>
      </c>
      <c r="F78" s="85">
        <v>17828</v>
      </c>
      <c r="G78" s="17">
        <f t="shared" si="3"/>
        <v>1.3003446411653519E-2</v>
      </c>
    </row>
    <row r="79" spans="2:7" x14ac:dyDescent="0.3">
      <c r="B79" s="88">
        <v>45033</v>
      </c>
      <c r="C79" s="85">
        <v>1271.0477289999999</v>
      </c>
      <c r="D79" s="17">
        <f t="shared" si="2"/>
        <v>3.3627975448560443E-2</v>
      </c>
      <c r="F79" s="85">
        <v>17624.050781000002</v>
      </c>
      <c r="G79" s="17">
        <f t="shared" si="3"/>
        <v>-1.1439826060130054E-2</v>
      </c>
    </row>
    <row r="80" spans="2:7" x14ac:dyDescent="0.3">
      <c r="B80" s="88">
        <v>45040</v>
      </c>
      <c r="C80" s="85">
        <v>1263.055298</v>
      </c>
      <c r="D80" s="17">
        <f t="shared" si="2"/>
        <v>-6.2880652060862685E-3</v>
      </c>
      <c r="F80" s="85">
        <v>18065</v>
      </c>
      <c r="G80" s="17">
        <f t="shared" si="3"/>
        <v>2.5019742877464557E-2</v>
      </c>
    </row>
    <row r="81" spans="2:7" x14ac:dyDescent="0.3">
      <c r="B81" s="88">
        <v>45047</v>
      </c>
      <c r="C81" s="85">
        <v>1217.135986</v>
      </c>
      <c r="D81" s="17">
        <f t="shared" si="2"/>
        <v>-3.6355741567856481E-2</v>
      </c>
      <c r="F81" s="85">
        <v>18069</v>
      </c>
      <c r="G81" s="17">
        <f t="shared" si="3"/>
        <v>2.2142264046509652E-4</v>
      </c>
    </row>
    <row r="82" spans="2:7" x14ac:dyDescent="0.3">
      <c r="B82" s="88">
        <v>45054</v>
      </c>
      <c r="C82" s="85">
        <v>1265.2395019999999</v>
      </c>
      <c r="D82" s="17">
        <f t="shared" si="2"/>
        <v>3.9521891188253777E-2</v>
      </c>
      <c r="F82" s="85">
        <v>18314.800781000002</v>
      </c>
      <c r="G82" s="17">
        <f t="shared" si="3"/>
        <v>1.3603452376999448E-2</v>
      </c>
    </row>
    <row r="83" spans="2:7" x14ac:dyDescent="0.3">
      <c r="B83" s="88">
        <v>45061</v>
      </c>
      <c r="C83" s="85">
        <v>1221.4548339999999</v>
      </c>
      <c r="D83" s="17">
        <f t="shared" si="2"/>
        <v>-3.4605833860536506E-2</v>
      </c>
      <c r="F83" s="85">
        <v>18203.400390999999</v>
      </c>
      <c r="G83" s="17">
        <f t="shared" si="3"/>
        <v>-6.0825335384249168E-3</v>
      </c>
    </row>
    <row r="84" spans="2:7" x14ac:dyDescent="0.3">
      <c r="B84" s="88">
        <v>45068</v>
      </c>
      <c r="C84" s="85">
        <v>1265.7856449999999</v>
      </c>
      <c r="D84" s="17">
        <f t="shared" si="2"/>
        <v>3.6293450863693621E-2</v>
      </c>
      <c r="F84" s="85">
        <v>18499.349609000001</v>
      </c>
      <c r="G84" s="17">
        <f t="shared" si="3"/>
        <v>1.6257908502980811E-2</v>
      </c>
    </row>
    <row r="85" spans="2:7" x14ac:dyDescent="0.3">
      <c r="B85" s="88">
        <v>45075</v>
      </c>
      <c r="C85" s="85">
        <v>1277.600586</v>
      </c>
      <c r="D85" s="17">
        <f t="shared" si="2"/>
        <v>9.3340772560270846E-3</v>
      </c>
      <c r="F85" s="85">
        <v>18534.099609000001</v>
      </c>
      <c r="G85" s="17">
        <f t="shared" si="3"/>
        <v>1.8784444174779757E-3</v>
      </c>
    </row>
    <row r="86" spans="2:7" x14ac:dyDescent="0.3">
      <c r="B86" s="88">
        <v>45082</v>
      </c>
      <c r="C86" s="85">
        <v>1275.763672</v>
      </c>
      <c r="D86" s="17">
        <f t="shared" si="2"/>
        <v>-1.437784249732621E-3</v>
      </c>
      <c r="F86" s="85">
        <v>18563.400390999999</v>
      </c>
      <c r="G86" s="17">
        <f t="shared" si="3"/>
        <v>1.5809120819534339E-3</v>
      </c>
    </row>
    <row r="87" spans="2:7" x14ac:dyDescent="0.3">
      <c r="B87" s="88">
        <v>45089</v>
      </c>
      <c r="C87" s="85">
        <v>1353.9506839999999</v>
      </c>
      <c r="D87" s="17">
        <f t="shared" si="2"/>
        <v>6.1286438637515817E-2</v>
      </c>
      <c r="F87" s="85">
        <v>18826</v>
      </c>
      <c r="G87" s="17">
        <f t="shared" si="3"/>
        <v>1.4146094113625551E-2</v>
      </c>
    </row>
    <row r="88" spans="2:7" x14ac:dyDescent="0.3">
      <c r="B88" s="88">
        <v>45096</v>
      </c>
      <c r="C88" s="85">
        <v>1291.30188</v>
      </c>
      <c r="D88" s="17">
        <f t="shared" si="2"/>
        <v>-4.6271112190671149E-2</v>
      </c>
      <c r="F88" s="85">
        <v>18665.5</v>
      </c>
      <c r="G88" s="17">
        <f t="shared" si="3"/>
        <v>-8.5254435355359703E-3</v>
      </c>
    </row>
    <row r="89" spans="2:7" x14ac:dyDescent="0.3">
      <c r="B89" s="88">
        <v>45103</v>
      </c>
      <c r="C89" s="85">
        <v>1230.142212</v>
      </c>
      <c r="D89" s="17">
        <f t="shared" si="2"/>
        <v>-4.7362796374152305E-2</v>
      </c>
      <c r="F89" s="85">
        <v>19189.050781000002</v>
      </c>
      <c r="G89" s="17">
        <f t="shared" si="3"/>
        <v>2.804911633762841E-2</v>
      </c>
    </row>
    <row r="90" spans="2:7" x14ac:dyDescent="0.3">
      <c r="B90" s="88">
        <v>45110</v>
      </c>
      <c r="C90" s="85">
        <v>1197.5271</v>
      </c>
      <c r="D90" s="17">
        <f t="shared" si="2"/>
        <v>-2.6513285766345152E-2</v>
      </c>
      <c r="F90" s="85">
        <v>19331.800781000002</v>
      </c>
      <c r="G90" s="17">
        <f t="shared" si="3"/>
        <v>7.4391381642151533E-3</v>
      </c>
    </row>
    <row r="91" spans="2:7" x14ac:dyDescent="0.3">
      <c r="B91" s="88">
        <v>45117</v>
      </c>
      <c r="C91" s="85">
        <v>1222.0505370000001</v>
      </c>
      <c r="D91" s="17">
        <f t="shared" si="2"/>
        <v>2.0478398359419225E-2</v>
      </c>
      <c r="F91" s="85">
        <v>19564.5</v>
      </c>
      <c r="G91" s="17">
        <f t="shared" si="3"/>
        <v>1.2037120681933855E-2</v>
      </c>
    </row>
    <row r="92" spans="2:7" x14ac:dyDescent="0.3">
      <c r="B92" s="88">
        <v>45124</v>
      </c>
      <c r="C92" s="85">
        <v>1271.8917240000001</v>
      </c>
      <c r="D92" s="17">
        <f t="shared" si="2"/>
        <v>4.0784882041257076E-2</v>
      </c>
      <c r="F92" s="85">
        <v>19745</v>
      </c>
      <c r="G92" s="17">
        <f t="shared" si="3"/>
        <v>9.225893838329613E-3</v>
      </c>
    </row>
    <row r="93" spans="2:7" x14ac:dyDescent="0.3">
      <c r="B93" s="88">
        <v>45131</v>
      </c>
      <c r="C93" s="85">
        <v>1231.7308350000001</v>
      </c>
      <c r="D93" s="17">
        <f t="shared" si="2"/>
        <v>-3.1575713751558321E-2</v>
      </c>
      <c r="F93" s="85">
        <v>19646.050781000002</v>
      </c>
      <c r="G93" s="17">
        <f t="shared" si="3"/>
        <v>-5.0113557356291638E-3</v>
      </c>
    </row>
    <row r="94" spans="2:7" x14ac:dyDescent="0.3">
      <c r="B94" s="88">
        <v>45138</v>
      </c>
      <c r="C94" s="85">
        <v>1265.0410159999999</v>
      </c>
      <c r="D94" s="17">
        <f t="shared" si="2"/>
        <v>2.70433929666134E-2</v>
      </c>
      <c r="F94" s="85">
        <v>19517</v>
      </c>
      <c r="G94" s="17">
        <f t="shared" si="3"/>
        <v>-6.568789953694365E-3</v>
      </c>
    </row>
    <row r="95" spans="2:7" x14ac:dyDescent="0.3">
      <c r="B95" s="88">
        <v>45145</v>
      </c>
      <c r="C95" s="85">
        <v>1257.9918210000001</v>
      </c>
      <c r="D95" s="17">
        <f t="shared" si="2"/>
        <v>-5.5723054911602787E-3</v>
      </c>
      <c r="F95" s="85">
        <v>19428.300781000002</v>
      </c>
      <c r="G95" s="17">
        <f t="shared" si="3"/>
        <v>-4.5447158374749552E-3</v>
      </c>
    </row>
    <row r="96" spans="2:7" x14ac:dyDescent="0.3">
      <c r="B96" s="88">
        <v>45152</v>
      </c>
      <c r="C96" s="85">
        <v>1216.2919919999999</v>
      </c>
      <c r="D96" s="17">
        <f t="shared" si="2"/>
        <v>-3.314793332030741E-2</v>
      </c>
      <c r="F96" s="85">
        <v>19310.150390999999</v>
      </c>
      <c r="G96" s="17">
        <f t="shared" si="3"/>
        <v>-6.0813547891717112E-3</v>
      </c>
    </row>
    <row r="97" spans="2:7" x14ac:dyDescent="0.3">
      <c r="B97" s="88">
        <v>45159</v>
      </c>
      <c r="C97" s="85">
        <v>1218.5500489999999</v>
      </c>
      <c r="D97" s="17">
        <f t="shared" si="2"/>
        <v>1.8565089755191444E-3</v>
      </c>
      <c r="F97" s="85">
        <v>19265.800781000002</v>
      </c>
      <c r="G97" s="17">
        <f t="shared" si="3"/>
        <v>-2.2966993576947203E-3</v>
      </c>
    </row>
    <row r="98" spans="2:7" x14ac:dyDescent="0.3">
      <c r="B98" s="88">
        <v>45166</v>
      </c>
      <c r="C98" s="85">
        <v>1258.400024</v>
      </c>
      <c r="D98" s="17">
        <f t="shared" si="2"/>
        <v>3.2702780679958909E-2</v>
      </c>
      <c r="F98" s="85">
        <v>19435.300781000002</v>
      </c>
      <c r="G98" s="17">
        <f t="shared" si="3"/>
        <v>8.797973254616176E-3</v>
      </c>
    </row>
    <row r="99" spans="2:7" x14ac:dyDescent="0.3">
      <c r="B99" s="88">
        <v>45173</v>
      </c>
      <c r="C99" s="85">
        <v>1280.75</v>
      </c>
      <c r="D99" s="17">
        <f t="shared" si="2"/>
        <v>1.7760629031901454E-2</v>
      </c>
      <c r="F99" s="85">
        <v>19819.949218999998</v>
      </c>
      <c r="G99" s="17">
        <f t="shared" si="3"/>
        <v>1.9791226404688889E-2</v>
      </c>
    </row>
    <row r="100" spans="2:7" x14ac:dyDescent="0.3">
      <c r="B100" s="88">
        <v>45180</v>
      </c>
      <c r="C100" s="85">
        <v>1314</v>
      </c>
      <c r="D100" s="17">
        <f t="shared" si="2"/>
        <v>2.5961350771032565E-2</v>
      </c>
      <c r="F100" s="85">
        <v>20192.349609000001</v>
      </c>
      <c r="G100" s="17">
        <f t="shared" si="3"/>
        <v>1.8789169734249711E-2</v>
      </c>
    </row>
    <row r="101" spans="2:7" x14ac:dyDescent="0.3">
      <c r="B101" s="88">
        <v>45187</v>
      </c>
      <c r="C101" s="85">
        <v>1342.25</v>
      </c>
      <c r="D101" s="17">
        <f t="shared" si="2"/>
        <v>2.1499238964992395E-2</v>
      </c>
      <c r="F101" s="85">
        <v>19674.25</v>
      </c>
      <c r="G101" s="17">
        <f t="shared" si="3"/>
        <v>-2.5658213087251469E-2</v>
      </c>
    </row>
    <row r="102" spans="2:7" x14ac:dyDescent="0.3">
      <c r="B102" s="88">
        <v>45194</v>
      </c>
      <c r="C102" s="85">
        <v>1338.5500489999999</v>
      </c>
      <c r="D102" s="17">
        <f t="shared" si="2"/>
        <v>-2.7565289625629541E-3</v>
      </c>
      <c r="F102" s="85">
        <v>19638.300781000002</v>
      </c>
      <c r="G102" s="17">
        <f t="shared" si="3"/>
        <v>-1.8272218254824502E-3</v>
      </c>
    </row>
    <row r="103" spans="2:7" x14ac:dyDescent="0.3">
      <c r="B103" s="88">
        <v>45201</v>
      </c>
      <c r="C103" s="85">
        <v>1298.900024</v>
      </c>
      <c r="D103" s="17">
        <f t="shared" si="2"/>
        <v>-2.9621623061178437E-2</v>
      </c>
      <c r="F103" s="85">
        <v>19653.5</v>
      </c>
      <c r="G103" s="17">
        <f t="shared" si="3"/>
        <v>7.7395794928980521E-4</v>
      </c>
    </row>
    <row r="104" spans="2:7" x14ac:dyDescent="0.3">
      <c r="B104" s="88">
        <v>45208</v>
      </c>
      <c r="C104" s="85">
        <v>1276.900024</v>
      </c>
      <c r="D104" s="17">
        <f t="shared" si="2"/>
        <v>-1.6937408263532405E-2</v>
      </c>
      <c r="F104" s="85">
        <v>19751.050781000002</v>
      </c>
      <c r="G104" s="17">
        <f t="shared" si="3"/>
        <v>4.96353224616497E-3</v>
      </c>
    </row>
    <row r="105" spans="2:7" x14ac:dyDescent="0.3">
      <c r="B105" s="88">
        <v>45215</v>
      </c>
      <c r="C105" s="85">
        <v>1311.099976</v>
      </c>
      <c r="D105" s="17">
        <f t="shared" si="2"/>
        <v>2.6783578476931691E-2</v>
      </c>
      <c r="F105" s="85">
        <v>19542.650390999999</v>
      </c>
      <c r="G105" s="17">
        <f t="shared" si="3"/>
        <v>-1.0551357105540893E-2</v>
      </c>
    </row>
    <row r="106" spans="2:7" x14ac:dyDescent="0.3">
      <c r="B106" s="88">
        <v>45222</v>
      </c>
      <c r="C106" s="85">
        <v>1283.0500489999999</v>
      </c>
      <c r="D106" s="17">
        <f t="shared" si="2"/>
        <v>-2.1394193816993923E-2</v>
      </c>
      <c r="F106" s="85">
        <v>19047.25</v>
      </c>
      <c r="G106" s="17">
        <f t="shared" si="3"/>
        <v>-2.5349703396840506E-2</v>
      </c>
    </row>
    <row r="107" spans="2:7" x14ac:dyDescent="0.3">
      <c r="B107" s="88">
        <v>45229</v>
      </c>
      <c r="C107" s="85">
        <v>1302.650024</v>
      </c>
      <c r="D107" s="17">
        <f t="shared" si="2"/>
        <v>1.5276079849945168E-2</v>
      </c>
      <c r="F107" s="85">
        <v>19230.599609000001</v>
      </c>
      <c r="G107" s="17">
        <f t="shared" si="3"/>
        <v>9.6260409770438926E-3</v>
      </c>
    </row>
    <row r="108" spans="2:7" x14ac:dyDescent="0.3">
      <c r="B108" s="88">
        <v>45236</v>
      </c>
      <c r="C108" s="85">
        <v>1332.6999510000001</v>
      </c>
      <c r="D108" s="17">
        <f t="shared" si="2"/>
        <v>2.3068304184823862E-2</v>
      </c>
      <c r="F108" s="85">
        <v>19425.349609000001</v>
      </c>
      <c r="G108" s="17">
        <f t="shared" si="3"/>
        <v>1.0127089324289962E-2</v>
      </c>
    </row>
    <row r="109" spans="2:7" x14ac:dyDescent="0.3">
      <c r="B109" s="88">
        <v>45243</v>
      </c>
      <c r="C109" s="85">
        <v>1304.8000489999999</v>
      </c>
      <c r="D109" s="17">
        <f t="shared" si="2"/>
        <v>-2.0934871333239902E-2</v>
      </c>
      <c r="F109" s="85">
        <v>19731.800781000002</v>
      </c>
      <c r="G109" s="17">
        <f t="shared" si="3"/>
        <v>1.5775838178892609E-2</v>
      </c>
    </row>
    <row r="110" spans="2:7" x14ac:dyDescent="0.3">
      <c r="B110" s="88">
        <v>45250</v>
      </c>
      <c r="C110" s="85">
        <v>1344.349976</v>
      </c>
      <c r="D110" s="17">
        <f t="shared" si="2"/>
        <v>3.0311101712719113E-2</v>
      </c>
      <c r="F110" s="85">
        <v>19794.699218999998</v>
      </c>
      <c r="G110" s="17">
        <f t="shared" si="3"/>
        <v>3.1876684088845142E-3</v>
      </c>
    </row>
    <row r="111" spans="2:7" x14ac:dyDescent="0.3">
      <c r="B111" s="88">
        <v>45257</v>
      </c>
      <c r="C111" s="85">
        <v>1391.75</v>
      </c>
      <c r="D111" s="17">
        <f t="shared" si="2"/>
        <v>3.525869367814094E-2</v>
      </c>
      <c r="F111" s="85">
        <v>20267.900390999999</v>
      </c>
      <c r="G111" s="17">
        <f t="shared" si="3"/>
        <v>2.390544896715574E-2</v>
      </c>
    </row>
    <row r="112" spans="2:7" x14ac:dyDescent="0.3">
      <c r="B112" s="88">
        <v>45264</v>
      </c>
      <c r="C112" s="85">
        <v>1458.75</v>
      </c>
      <c r="D112" s="17">
        <f t="shared" si="2"/>
        <v>4.8140829890425785E-2</v>
      </c>
      <c r="F112" s="85">
        <v>20969.400390999999</v>
      </c>
      <c r="G112" s="17">
        <f t="shared" si="3"/>
        <v>3.4611379889724736E-2</v>
      </c>
    </row>
    <row r="113" spans="2:7" x14ac:dyDescent="0.3">
      <c r="B113" s="88">
        <v>45268</v>
      </c>
      <c r="D113" s="17">
        <f t="shared" si="2"/>
        <v>-1</v>
      </c>
      <c r="F113" s="85">
        <v>20969.400390999999</v>
      </c>
      <c r="G113" s="17">
        <f t="shared" si="3"/>
        <v>0</v>
      </c>
    </row>
  </sheetData>
  <mergeCells count="3">
    <mergeCell ref="B5:D5"/>
    <mergeCell ref="F5:G5"/>
    <mergeCell ref="I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B400-8922-4522-BA6B-55614055B1E4}">
  <dimension ref="B2:G7"/>
  <sheetViews>
    <sheetView showGridLines="0" workbookViewId="0">
      <selection activeCell="L8" sqref="L8"/>
    </sheetView>
  </sheetViews>
  <sheetFormatPr defaultRowHeight="14.4" x14ac:dyDescent="0.3"/>
  <cols>
    <col min="1" max="1" width="1.88671875" customWidth="1"/>
    <col min="2" max="2" width="5.44140625" bestFit="1" customWidth="1"/>
    <col min="3" max="3" width="14.33203125" bestFit="1" customWidth="1"/>
    <col min="4" max="4" width="8" bestFit="1" customWidth="1"/>
    <col min="5" max="5" width="13.6640625" bestFit="1" customWidth="1"/>
    <col min="6" max="6" width="10.109375" bestFit="1" customWidth="1"/>
    <col min="7" max="7" width="8.5546875" bestFit="1" customWidth="1"/>
  </cols>
  <sheetData>
    <row r="2" spans="2:7" x14ac:dyDescent="0.3">
      <c r="B2" t="s">
        <v>240</v>
      </c>
      <c r="C2" t="s">
        <v>241</v>
      </c>
      <c r="D2" t="s">
        <v>243</v>
      </c>
      <c r="E2" t="s">
        <v>244</v>
      </c>
      <c r="F2" t="s">
        <v>245</v>
      </c>
      <c r="G2" t="s">
        <v>242</v>
      </c>
    </row>
    <row r="3" spans="2:7" x14ac:dyDescent="0.3">
      <c r="B3">
        <v>1</v>
      </c>
      <c r="C3" t="s">
        <v>234</v>
      </c>
      <c r="D3">
        <v>4069.75</v>
      </c>
      <c r="E3">
        <v>264832.09000000003</v>
      </c>
      <c r="F3">
        <v>630.38</v>
      </c>
      <c r="G3">
        <v>0.04</v>
      </c>
    </row>
    <row r="4" spans="2:7" x14ac:dyDescent="0.3">
      <c r="B4">
        <v>2</v>
      </c>
      <c r="C4" t="s">
        <v>235</v>
      </c>
      <c r="D4">
        <v>2881.4</v>
      </c>
      <c r="E4">
        <v>102430.16</v>
      </c>
      <c r="F4">
        <v>4839.33</v>
      </c>
      <c r="G4">
        <v>1.66</v>
      </c>
    </row>
    <row r="5" spans="2:7" x14ac:dyDescent="0.3">
      <c r="B5">
        <v>3</v>
      </c>
      <c r="C5" t="s">
        <v>236</v>
      </c>
      <c r="D5">
        <v>1434.2</v>
      </c>
      <c r="E5">
        <v>34825.449999999997</v>
      </c>
      <c r="F5">
        <v>365.02</v>
      </c>
      <c r="G5">
        <v>0.27</v>
      </c>
    </row>
    <row r="6" spans="2:7" x14ac:dyDescent="0.3">
      <c r="B6">
        <v>4</v>
      </c>
      <c r="C6" t="s">
        <v>237</v>
      </c>
      <c r="D6">
        <v>234.45</v>
      </c>
      <c r="E6">
        <v>22252.75</v>
      </c>
      <c r="F6">
        <v>10174.77</v>
      </c>
      <c r="G6">
        <v>3.46</v>
      </c>
    </row>
    <row r="7" spans="2:7" x14ac:dyDescent="0.3">
      <c r="B7">
        <v>5</v>
      </c>
      <c r="C7" t="s">
        <v>239</v>
      </c>
      <c r="D7">
        <v>746.65</v>
      </c>
      <c r="E7">
        <v>8911.43</v>
      </c>
      <c r="F7">
        <v>958.08</v>
      </c>
      <c r="G7">
        <v>0.63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3264-00C4-4D45-A006-F686307472E5}">
  <dimension ref="B2:F28"/>
  <sheetViews>
    <sheetView showGridLines="0" workbookViewId="0">
      <selection activeCell="G13" sqref="G13"/>
    </sheetView>
  </sheetViews>
  <sheetFormatPr defaultRowHeight="14.4" x14ac:dyDescent="0.3"/>
  <cols>
    <col min="1" max="1" width="1.88671875" customWidth="1"/>
    <col min="5" max="5" width="18.109375" bestFit="1" customWidth="1"/>
  </cols>
  <sheetData>
    <row r="2" spans="2:6" x14ac:dyDescent="0.3">
      <c r="B2" s="157" t="s">
        <v>247</v>
      </c>
      <c r="C2" s="157"/>
    </row>
    <row r="4" spans="2:6" x14ac:dyDescent="0.3">
      <c r="B4" s="107" t="s">
        <v>158</v>
      </c>
      <c r="C4" s="106" t="s">
        <v>246</v>
      </c>
    </row>
    <row r="5" spans="2:6" x14ac:dyDescent="0.3">
      <c r="B5" s="45">
        <v>2000</v>
      </c>
      <c r="C5" s="17">
        <v>-0.14649999999999999</v>
      </c>
      <c r="E5" t="s">
        <v>248</v>
      </c>
      <c r="F5" s="108">
        <f>AVERAGE(C5:C27)</f>
        <v>0.15443478260869564</v>
      </c>
    </row>
    <row r="6" spans="2:6" ht="16.2" x14ac:dyDescent="0.3">
      <c r="B6" s="45">
        <v>2001</v>
      </c>
      <c r="C6" s="17">
        <v>-0.1618</v>
      </c>
      <c r="E6" t="s">
        <v>249</v>
      </c>
      <c r="F6" s="109" t="s">
        <v>250</v>
      </c>
    </row>
    <row r="7" spans="2:6" x14ac:dyDescent="0.3">
      <c r="B7" s="45">
        <v>2002</v>
      </c>
      <c r="C7" s="17">
        <v>3.2500000000000001E-2</v>
      </c>
      <c r="E7" s="15" t="s">
        <v>251</v>
      </c>
      <c r="F7" s="110">
        <f>SUM(F5:F6)</f>
        <v>0.15443478260869564</v>
      </c>
    </row>
    <row r="8" spans="2:6" x14ac:dyDescent="0.3">
      <c r="B8" s="45">
        <v>2003</v>
      </c>
      <c r="C8" s="17">
        <v>0.71900000000000008</v>
      </c>
    </row>
    <row r="9" spans="2:6" x14ac:dyDescent="0.3">
      <c r="B9" s="45">
        <v>2004</v>
      </c>
      <c r="C9" s="17">
        <v>0.10679999999999999</v>
      </c>
    </row>
    <row r="10" spans="2:6" x14ac:dyDescent="0.3">
      <c r="B10" s="45">
        <v>2005</v>
      </c>
      <c r="C10" s="17">
        <v>0.36340000000000006</v>
      </c>
    </row>
    <row r="11" spans="2:6" x14ac:dyDescent="0.3">
      <c r="B11" s="45">
        <v>2006</v>
      </c>
      <c r="C11" s="17">
        <v>0.39829999999999999</v>
      </c>
    </row>
    <row r="12" spans="2:6" x14ac:dyDescent="0.3">
      <c r="B12" s="45">
        <v>2007</v>
      </c>
      <c r="C12" s="17">
        <v>0.54770000000000008</v>
      </c>
    </row>
    <row r="13" spans="2:6" x14ac:dyDescent="0.3">
      <c r="B13" s="45">
        <v>2008</v>
      </c>
      <c r="C13" s="17">
        <v>-0.51790000000000003</v>
      </c>
    </row>
    <row r="14" spans="2:6" x14ac:dyDescent="0.3">
      <c r="B14" s="45">
        <v>2009</v>
      </c>
      <c r="C14" s="17">
        <v>0.75760000000000005</v>
      </c>
    </row>
    <row r="15" spans="2:6" x14ac:dyDescent="0.3">
      <c r="B15" s="45">
        <v>2010</v>
      </c>
      <c r="C15" s="17">
        <v>0.17949999999999999</v>
      </c>
    </row>
    <row r="16" spans="2:6" x14ac:dyDescent="0.3">
      <c r="B16" s="45">
        <v>2011</v>
      </c>
      <c r="C16" s="17">
        <v>-0.2462</v>
      </c>
    </row>
    <row r="17" spans="2:3" x14ac:dyDescent="0.3">
      <c r="B17" s="45">
        <v>2012</v>
      </c>
      <c r="C17" s="17">
        <v>0.27699999999999997</v>
      </c>
    </row>
    <row r="18" spans="2:3" x14ac:dyDescent="0.3">
      <c r="B18" s="45">
        <v>2013</v>
      </c>
      <c r="C18" s="17">
        <v>6.7599999999999993E-2</v>
      </c>
    </row>
    <row r="19" spans="2:3" x14ac:dyDescent="0.3">
      <c r="B19" s="45">
        <v>2014</v>
      </c>
      <c r="C19" s="17">
        <v>0.31390000000000001</v>
      </c>
    </row>
    <row r="20" spans="2:3" x14ac:dyDescent="0.3">
      <c r="B20" s="45">
        <v>2015</v>
      </c>
      <c r="C20" s="17">
        <v>-4.0599999999999997E-2</v>
      </c>
    </row>
    <row r="21" spans="2:3" x14ac:dyDescent="0.3">
      <c r="B21" s="45">
        <v>2016</v>
      </c>
      <c r="C21" s="17">
        <v>3.0099999999999998E-2</v>
      </c>
    </row>
    <row r="22" spans="2:3" x14ac:dyDescent="0.3">
      <c r="B22" s="45">
        <v>2017</v>
      </c>
      <c r="C22" s="17">
        <v>0.28649999999999998</v>
      </c>
    </row>
    <row r="23" spans="2:3" x14ac:dyDescent="0.3">
      <c r="B23" s="45">
        <v>2018</v>
      </c>
      <c r="C23" s="17">
        <v>3.15E-2</v>
      </c>
    </row>
    <row r="24" spans="2:3" x14ac:dyDescent="0.3">
      <c r="B24" s="45">
        <v>2019</v>
      </c>
      <c r="C24" s="17">
        <v>0.1202</v>
      </c>
    </row>
    <row r="25" spans="2:3" x14ac:dyDescent="0.3">
      <c r="B25" s="45">
        <v>2020</v>
      </c>
      <c r="C25" s="17">
        <v>0.14899999999999999</v>
      </c>
    </row>
    <row r="26" spans="2:3" x14ac:dyDescent="0.3">
      <c r="B26" s="45">
        <v>2021</v>
      </c>
      <c r="C26" s="17">
        <v>0.2412</v>
      </c>
    </row>
    <row r="27" spans="2:3" x14ac:dyDescent="0.3">
      <c r="B27" s="45">
        <v>2022</v>
      </c>
      <c r="C27" s="17">
        <v>4.3200000000000002E-2</v>
      </c>
    </row>
    <row r="28" spans="2:3" x14ac:dyDescent="0.3">
      <c r="B28" s="45"/>
    </row>
  </sheetData>
  <mergeCells count="1">
    <mergeCell ref="B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970-8837-46CC-99EE-6C4CF23261CB}">
  <dimension ref="A2:I5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52" sqref="H52"/>
    </sheetView>
  </sheetViews>
  <sheetFormatPr defaultRowHeight="14.4" x14ac:dyDescent="0.3"/>
  <cols>
    <col min="1" max="1" width="1.88671875" customWidth="1"/>
    <col min="2" max="2" width="29.21875" bestFit="1" customWidth="1"/>
    <col min="4" max="4" width="10.6640625" bestFit="1" customWidth="1"/>
    <col min="5" max="5" width="12.33203125" bestFit="1" customWidth="1"/>
    <col min="6" max="6" width="11.6640625" bestFit="1" customWidth="1"/>
    <col min="7" max="7" width="10.6640625" bestFit="1" customWidth="1"/>
    <col min="8" max="8" width="11.6640625" bestFit="1" customWidth="1"/>
  </cols>
  <sheetData>
    <row r="2" spans="2:8" x14ac:dyDescent="0.3">
      <c r="B2" s="12" t="s">
        <v>287</v>
      </c>
      <c r="C2" s="12"/>
      <c r="D2" s="13">
        <f>'Raw FS'!J2</f>
        <v>43525</v>
      </c>
      <c r="E2" s="13">
        <f>'Raw FS'!K2</f>
        <v>43891</v>
      </c>
      <c r="F2" s="13">
        <f>'Raw FS'!L2</f>
        <v>44256</v>
      </c>
      <c r="G2" s="13">
        <f>'Raw FS'!M2</f>
        <v>44621</v>
      </c>
      <c r="H2" s="13">
        <f>'Raw FS'!N2</f>
        <v>44986</v>
      </c>
    </row>
    <row r="4" spans="2:8" x14ac:dyDescent="0.3">
      <c r="B4" s="15" t="s">
        <v>288</v>
      </c>
    </row>
    <row r="5" spans="2:8" x14ac:dyDescent="0.3">
      <c r="B5" s="128" t="str">
        <f>'Raw FS'!B38</f>
        <v>Inventories</v>
      </c>
      <c r="C5" s="128"/>
      <c r="D5" s="130">
        <f>'Raw FS'!J38</f>
        <v>39014</v>
      </c>
      <c r="E5" s="130">
        <f>'Raw FS'!K38</f>
        <v>37457</v>
      </c>
      <c r="F5" s="130">
        <f>'Raw FS'!L38</f>
        <v>36089</v>
      </c>
      <c r="G5" s="130">
        <f>'Raw FS'!M38</f>
        <v>35240</v>
      </c>
      <c r="H5" s="130">
        <f>'Raw FS'!N38</f>
        <v>40755</v>
      </c>
    </row>
    <row r="6" spans="2:8" x14ac:dyDescent="0.3">
      <c r="B6" s="128" t="str">
        <f>'Raw FS'!B39</f>
        <v>Trade receivables</v>
      </c>
      <c r="C6" s="128"/>
      <c r="D6" s="130">
        <f>'Raw FS'!J39</f>
        <v>18996</v>
      </c>
      <c r="E6" s="130">
        <f>'Raw FS'!K39</f>
        <v>11173</v>
      </c>
      <c r="F6" s="130">
        <f>'Raw FS'!L39</f>
        <v>12679</v>
      </c>
      <c r="G6" s="130">
        <f>'Raw FS'!M39</f>
        <v>12442</v>
      </c>
      <c r="H6" s="130">
        <f>'Raw FS'!N39</f>
        <v>15738</v>
      </c>
    </row>
    <row r="7" spans="2:8" x14ac:dyDescent="0.3">
      <c r="B7" s="128" t="str">
        <f>'Raw FS'!B41</f>
        <v>Short term loans</v>
      </c>
      <c r="C7" s="128"/>
      <c r="D7" s="130">
        <f>'Raw FS'!J41</f>
        <v>974</v>
      </c>
      <c r="E7" s="130">
        <f>'Raw FS'!K41</f>
        <v>39</v>
      </c>
      <c r="F7" s="130">
        <f>'Raw FS'!L41</f>
        <v>142</v>
      </c>
      <c r="G7" s="130">
        <f>'Raw FS'!M41</f>
        <v>47</v>
      </c>
      <c r="H7" s="130">
        <f>'Raw FS'!N41</f>
        <v>50</v>
      </c>
    </row>
    <row r="8" spans="2:8" x14ac:dyDescent="0.3">
      <c r="B8" t="str">
        <f>'Raw FS'!B42</f>
        <v>Other asset items</v>
      </c>
      <c r="D8" s="123">
        <f>'Raw FS'!J42</f>
        <v>55182</v>
      </c>
      <c r="E8" s="123">
        <f>'Raw FS'!K42</f>
        <v>58746</v>
      </c>
      <c r="F8" s="123">
        <f>'Raw FS'!L42</f>
        <v>61576</v>
      </c>
      <c r="G8" s="123">
        <f>'Raw FS'!M42</f>
        <v>62177</v>
      </c>
      <c r="H8" s="123">
        <f>'Raw FS'!N42</f>
        <v>68382</v>
      </c>
    </row>
    <row r="9" spans="2:8" x14ac:dyDescent="0.3">
      <c r="B9" s="63" t="s">
        <v>85</v>
      </c>
      <c r="C9" s="59"/>
      <c r="D9" s="131">
        <f>SUM(D5:D8)</f>
        <v>114166</v>
      </c>
      <c r="E9" s="131">
        <f t="shared" ref="E9:H9" si="0">SUM(E5:E8)</f>
        <v>107415</v>
      </c>
      <c r="F9" s="131">
        <f t="shared" si="0"/>
        <v>110486</v>
      </c>
      <c r="G9" s="131">
        <f t="shared" si="0"/>
        <v>109906</v>
      </c>
      <c r="H9" s="131">
        <f t="shared" si="0"/>
        <v>124925</v>
      </c>
    </row>
    <row r="10" spans="2:8" x14ac:dyDescent="0.3">
      <c r="D10" s="123"/>
      <c r="E10" s="123"/>
      <c r="F10" s="123"/>
      <c r="G10" s="123"/>
      <c r="H10" s="123"/>
    </row>
    <row r="11" spans="2:8" x14ac:dyDescent="0.3">
      <c r="B11" s="15" t="s">
        <v>289</v>
      </c>
      <c r="D11" s="123"/>
      <c r="E11" s="123"/>
      <c r="F11" s="123"/>
      <c r="G11" s="123"/>
      <c r="H11" s="123"/>
    </row>
    <row r="12" spans="2:8" x14ac:dyDescent="0.3">
      <c r="B12" s="128" t="str">
        <f>'Raw FS'!B15</f>
        <v>Trade Payables</v>
      </c>
      <c r="C12" s="128"/>
      <c r="D12" s="130">
        <f>'Raw FS'!J15</f>
        <v>71691</v>
      </c>
      <c r="E12" s="130">
        <f>'Raw FS'!K15</f>
        <v>66398</v>
      </c>
      <c r="F12" s="130">
        <f>'Raw FS'!L15</f>
        <v>76040</v>
      </c>
      <c r="G12" s="130">
        <f>'Raw FS'!M15</f>
        <v>69750</v>
      </c>
      <c r="H12" s="130">
        <f>'Raw FS'!N15</f>
        <v>79252</v>
      </c>
    </row>
    <row r="13" spans="2:8" x14ac:dyDescent="0.3">
      <c r="B13" s="128" t="str">
        <f>'Raw FS'!B16</f>
        <v>Advance from Customers</v>
      </c>
      <c r="C13" s="128"/>
      <c r="D13" s="130">
        <f>'Raw FS'!J16</f>
        <v>0</v>
      </c>
      <c r="E13" s="130">
        <f>'Raw FS'!K16</f>
        <v>0</v>
      </c>
      <c r="F13" s="130">
        <f>'Raw FS'!L16</f>
        <v>0</v>
      </c>
      <c r="G13" s="130">
        <f>'Raw FS'!M16</f>
        <v>0</v>
      </c>
      <c r="H13" s="130">
        <f>'Raw FS'!N16</f>
        <v>0</v>
      </c>
    </row>
    <row r="14" spans="2:8" x14ac:dyDescent="0.3">
      <c r="B14" s="129" t="str">
        <f>'Raw FS'!B17</f>
        <v>Other liability items</v>
      </c>
      <c r="C14" s="129"/>
      <c r="D14" s="130">
        <f>'Raw FS'!J17</f>
        <v>67135</v>
      </c>
      <c r="E14" s="130">
        <f>'Raw FS'!K17</f>
        <v>65969</v>
      </c>
      <c r="F14" s="130">
        <f>'Raw FS'!L17</f>
        <v>66579</v>
      </c>
      <c r="G14" s="130">
        <f>'Raw FS'!M17</f>
        <v>64030</v>
      </c>
      <c r="H14" s="130">
        <f>'Raw FS'!N17</f>
        <v>68710</v>
      </c>
    </row>
    <row r="15" spans="2:8" x14ac:dyDescent="0.3">
      <c r="B15" s="63" t="s">
        <v>290</v>
      </c>
      <c r="C15" s="59"/>
      <c r="D15" s="131">
        <f>SUM(D12:D14)</f>
        <v>138826</v>
      </c>
      <c r="E15" s="131">
        <f t="shared" ref="E15:H15" si="1">SUM(E12:E14)</f>
        <v>132367</v>
      </c>
      <c r="F15" s="131">
        <f t="shared" si="1"/>
        <v>142619</v>
      </c>
      <c r="G15" s="131">
        <f t="shared" si="1"/>
        <v>133780</v>
      </c>
      <c r="H15" s="131">
        <f t="shared" si="1"/>
        <v>147962</v>
      </c>
    </row>
    <row r="17" spans="1:8" ht="15" thickBot="1" x14ac:dyDescent="0.35">
      <c r="A17" t="s">
        <v>59</v>
      </c>
      <c r="B17" s="132" t="s">
        <v>291</v>
      </c>
      <c r="C17" s="132"/>
      <c r="D17" s="133">
        <f>D9-D15</f>
        <v>-24660</v>
      </c>
      <c r="E17" s="133">
        <f t="shared" ref="E17:H17" si="2">E9-E15</f>
        <v>-24952</v>
      </c>
      <c r="F17" s="133">
        <f t="shared" si="2"/>
        <v>-32133</v>
      </c>
      <c r="G17" s="133">
        <f t="shared" si="2"/>
        <v>-23874</v>
      </c>
      <c r="H17" s="133">
        <f t="shared" si="2"/>
        <v>-23037</v>
      </c>
    </row>
    <row r="19" spans="1:8" x14ac:dyDescent="0.3">
      <c r="B19" s="15" t="s">
        <v>292</v>
      </c>
      <c r="D19" s="123"/>
      <c r="E19" s="123"/>
      <c r="F19" s="123"/>
      <c r="G19" s="123"/>
      <c r="H19" s="123"/>
    </row>
    <row r="20" spans="1:8" x14ac:dyDescent="0.3">
      <c r="B20" s="128" t="str">
        <f>'Raw FS'!B21</f>
        <v>Land</v>
      </c>
      <c r="C20" s="128"/>
      <c r="D20" s="130">
        <f>'Raw FS'!J21</f>
        <v>7286</v>
      </c>
      <c r="E20" s="130">
        <f>'Raw FS'!K21</f>
        <v>7675</v>
      </c>
      <c r="F20" s="130">
        <f>'Raw FS'!L21</f>
        <v>7819</v>
      </c>
      <c r="G20" s="130">
        <f>'Raw FS'!M21</f>
        <v>7760</v>
      </c>
      <c r="H20" s="130">
        <f>'Raw FS'!N21</f>
        <v>8045</v>
      </c>
    </row>
    <row r="21" spans="1:8" x14ac:dyDescent="0.3">
      <c r="B21" s="128" t="str">
        <f>'Raw FS'!B22</f>
        <v>Building</v>
      </c>
      <c r="C21" s="128"/>
      <c r="D21" s="130">
        <f>'Raw FS'!J22</f>
        <v>22938</v>
      </c>
      <c r="E21" s="130">
        <f>'Raw FS'!K22</f>
        <v>32665</v>
      </c>
      <c r="F21" s="130">
        <f>'Raw FS'!L22</f>
        <v>35537</v>
      </c>
      <c r="G21" s="130">
        <f>'Raw FS'!M22</f>
        <v>36466</v>
      </c>
      <c r="H21" s="130">
        <f>'Raw FS'!N22</f>
        <v>38781</v>
      </c>
    </row>
    <row r="22" spans="1:8" x14ac:dyDescent="0.3">
      <c r="B22" s="128" t="str">
        <f>'Raw FS'!B23</f>
        <v>Plant Machinery</v>
      </c>
      <c r="C22" s="128"/>
      <c r="D22" s="130">
        <f>'Raw FS'!J23</f>
        <v>109415</v>
      </c>
      <c r="E22" s="130">
        <f>'Raw FS'!K23</f>
        <v>124158</v>
      </c>
      <c r="F22" s="130">
        <f>'Raw FS'!L23</f>
        <v>138868</v>
      </c>
      <c r="G22" s="130">
        <f>'Raw FS'!M23</f>
        <v>148585</v>
      </c>
      <c r="H22" s="130">
        <f>'Raw FS'!N23</f>
        <v>153672</v>
      </c>
    </row>
    <row r="23" spans="1:8" x14ac:dyDescent="0.3">
      <c r="B23" s="128" t="str">
        <f>'Raw FS'!B24</f>
        <v>Equipments</v>
      </c>
      <c r="C23" s="128"/>
      <c r="D23" s="130">
        <f>'Raw FS'!J24</f>
        <v>0</v>
      </c>
      <c r="E23" s="130">
        <f>'Raw FS'!K24</f>
        <v>0</v>
      </c>
      <c r="F23" s="130">
        <f>'Raw FS'!L24</f>
        <v>0</v>
      </c>
      <c r="G23" s="130">
        <f>'Raw FS'!M24</f>
        <v>0</v>
      </c>
      <c r="H23" s="130">
        <f>'Raw FS'!N24</f>
        <v>0</v>
      </c>
    </row>
    <row r="24" spans="1:8" x14ac:dyDescent="0.3">
      <c r="B24" s="128" t="str">
        <f>'Raw FS'!B26</f>
        <v>Furniture n fittings</v>
      </c>
      <c r="C24" s="128"/>
      <c r="D24" s="130">
        <f>'Raw FS'!J26</f>
        <v>1626</v>
      </c>
      <c r="E24" s="130">
        <f>'Raw FS'!K26</f>
        <v>1890</v>
      </c>
      <c r="F24" s="130">
        <f>'Raw FS'!L26</f>
        <v>1956</v>
      </c>
      <c r="G24" s="130">
        <f>'Raw FS'!M26</f>
        <v>1984</v>
      </c>
      <c r="H24" s="130">
        <f>'Raw FS'!N26</f>
        <v>2084</v>
      </c>
    </row>
    <row r="25" spans="1:8" x14ac:dyDescent="0.3">
      <c r="B25" s="128" t="str">
        <f>'Raw FS'!B27</f>
        <v>Vehicles</v>
      </c>
      <c r="C25" s="128"/>
      <c r="D25" s="130">
        <f>'Raw FS'!J27</f>
        <v>387</v>
      </c>
      <c r="E25" s="130">
        <f>'Raw FS'!K27</f>
        <v>601</v>
      </c>
      <c r="F25" s="130">
        <f>'Raw FS'!L27</f>
        <v>845</v>
      </c>
      <c r="G25" s="130">
        <f>'Raw FS'!M27</f>
        <v>725</v>
      </c>
      <c r="H25" s="130">
        <f>'Raw FS'!N27</f>
        <v>788</v>
      </c>
    </row>
    <row r="26" spans="1:8" x14ac:dyDescent="0.3">
      <c r="B26" s="128" t="str">
        <f>'Raw FS'!B28</f>
        <v>Intangible Assets</v>
      </c>
      <c r="C26" s="128"/>
      <c r="D26" s="130">
        <f>'Raw FS'!J28</f>
        <v>80480</v>
      </c>
      <c r="E26" s="130">
        <f>'Raw FS'!K28</f>
        <v>91157</v>
      </c>
      <c r="F26" s="130">
        <f>'Raw FS'!L28</f>
        <v>114809</v>
      </c>
      <c r="G26" s="130">
        <f>'Raw FS'!M28</f>
        <v>114323</v>
      </c>
      <c r="H26" s="130">
        <f>'Raw FS'!N28</f>
        <v>112538</v>
      </c>
    </row>
    <row r="27" spans="1:8" x14ac:dyDescent="0.3">
      <c r="B27" s="128" t="str">
        <f>'Raw FS'!B29</f>
        <v>Other fixed assets</v>
      </c>
      <c r="C27" s="128"/>
      <c r="D27" s="130">
        <f>'Raw FS'!J29</f>
        <v>8049</v>
      </c>
      <c r="E27" s="130">
        <f>'Raw FS'!K29</f>
        <v>9380</v>
      </c>
      <c r="F27" s="130">
        <f>'Raw FS'!L29</f>
        <v>10686</v>
      </c>
      <c r="G27" s="130">
        <f>'Raw FS'!M29</f>
        <v>10870</v>
      </c>
      <c r="H27" s="130">
        <f>'Raw FS'!N29</f>
        <v>11735</v>
      </c>
    </row>
    <row r="28" spans="1:8" x14ac:dyDescent="0.3">
      <c r="B28" s="63" t="s">
        <v>278</v>
      </c>
      <c r="C28" s="59"/>
      <c r="D28" s="131">
        <f>SUM(D20:D27)</f>
        <v>230181</v>
      </c>
      <c r="E28" s="131">
        <f t="shared" ref="E28:H28" si="3">SUM(E20:E27)</f>
        <v>267526</v>
      </c>
      <c r="F28" s="131">
        <f t="shared" si="3"/>
        <v>310520</v>
      </c>
      <c r="G28" s="131">
        <f t="shared" si="3"/>
        <v>320713</v>
      </c>
      <c r="H28" s="131">
        <f t="shared" si="3"/>
        <v>327643</v>
      </c>
    </row>
    <row r="29" spans="1:8" x14ac:dyDescent="0.3">
      <c r="B29" t="s">
        <v>279</v>
      </c>
      <c r="D29">
        <f>-'Raw FS'!J31</f>
        <v>-121283</v>
      </c>
      <c r="E29">
        <f>-'Raw FS'!K31</f>
        <v>-143471</v>
      </c>
      <c r="F29">
        <f>-'Raw FS'!L31</f>
        <v>-174985</v>
      </c>
      <c r="G29">
        <f>-'Raw FS'!M31</f>
        <v>-185241</v>
      </c>
      <c r="H29">
        <f>-'Raw FS'!N31</f>
        <v>-199062</v>
      </c>
    </row>
    <row r="30" spans="1:8" ht="15" thickBot="1" x14ac:dyDescent="0.35">
      <c r="B30" s="132" t="s">
        <v>293</v>
      </c>
      <c r="C30" s="132"/>
      <c r="D30" s="133">
        <f>SUM(D28:D29)</f>
        <v>108898</v>
      </c>
      <c r="E30" s="133">
        <f t="shared" ref="E30:H30" si="4">SUM(E28:E29)</f>
        <v>124055</v>
      </c>
      <c r="F30" s="133">
        <f t="shared" si="4"/>
        <v>135535</v>
      </c>
      <c r="G30" s="133">
        <f t="shared" si="4"/>
        <v>135472</v>
      </c>
      <c r="H30" s="133">
        <f t="shared" si="4"/>
        <v>128581</v>
      </c>
    </row>
    <row r="32" spans="1:8" x14ac:dyDescent="0.3">
      <c r="A32" t="s">
        <v>59</v>
      </c>
      <c r="B32" s="15" t="s">
        <v>294</v>
      </c>
      <c r="D32" s="85">
        <f>D30+D17</f>
        <v>84238</v>
      </c>
      <c r="E32" s="85">
        <f t="shared" ref="E32:H32" si="5">E30+E17</f>
        <v>99103</v>
      </c>
      <c r="F32" s="85">
        <f t="shared" si="5"/>
        <v>103402</v>
      </c>
      <c r="G32" s="85">
        <f t="shared" si="5"/>
        <v>111598</v>
      </c>
      <c r="H32" s="85">
        <f t="shared" si="5"/>
        <v>105544</v>
      </c>
    </row>
    <row r="33" spans="2:9" x14ac:dyDescent="0.3">
      <c r="B33" s="15" t="s">
        <v>295</v>
      </c>
      <c r="D33">
        <f>HistoricalFS!I27+HistoricalFS!I21</f>
        <v>1073.7000000000207</v>
      </c>
      <c r="E33">
        <f>HistoricalFS!J27+HistoricalFS!J21</f>
        <v>-3438.3600000000388</v>
      </c>
      <c r="F33">
        <f>HistoricalFS!K27+HistoricalFS!K21</f>
        <v>8740.7199999999921</v>
      </c>
      <c r="G33">
        <f>HistoricalFS!L27+HistoricalFS!L21</f>
        <v>-115.59999999998763</v>
      </c>
      <c r="H33">
        <f>HistoricalFS!M27+HistoricalFS!M21</f>
        <v>3735.1999999999989</v>
      </c>
    </row>
    <row r="35" spans="2:9" x14ac:dyDescent="0.3">
      <c r="B35" s="15" t="s">
        <v>296</v>
      </c>
      <c r="D35">
        <f>D33/D32</f>
        <v>1.2746029108003759E-2</v>
      </c>
      <c r="E35">
        <f t="shared" ref="E35:H35" si="6">E33/E32</f>
        <v>-3.4694812467836886E-2</v>
      </c>
      <c r="F35">
        <f t="shared" si="6"/>
        <v>8.4531440397671145E-2</v>
      </c>
      <c r="G35">
        <f t="shared" si="6"/>
        <v>-1.0358608577213538E-3</v>
      </c>
      <c r="H35">
        <f t="shared" si="6"/>
        <v>3.538997953460167E-2</v>
      </c>
    </row>
    <row r="38" spans="2:9" x14ac:dyDescent="0.3">
      <c r="B38" s="12" t="s">
        <v>297</v>
      </c>
      <c r="C38" s="12"/>
      <c r="D38" s="13"/>
      <c r="E38" s="13"/>
      <c r="F38" s="13"/>
      <c r="G38" s="13"/>
      <c r="H38" s="13"/>
    </row>
    <row r="40" spans="2:9" x14ac:dyDescent="0.3">
      <c r="B40" t="s">
        <v>299</v>
      </c>
      <c r="D40" s="85">
        <f>-SUM('Raw FS'!J58:J59)</f>
        <v>35237</v>
      </c>
      <c r="E40" s="85">
        <f>-SUM('Raw FS'!K58:K59)</f>
        <v>29531</v>
      </c>
      <c r="F40" s="85">
        <f>-SUM('Raw FS'!L58:L59)</f>
        <v>19854</v>
      </c>
      <c r="G40" s="85">
        <f>-SUM('Raw FS'!M58:M59)</f>
        <v>14938</v>
      </c>
      <c r="H40" s="85">
        <f>-SUM('Raw FS'!N58:N59)</f>
        <v>18945</v>
      </c>
    </row>
    <row r="41" spans="2:9" x14ac:dyDescent="0.3">
      <c r="B41" t="s">
        <v>300</v>
      </c>
      <c r="E41" s="85">
        <f>E17-D17</f>
        <v>-292</v>
      </c>
      <c r="F41" s="85">
        <f t="shared" ref="F41:H41" si="7">F17-E17</f>
        <v>-7181</v>
      </c>
      <c r="G41" s="85">
        <f t="shared" si="7"/>
        <v>8259</v>
      </c>
      <c r="H41" s="85">
        <f t="shared" si="7"/>
        <v>837</v>
      </c>
    </row>
    <row r="43" spans="2:9" x14ac:dyDescent="0.3">
      <c r="B43" t="s">
        <v>295</v>
      </c>
      <c r="D43">
        <f>D33</f>
        <v>1073.7000000000207</v>
      </c>
      <c r="E43">
        <f t="shared" ref="E43:H43" si="8">E33</f>
        <v>-3438.3600000000388</v>
      </c>
      <c r="F43">
        <f t="shared" si="8"/>
        <v>8740.7199999999921</v>
      </c>
      <c r="G43">
        <f t="shared" si="8"/>
        <v>-115.59999999998763</v>
      </c>
      <c r="H43">
        <f t="shared" si="8"/>
        <v>3735.1999999999989</v>
      </c>
    </row>
    <row r="44" spans="2:9" x14ac:dyDescent="0.3">
      <c r="B44" t="s">
        <v>301</v>
      </c>
      <c r="D44" s="134">
        <v>0.25</v>
      </c>
      <c r="E44" s="134">
        <v>0.25</v>
      </c>
      <c r="F44" s="134">
        <v>0.25</v>
      </c>
      <c r="G44" s="134">
        <v>0.25</v>
      </c>
      <c r="H44" s="134">
        <v>0.25</v>
      </c>
    </row>
    <row r="45" spans="2:9" x14ac:dyDescent="0.3">
      <c r="B45" t="s">
        <v>303</v>
      </c>
      <c r="D45">
        <f>D43*(1- D44)</f>
        <v>805.27500000001555</v>
      </c>
      <c r="E45">
        <f t="shared" ref="E45:H45" si="9">E43*(1- E44)</f>
        <v>-2578.7700000000291</v>
      </c>
      <c r="F45">
        <f t="shared" si="9"/>
        <v>6555.5399999999936</v>
      </c>
      <c r="G45">
        <f t="shared" si="9"/>
        <v>-86.699999999990723</v>
      </c>
      <c r="H45">
        <f t="shared" si="9"/>
        <v>2801.3999999999992</v>
      </c>
    </row>
    <row r="47" spans="2:9" x14ac:dyDescent="0.3">
      <c r="B47" t="s">
        <v>302</v>
      </c>
      <c r="E47" s="85">
        <f>SUM(E40:E41)</f>
        <v>29239</v>
      </c>
      <c r="F47" s="85">
        <f t="shared" ref="F47:H47" si="10">SUM(F40:F41)</f>
        <v>12673</v>
      </c>
      <c r="G47" s="85">
        <f t="shared" si="10"/>
        <v>23197</v>
      </c>
      <c r="H47" s="85">
        <f t="shared" si="10"/>
        <v>19782</v>
      </c>
    </row>
    <row r="48" spans="2:9" x14ac:dyDescent="0.3">
      <c r="B48" t="s">
        <v>304</v>
      </c>
      <c r="E48" s="17">
        <f>E47/E45</f>
        <v>-11.338351229461979</v>
      </c>
      <c r="F48" s="17">
        <f t="shared" ref="F48:H48" si="11">F47/F45</f>
        <v>1.9331740787181548</v>
      </c>
      <c r="G48" s="17">
        <f t="shared" si="11"/>
        <v>-267.55478662055918</v>
      </c>
      <c r="H48" s="17">
        <f t="shared" si="11"/>
        <v>7.0614692653673181</v>
      </c>
      <c r="I48" s="17"/>
    </row>
    <row r="50" spans="7:8" x14ac:dyDescent="0.3">
      <c r="G50" t="s">
        <v>308</v>
      </c>
      <c r="H50" s="108">
        <f>AVERAGE(E48:H48)</f>
        <v>-67.474623626483933</v>
      </c>
    </row>
    <row r="51" spans="7:8" x14ac:dyDescent="0.3">
      <c r="G51" t="s">
        <v>309</v>
      </c>
      <c r="H51" s="108">
        <f>MEDIAN(E48:H48)</f>
        <v>-4.7025885753719123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DFDA-430A-4CA1-9DBC-69175A348584}">
  <dimension ref="B2:K42"/>
  <sheetViews>
    <sheetView showGridLines="0" workbookViewId="0">
      <selection activeCell="O18" sqref="O18"/>
    </sheetView>
  </sheetViews>
  <sheetFormatPr defaultRowHeight="14.4" x14ac:dyDescent="0.3"/>
  <cols>
    <col min="1" max="1" width="1.88671875" customWidth="1"/>
    <col min="5" max="5" width="11.5546875" bestFit="1" customWidth="1"/>
    <col min="6" max="11" width="9.44140625" bestFit="1" customWidth="1"/>
  </cols>
  <sheetData>
    <row r="2" spans="2:11" x14ac:dyDescent="0.3">
      <c r="F2">
        <v>0</v>
      </c>
      <c r="G2">
        <v>0.5</v>
      </c>
      <c r="H2">
        <v>1.5</v>
      </c>
      <c r="I2">
        <v>2.5</v>
      </c>
      <c r="J2">
        <v>3.5</v>
      </c>
      <c r="K2">
        <v>4.5</v>
      </c>
    </row>
    <row r="3" spans="2:11" x14ac:dyDescent="0.3">
      <c r="B3" s="135" t="s">
        <v>305</v>
      </c>
      <c r="C3" s="136"/>
      <c r="D3" s="136"/>
      <c r="E3" s="136"/>
      <c r="F3" s="137">
        <f>'Intrinsic Growth'!G2</f>
        <v>44621</v>
      </c>
      <c r="G3" s="137">
        <f>F3+365</f>
        <v>44986</v>
      </c>
      <c r="H3" s="137">
        <f t="shared" ref="H3:K3" si="0">G3+365</f>
        <v>45351</v>
      </c>
      <c r="I3" s="137">
        <f t="shared" si="0"/>
        <v>45716</v>
      </c>
      <c r="J3" s="137">
        <f t="shared" si="0"/>
        <v>46081</v>
      </c>
      <c r="K3" s="137">
        <f t="shared" si="0"/>
        <v>46446</v>
      </c>
    </row>
    <row r="5" spans="2:11" x14ac:dyDescent="0.3">
      <c r="B5" s="69" t="s">
        <v>295</v>
      </c>
      <c r="F5" s="16">
        <f>'Data Sheet'!K34-'Data Sheet'!K26</f>
        <v>2101.6800000000003</v>
      </c>
      <c r="G5" s="22">
        <f>F5*(1+$E$19)</f>
        <v>2395.9152000000004</v>
      </c>
      <c r="H5" s="22">
        <f t="shared" ref="H5:K5" si="1">G5*(1+$E$19)</f>
        <v>2731.3433280000008</v>
      </c>
      <c r="I5" s="22">
        <f t="shared" si="1"/>
        <v>3113.7313939200012</v>
      </c>
      <c r="J5" s="22">
        <f t="shared" si="1"/>
        <v>3549.6537890688019</v>
      </c>
      <c r="K5" s="22">
        <f t="shared" si="1"/>
        <v>4046.6053195384347</v>
      </c>
    </row>
    <row r="6" spans="2:11" x14ac:dyDescent="0.3">
      <c r="B6" s="69"/>
    </row>
    <row r="7" spans="2:11" x14ac:dyDescent="0.3">
      <c r="B7" s="69" t="s">
        <v>178</v>
      </c>
      <c r="F7" s="138">
        <v>0.25</v>
      </c>
      <c r="G7" s="102">
        <f>F7</f>
        <v>0.25</v>
      </c>
      <c r="H7" s="102">
        <f t="shared" ref="H7:K7" si="2">G7</f>
        <v>0.25</v>
      </c>
      <c r="I7" s="102">
        <f t="shared" si="2"/>
        <v>0.25</v>
      </c>
      <c r="J7" s="102">
        <f t="shared" si="2"/>
        <v>0.25</v>
      </c>
      <c r="K7" s="102">
        <f t="shared" si="2"/>
        <v>0.25</v>
      </c>
    </row>
    <row r="8" spans="2:11" x14ac:dyDescent="0.3">
      <c r="B8" s="69"/>
    </row>
    <row r="9" spans="2:11" x14ac:dyDescent="0.3">
      <c r="B9" s="69" t="s">
        <v>306</v>
      </c>
      <c r="F9" s="22">
        <f>F5*(1-F7)</f>
        <v>1576.2600000000002</v>
      </c>
      <c r="G9" s="22">
        <f t="shared" ref="G9:K9" si="3">G5*(1-G7)</f>
        <v>1796.9364000000003</v>
      </c>
      <c r="H9" s="22">
        <f t="shared" si="3"/>
        <v>2048.5074960000006</v>
      </c>
      <c r="I9" s="22">
        <f t="shared" si="3"/>
        <v>2335.2985454400009</v>
      </c>
      <c r="J9" s="22">
        <f t="shared" si="3"/>
        <v>2662.2403418016015</v>
      </c>
      <c r="K9" s="22">
        <f t="shared" si="3"/>
        <v>3034.9539896538263</v>
      </c>
    </row>
    <row r="10" spans="2:11" x14ac:dyDescent="0.3">
      <c r="B10" s="69"/>
    </row>
    <row r="11" spans="2:11" x14ac:dyDescent="0.3">
      <c r="B11" s="75" t="s">
        <v>307</v>
      </c>
      <c r="F11" s="99">
        <v>0.2555</v>
      </c>
      <c r="G11" s="108">
        <f>F11</f>
        <v>0.2555</v>
      </c>
      <c r="H11" s="108">
        <f t="shared" ref="H11:K11" si="4">G11</f>
        <v>0.2555</v>
      </c>
      <c r="I11" s="108">
        <f t="shared" si="4"/>
        <v>0.2555</v>
      </c>
      <c r="J11" s="108">
        <f t="shared" si="4"/>
        <v>0.2555</v>
      </c>
      <c r="K11" s="108">
        <f t="shared" si="4"/>
        <v>0.2555</v>
      </c>
    </row>
    <row r="12" spans="2:11" ht="15" thickBot="1" x14ac:dyDescent="0.35">
      <c r="B12" s="139"/>
      <c r="C12" s="139"/>
      <c r="D12" s="139"/>
      <c r="E12" s="139"/>
      <c r="F12" s="139"/>
      <c r="G12" s="139"/>
      <c r="H12" s="139"/>
      <c r="I12" s="139"/>
      <c r="J12" s="139"/>
      <c r="K12" s="139"/>
    </row>
    <row r="13" spans="2:11" ht="15" thickBot="1" x14ac:dyDescent="0.35">
      <c r="B13" s="140" t="s">
        <v>310</v>
      </c>
      <c r="C13" s="139"/>
      <c r="D13" s="139"/>
      <c r="E13" s="139"/>
      <c r="F13" s="141">
        <f>F9*(1-F11)</f>
        <v>1173.52557</v>
      </c>
      <c r="G13" s="141">
        <f t="shared" ref="G13:K13" si="5">G9*(1-G11)</f>
        <v>1337.8191498000001</v>
      </c>
      <c r="H13" s="141">
        <f t="shared" si="5"/>
        <v>1525.1138307720003</v>
      </c>
      <c r="I13" s="141">
        <f t="shared" si="5"/>
        <v>1738.6297670800805</v>
      </c>
      <c r="J13" s="141">
        <f t="shared" si="5"/>
        <v>1982.0379344712921</v>
      </c>
      <c r="K13" s="141">
        <f t="shared" si="5"/>
        <v>2259.5232452972737</v>
      </c>
    </row>
    <row r="14" spans="2:11" x14ac:dyDescent="0.3">
      <c r="B14" s="69"/>
      <c r="C14" s="69"/>
      <c r="D14" s="69"/>
      <c r="E14" s="69"/>
      <c r="F14" s="69"/>
      <c r="G14" s="69"/>
      <c r="H14" s="69"/>
      <c r="I14" s="69"/>
      <c r="J14" s="69"/>
      <c r="K14" s="69"/>
    </row>
    <row r="15" spans="2:11" x14ac:dyDescent="0.3">
      <c r="B15" s="75" t="s">
        <v>311</v>
      </c>
      <c r="C15" s="69"/>
      <c r="D15" s="69"/>
      <c r="E15" s="69"/>
      <c r="F15" s="142">
        <f>1/(1+$E$26)^F2</f>
        <v>1</v>
      </c>
      <c r="G15" s="150">
        <f t="shared" ref="G15:K15" si="6">1/(1+$E$26)^G2</f>
        <v>0.95506830720629887</v>
      </c>
      <c r="H15" s="150">
        <f t="shared" si="6"/>
        <v>0.8711707820075234</v>
      </c>
      <c r="I15" s="150">
        <f t="shared" si="6"/>
        <v>0.79464319535803185</v>
      </c>
      <c r="J15" s="150">
        <f t="shared" si="6"/>
        <v>0.72483813848037204</v>
      </c>
      <c r="K15" s="150">
        <f t="shared" si="6"/>
        <v>0.66116507391593882</v>
      </c>
    </row>
    <row r="16" spans="2:11" ht="15" thickBot="1" x14ac:dyDescent="0.35">
      <c r="B16" s="139"/>
      <c r="C16" s="139"/>
      <c r="D16" s="139"/>
      <c r="E16" s="139"/>
      <c r="F16" s="139"/>
      <c r="G16" s="139"/>
      <c r="H16" s="139"/>
      <c r="I16" s="139"/>
      <c r="J16" s="139"/>
      <c r="K16" s="139"/>
    </row>
    <row r="17" spans="2:11" ht="15" thickBot="1" x14ac:dyDescent="0.35">
      <c r="B17" s="140" t="s">
        <v>312</v>
      </c>
      <c r="C17" s="139"/>
      <c r="D17" s="139"/>
      <c r="E17" s="139"/>
      <c r="F17" s="141">
        <v>1613.11</v>
      </c>
      <c r="G17" s="141">
        <v>1777.82</v>
      </c>
      <c r="H17" s="141">
        <v>1788.32</v>
      </c>
      <c r="I17" s="141">
        <v>1798.88</v>
      </c>
      <c r="J17" s="141">
        <v>1809.51</v>
      </c>
      <c r="K17" s="141">
        <v>1820.2</v>
      </c>
    </row>
    <row r="18" spans="2:11" x14ac:dyDescent="0.3"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spans="2:11" x14ac:dyDescent="0.3">
      <c r="B19" s="143" t="s">
        <v>313</v>
      </c>
      <c r="C19" s="144"/>
      <c r="D19" s="144"/>
      <c r="E19" s="145">
        <v>0.14000000000000001</v>
      </c>
      <c r="F19" s="69"/>
      <c r="G19" s="69"/>
      <c r="H19" s="69"/>
      <c r="I19" s="69"/>
      <c r="J19" s="69"/>
      <c r="K19" s="69"/>
    </row>
    <row r="20" spans="2:11" x14ac:dyDescent="0.3">
      <c r="B20" s="143" t="s">
        <v>314</v>
      </c>
      <c r="C20" s="144"/>
      <c r="D20" s="144"/>
      <c r="E20" s="145">
        <v>6.5000000000000002E-2</v>
      </c>
      <c r="F20" s="69"/>
      <c r="G20" s="69"/>
      <c r="H20" s="69"/>
      <c r="I20" s="69"/>
      <c r="J20" s="69"/>
      <c r="K20" s="69"/>
    </row>
    <row r="21" spans="2:11" x14ac:dyDescent="0.3"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spans="2:11" x14ac:dyDescent="0.3"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 spans="2:11" x14ac:dyDescent="0.3">
      <c r="B23" s="135" t="s">
        <v>315</v>
      </c>
      <c r="C23" s="136"/>
      <c r="D23" s="136"/>
      <c r="E23" s="136"/>
      <c r="F23" s="69"/>
      <c r="G23" s="69"/>
      <c r="H23" s="69"/>
      <c r="I23" s="69"/>
      <c r="J23" s="69"/>
      <c r="K23" s="69"/>
    </row>
    <row r="24" spans="2:11" x14ac:dyDescent="0.3">
      <c r="B24" s="69"/>
      <c r="C24" s="69"/>
      <c r="D24" s="69"/>
      <c r="E24" s="69"/>
      <c r="F24" s="69"/>
      <c r="G24" s="69"/>
      <c r="H24" s="69"/>
      <c r="I24" s="69"/>
      <c r="J24" s="69"/>
      <c r="K24" s="69"/>
    </row>
    <row r="25" spans="2:11" x14ac:dyDescent="0.3">
      <c r="B25" s="75" t="s">
        <v>316</v>
      </c>
      <c r="C25" s="69"/>
      <c r="D25" s="69"/>
      <c r="E25" s="146">
        <f>K13*(1+E19)</f>
        <v>2575.8564996388923</v>
      </c>
      <c r="F25" s="69"/>
      <c r="G25" s="69"/>
      <c r="H25" s="69"/>
      <c r="I25" s="69"/>
      <c r="J25" s="69"/>
      <c r="K25" s="69"/>
    </row>
    <row r="26" spans="2:11" x14ac:dyDescent="0.3">
      <c r="B26" s="69" t="s">
        <v>255</v>
      </c>
      <c r="C26" s="69"/>
      <c r="D26" s="69"/>
      <c r="E26" s="70">
        <f>WACC!J43</f>
        <v>9.630433771601285E-2</v>
      </c>
      <c r="F26" s="69"/>
      <c r="G26" s="69"/>
      <c r="H26" s="69"/>
      <c r="I26" s="69"/>
      <c r="J26" s="69"/>
      <c r="K26" s="69"/>
    </row>
    <row r="27" spans="2:11" x14ac:dyDescent="0.3">
      <c r="B27" s="75" t="s">
        <v>317</v>
      </c>
      <c r="C27" s="69"/>
      <c r="D27" s="69"/>
      <c r="E27" s="70">
        <f>E20</f>
        <v>6.5000000000000002E-2</v>
      </c>
      <c r="F27" s="69"/>
      <c r="G27" s="69"/>
      <c r="H27" s="69"/>
      <c r="I27" s="69"/>
      <c r="J27" s="69"/>
      <c r="K27" s="69"/>
    </row>
    <row r="28" spans="2:11" ht="15" thickBot="1" x14ac:dyDescent="0.35">
      <c r="B28" s="139"/>
      <c r="C28" s="139"/>
      <c r="D28" s="139"/>
      <c r="E28" s="139"/>
      <c r="F28" s="69"/>
      <c r="G28" s="69"/>
      <c r="H28" s="69"/>
      <c r="I28" s="69"/>
      <c r="J28" s="69"/>
      <c r="K28" s="69"/>
    </row>
    <row r="29" spans="2:11" ht="15" thickBot="1" x14ac:dyDescent="0.35">
      <c r="B29" s="140" t="s">
        <v>318</v>
      </c>
      <c r="C29" s="139"/>
      <c r="D29" s="139"/>
      <c r="E29" s="147">
        <f>E25/(E26-E27)</f>
        <v>82284.331424181059</v>
      </c>
      <c r="F29" s="69"/>
      <c r="G29" s="69"/>
      <c r="H29" s="69"/>
      <c r="I29" s="69"/>
      <c r="J29" s="69"/>
      <c r="K29" s="69"/>
    </row>
    <row r="30" spans="2:11" x14ac:dyDescent="0.3">
      <c r="B30" s="69"/>
      <c r="C30" s="69"/>
      <c r="D30" s="69"/>
      <c r="E30" s="69"/>
      <c r="F30" s="69"/>
      <c r="G30" s="69"/>
      <c r="H30" s="69"/>
      <c r="I30" s="69"/>
      <c r="J30" s="69"/>
      <c r="K30" s="69"/>
    </row>
    <row r="31" spans="2:11" x14ac:dyDescent="0.3">
      <c r="B31" s="69"/>
      <c r="C31" s="69"/>
      <c r="D31" s="69"/>
      <c r="E31" s="69"/>
      <c r="F31" s="69"/>
      <c r="G31" s="69"/>
      <c r="H31" s="69"/>
      <c r="I31" s="69"/>
      <c r="J31" s="69"/>
      <c r="K31" s="69"/>
    </row>
    <row r="32" spans="2:11" x14ac:dyDescent="0.3">
      <c r="B32" s="135" t="s">
        <v>319</v>
      </c>
      <c r="C32" s="136"/>
      <c r="D32" s="136"/>
      <c r="E32" s="136"/>
      <c r="F32" s="69"/>
      <c r="G32" s="69"/>
      <c r="H32" s="69"/>
      <c r="I32" s="69"/>
      <c r="J32" s="69"/>
      <c r="K32" s="69"/>
    </row>
    <row r="33" spans="2:11" x14ac:dyDescent="0.3">
      <c r="B33" s="69"/>
      <c r="C33" s="69"/>
      <c r="D33" s="69"/>
      <c r="E33" s="69"/>
      <c r="F33" s="69"/>
      <c r="G33" s="69"/>
      <c r="H33" s="69"/>
      <c r="I33" s="69"/>
      <c r="J33" s="69"/>
      <c r="K33" s="69"/>
    </row>
    <row r="34" spans="2:11" x14ac:dyDescent="0.3">
      <c r="B34" s="75" t="s">
        <v>312</v>
      </c>
      <c r="C34" s="69"/>
      <c r="D34" s="69"/>
      <c r="E34" s="146">
        <f>SUM(G17:K17)</f>
        <v>8994.7300000000014</v>
      </c>
      <c r="F34" s="69"/>
      <c r="G34" s="69"/>
      <c r="H34" s="69"/>
      <c r="I34" s="69"/>
      <c r="J34" s="69"/>
      <c r="K34" s="69"/>
    </row>
    <row r="35" spans="2:11" x14ac:dyDescent="0.3">
      <c r="B35" s="75" t="s">
        <v>320</v>
      </c>
      <c r="C35" s="69"/>
      <c r="D35" s="69"/>
      <c r="E35" s="142">
        <f>E29*K15</f>
        <v>54403.526068192274</v>
      </c>
      <c r="F35" s="69"/>
      <c r="G35" s="69"/>
      <c r="H35" s="69"/>
      <c r="I35" s="69"/>
      <c r="J35" s="69"/>
      <c r="K35" s="69"/>
    </row>
    <row r="36" spans="2:11" x14ac:dyDescent="0.3">
      <c r="B36" s="148" t="s">
        <v>321</v>
      </c>
      <c r="C36" s="69"/>
      <c r="D36" s="69"/>
      <c r="E36" s="149">
        <f>SUM(E34:E35)</f>
        <v>63398.256068192277</v>
      </c>
      <c r="F36" s="69"/>
      <c r="G36" s="69"/>
      <c r="H36" s="69"/>
      <c r="I36" s="69"/>
      <c r="J36" s="69"/>
      <c r="K36" s="69"/>
    </row>
    <row r="37" spans="2:11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spans="2:11" x14ac:dyDescent="0.3">
      <c r="B38" s="75" t="s">
        <v>322</v>
      </c>
      <c r="C38" s="69"/>
      <c r="D38" s="69"/>
      <c r="E38" s="142">
        <f>'Raw FS'!N40</f>
        <v>37016</v>
      </c>
      <c r="F38" s="69"/>
      <c r="G38" s="69"/>
      <c r="H38" s="69"/>
      <c r="I38" s="69"/>
      <c r="J38" s="69"/>
      <c r="K38" s="69"/>
    </row>
    <row r="39" spans="2:11" x14ac:dyDescent="0.3">
      <c r="B39" s="75" t="s">
        <v>323</v>
      </c>
      <c r="C39" s="69"/>
      <c r="D39" s="69"/>
      <c r="E39" s="142">
        <f>SUM('Raw FS'!N8:N9)</f>
        <v>125661</v>
      </c>
      <c r="F39" s="69"/>
      <c r="G39" s="69"/>
      <c r="H39" s="69"/>
      <c r="I39" s="69"/>
      <c r="J39" s="69"/>
      <c r="K39" s="69"/>
    </row>
    <row r="40" spans="2:11" x14ac:dyDescent="0.3">
      <c r="B40" s="148" t="s">
        <v>324</v>
      </c>
      <c r="C40" s="69"/>
      <c r="D40" s="69"/>
      <c r="E40" s="149">
        <f>E36+E38-E39</f>
        <v>-25246.743931807723</v>
      </c>
      <c r="F40" s="69"/>
      <c r="G40" s="69"/>
      <c r="H40" s="69"/>
      <c r="I40" s="69"/>
      <c r="J40" s="69"/>
      <c r="K40" s="69"/>
    </row>
    <row r="41" spans="2:11" x14ac:dyDescent="0.3">
      <c r="B41" s="75" t="s">
        <v>325</v>
      </c>
      <c r="C41" s="69"/>
      <c r="D41" s="69"/>
      <c r="E41" s="151">
        <f>'Data Sheet'!B6</f>
        <v>358.58908869987852</v>
      </c>
      <c r="F41" s="69"/>
      <c r="G41" s="69"/>
      <c r="H41" s="69"/>
      <c r="I41" s="69"/>
      <c r="J41" s="69"/>
      <c r="K41" s="69"/>
    </row>
    <row r="42" spans="2:11" x14ac:dyDescent="0.3">
      <c r="B42" s="75" t="s">
        <v>326</v>
      </c>
      <c r="C42" s="69"/>
      <c r="D42" s="69"/>
      <c r="E42" s="151">
        <f>E40/E41</f>
        <v>-70.40577844502684</v>
      </c>
      <c r="F42" s="69"/>
      <c r="G42" s="69"/>
      <c r="H42" s="69"/>
      <c r="I42" s="69"/>
      <c r="J42" s="69"/>
      <c r="K42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E12-E142-48AD-908C-A9ADB1403414}">
  <dimension ref="A2:M107"/>
  <sheetViews>
    <sheetView showGridLines="0" workbookViewId="0">
      <pane ySplit="3" topLeftCell="A72" activePane="bottomLeft" state="frozen"/>
      <selection pane="bottomLeft" activeCell="F14" sqref="F14"/>
    </sheetView>
  </sheetViews>
  <sheetFormatPr defaultRowHeight="14.4" x14ac:dyDescent="0.3"/>
  <cols>
    <col min="1" max="1" width="1.88671875" customWidth="1"/>
    <col min="2" max="2" width="28.44140625" bestFit="1" customWidth="1"/>
    <col min="3" max="13" width="13" customWidth="1"/>
  </cols>
  <sheetData>
    <row r="2" spans="1:13" x14ac:dyDescent="0.3">
      <c r="B2" s="152" t="str">
        <f>"Historical Financial Statement - "&amp;'Data Sheet'!B1</f>
        <v>Historical Financial Statement - TATA MOTORS LTD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</row>
    <row r="3" spans="1:13" x14ac:dyDescent="0.3">
      <c r="B3" s="12" t="s">
        <v>56</v>
      </c>
      <c r="C3" s="13">
        <f>'Data Sheet'!B16</f>
        <v>41364</v>
      </c>
      <c r="D3" s="13">
        <f>'Data Sheet'!C16</f>
        <v>41729</v>
      </c>
      <c r="E3" s="13">
        <f>'Data Sheet'!D16</f>
        <v>42094</v>
      </c>
      <c r="F3" s="13">
        <f>'Data Sheet'!E16</f>
        <v>42460</v>
      </c>
      <c r="G3" s="13">
        <f>'Data Sheet'!F16</f>
        <v>42825</v>
      </c>
      <c r="H3" s="13">
        <f>'Data Sheet'!G16</f>
        <v>43190</v>
      </c>
      <c r="I3" s="13">
        <f>'Data Sheet'!H16</f>
        <v>43555</v>
      </c>
      <c r="J3" s="13">
        <f>'Data Sheet'!I16</f>
        <v>43921</v>
      </c>
      <c r="K3" s="13">
        <f>'Data Sheet'!J16</f>
        <v>44286</v>
      </c>
      <c r="L3" s="13">
        <f>'Data Sheet'!K16</f>
        <v>44651</v>
      </c>
      <c r="M3" s="14" t="s">
        <v>57</v>
      </c>
    </row>
    <row r="4" spans="1:13" x14ac:dyDescent="0.3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1:13" x14ac:dyDescent="0.3">
      <c r="A5" t="s">
        <v>59</v>
      </c>
      <c r="B5" s="26" t="s">
        <v>58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3">
      <c r="B6" t="s">
        <v>12</v>
      </c>
      <c r="C6" s="16">
        <f>IFERROR('Data Sheet'!B17,0)</f>
        <v>188792.69</v>
      </c>
      <c r="D6" s="16">
        <f>IFERROR('Data Sheet'!C17,0)</f>
        <v>232833.66</v>
      </c>
      <c r="E6" s="16">
        <f>IFERROR('Data Sheet'!D17,0)</f>
        <v>263158.98</v>
      </c>
      <c r="F6" s="16">
        <f>IFERROR('Data Sheet'!E17,0)</f>
        <v>273045.59999999998</v>
      </c>
      <c r="G6" s="16">
        <f>IFERROR('Data Sheet'!F17,0)</f>
        <v>269692.51</v>
      </c>
      <c r="H6" s="16">
        <f>IFERROR('Data Sheet'!G17,0)</f>
        <v>291550.48</v>
      </c>
      <c r="I6" s="16">
        <f>IFERROR('Data Sheet'!H17,0)</f>
        <v>301938.40000000002</v>
      </c>
      <c r="J6" s="16">
        <f>IFERROR('Data Sheet'!I17,0)</f>
        <v>261067.97</v>
      </c>
      <c r="K6" s="16">
        <f>IFERROR('Data Sheet'!J17,0)</f>
        <v>249794.75</v>
      </c>
      <c r="L6" s="16">
        <f>IFERROR('Data Sheet'!K17,0)</f>
        <v>278453.62</v>
      </c>
      <c r="M6" s="16">
        <f>IFERROR(SUM('Data Sheet'!H42:K42),0)</f>
        <v>302214.38</v>
      </c>
    </row>
    <row r="7" spans="1:13" x14ac:dyDescent="0.3">
      <c r="B7" s="19" t="s">
        <v>60</v>
      </c>
      <c r="C7" s="20" t="s">
        <v>61</v>
      </c>
      <c r="D7" s="21">
        <f>D6/C6-1</f>
        <v>0.23327688164197458</v>
      </c>
      <c r="E7" s="21">
        <f t="shared" ref="E7:M7" si="0">E6/D6-1</f>
        <v>0.13024457030826198</v>
      </c>
      <c r="F7" s="21">
        <f t="shared" si="0"/>
        <v>3.75690010654397E-2</v>
      </c>
      <c r="G7" s="21">
        <f t="shared" si="0"/>
        <v>-1.2280329732469508E-2</v>
      </c>
      <c r="H7" s="21">
        <f t="shared" si="0"/>
        <v>8.104774581985974E-2</v>
      </c>
      <c r="I7" s="21">
        <f t="shared" si="0"/>
        <v>3.5629919045237157E-2</v>
      </c>
      <c r="J7" s="21">
        <f t="shared" si="0"/>
        <v>-0.135360159555724</v>
      </c>
      <c r="K7" s="21">
        <f t="shared" si="0"/>
        <v>-4.3181168490336042E-2</v>
      </c>
      <c r="L7" s="21">
        <f t="shared" si="0"/>
        <v>0.11472967306158344</v>
      </c>
      <c r="M7" s="21">
        <f t="shared" si="0"/>
        <v>8.5331122648001578E-2</v>
      </c>
    </row>
    <row r="9" spans="1:13" x14ac:dyDescent="0.3">
      <c r="B9" t="s">
        <v>62</v>
      </c>
      <c r="C9" s="16">
        <f>IFERROR(SUM('Data Sheet'!B18,'Data Sheet'!B20:B22)-1*'Data Sheet'!B19,0)</f>
        <v>142238.74</v>
      </c>
      <c r="D9" s="16">
        <f>IFERROR(SUM('Data Sheet'!C18,'Data Sheet'!C20:C22)-1*'Data Sheet'!C19,0)</f>
        <v>180131.06000000003</v>
      </c>
      <c r="E9" s="16">
        <f>IFERROR(SUM('Data Sheet'!D18,'Data Sheet'!D20:D22)-1*'Data Sheet'!D19,0)</f>
        <v>202856.88</v>
      </c>
      <c r="F9" s="16">
        <f>IFERROR(SUM('Data Sheet'!E18,'Data Sheet'!E20:E22)-1*'Data Sheet'!E19,0)</f>
        <v>205509.07</v>
      </c>
      <c r="G9" s="16">
        <f>IFERROR(SUM('Data Sheet'!F18,'Data Sheet'!F20:F22)-1*'Data Sheet'!F19,0)</f>
        <v>205454.23999999996</v>
      </c>
      <c r="H9" s="16">
        <f>IFERROR(SUM('Data Sheet'!G18,'Data Sheet'!G20:G22)-1*'Data Sheet'!G19,0)</f>
        <v>228429.83</v>
      </c>
      <c r="I9" s="16">
        <f>IFERROR(SUM('Data Sheet'!H18,'Data Sheet'!H20:H22)-1*'Data Sheet'!H19,0)</f>
        <v>242845.53</v>
      </c>
      <c r="J9" s="16">
        <f>IFERROR(SUM('Data Sheet'!I18,'Data Sheet'!I20:I22)-1*'Data Sheet'!I19,0)</f>
        <v>210376.07000000004</v>
      </c>
      <c r="K9" s="16">
        <f>IFERROR(SUM('Data Sheet'!J18,'Data Sheet'!J20:J22)-1*'Data Sheet'!J19,0)</f>
        <v>195326.04</v>
      </c>
      <c r="L9" s="16">
        <f>IFERROR(SUM('Data Sheet'!K18,'Data Sheet'!K20:K22)-1*'Data Sheet'!K19,0)</f>
        <v>223300.00999999998</v>
      </c>
      <c r="M9" s="16">
        <f>IFERROR(SUM('Data Sheet'!H43:K43),0)</f>
        <v>278868.53000000003</v>
      </c>
    </row>
    <row r="10" spans="1:13" x14ac:dyDescent="0.3">
      <c r="B10" s="19" t="s">
        <v>63</v>
      </c>
      <c r="C10" s="21">
        <f>C9/C6</f>
        <v>0.75341232756416565</v>
      </c>
      <c r="D10" s="21">
        <f t="shared" ref="D10:M10" si="1">D9/D6</f>
        <v>0.77364698901353024</v>
      </c>
      <c r="E10" s="21">
        <f t="shared" si="1"/>
        <v>0.77085296500237244</v>
      </c>
      <c r="F10" s="21">
        <f t="shared" si="1"/>
        <v>0.75265475803309057</v>
      </c>
      <c r="G10" s="21">
        <f t="shared" si="1"/>
        <v>0.76180921746770036</v>
      </c>
      <c r="H10" s="21">
        <f t="shared" si="1"/>
        <v>0.78350009919380004</v>
      </c>
      <c r="I10" s="21">
        <f t="shared" si="1"/>
        <v>0.80428832503583503</v>
      </c>
      <c r="J10" s="21">
        <f t="shared" si="1"/>
        <v>0.80582872728508226</v>
      </c>
      <c r="K10" s="21">
        <f t="shared" si="1"/>
        <v>0.7819461377791167</v>
      </c>
      <c r="L10" s="21">
        <f t="shared" si="1"/>
        <v>0.80192891728252624</v>
      </c>
      <c r="M10" s="21">
        <f t="shared" si="1"/>
        <v>0.92275069770008966</v>
      </c>
    </row>
    <row r="12" spans="1:13" s="30" customFormat="1" x14ac:dyDescent="0.3">
      <c r="B12" s="30" t="s">
        <v>64</v>
      </c>
      <c r="C12" s="31">
        <f>C6-C9</f>
        <v>46553.950000000012</v>
      </c>
      <c r="D12" s="31">
        <f t="shared" ref="D12:M12" si="2">D6-D9</f>
        <v>52702.599999999977</v>
      </c>
      <c r="E12" s="31">
        <f t="shared" si="2"/>
        <v>60302.099999999977</v>
      </c>
      <c r="F12" s="31">
        <f t="shared" si="2"/>
        <v>67536.52999999997</v>
      </c>
      <c r="G12" s="31">
        <f t="shared" si="2"/>
        <v>64238.270000000048</v>
      </c>
      <c r="H12" s="31">
        <f t="shared" si="2"/>
        <v>63120.649999999994</v>
      </c>
      <c r="I12" s="31">
        <f t="shared" si="2"/>
        <v>59092.870000000024</v>
      </c>
      <c r="J12" s="31">
        <f t="shared" si="2"/>
        <v>50691.899999999965</v>
      </c>
      <c r="K12" s="31">
        <f t="shared" si="2"/>
        <v>54468.709999999992</v>
      </c>
      <c r="L12" s="31">
        <f t="shared" si="2"/>
        <v>55153.610000000015</v>
      </c>
      <c r="M12" s="31">
        <f t="shared" si="2"/>
        <v>23345.849999999977</v>
      </c>
    </row>
    <row r="13" spans="1:13" x14ac:dyDescent="0.3">
      <c r="B13" s="19" t="s">
        <v>70</v>
      </c>
      <c r="C13" s="21">
        <f>C12/C6</f>
        <v>0.24658767243583429</v>
      </c>
      <c r="D13" s="21">
        <f t="shared" ref="D13:M13" si="3">D12/D6</f>
        <v>0.22635301098646982</v>
      </c>
      <c r="E13" s="21">
        <f t="shared" si="3"/>
        <v>0.22914703499762759</v>
      </c>
      <c r="F13" s="21">
        <f t="shared" si="3"/>
        <v>0.24734524196690946</v>
      </c>
      <c r="G13" s="21">
        <f t="shared" si="3"/>
        <v>0.23819078253229964</v>
      </c>
      <c r="H13" s="21">
        <f t="shared" si="3"/>
        <v>0.21649990080619999</v>
      </c>
      <c r="I13" s="21">
        <f t="shared" si="3"/>
        <v>0.19571167496416494</v>
      </c>
      <c r="J13" s="21">
        <f t="shared" si="3"/>
        <v>0.19417127271491774</v>
      </c>
      <c r="K13" s="21">
        <f t="shared" si="3"/>
        <v>0.2180538622208833</v>
      </c>
      <c r="L13" s="21">
        <f t="shared" si="3"/>
        <v>0.19807108271747378</v>
      </c>
      <c r="M13" s="21">
        <f t="shared" si="3"/>
        <v>7.7249302299910338E-2</v>
      </c>
    </row>
    <row r="15" spans="1:13" x14ac:dyDescent="0.3">
      <c r="B15" t="s">
        <v>65</v>
      </c>
      <c r="C15" s="22">
        <f>IFERROR(SUM('Data Sheet'!B23:B24),0)</f>
        <v>21957.97</v>
      </c>
      <c r="D15" s="22">
        <f>IFERROR(SUM('Data Sheet'!C23:C24),0)</f>
        <v>17849.240000000002</v>
      </c>
      <c r="E15" s="22">
        <f>IFERROR(SUM('Data Sheet'!D23:D24),0)</f>
        <v>21063.449999999997</v>
      </c>
      <c r="F15" s="22">
        <f>IFERROR(SUM('Data Sheet'!E23:E24),0)</f>
        <v>29141.280000000002</v>
      </c>
      <c r="G15" s="22">
        <f>IFERROR(SUM('Data Sheet'!F23:F24),0)</f>
        <v>34649.58</v>
      </c>
      <c r="H15" s="22">
        <f>IFERROR(SUM('Data Sheet'!G23:G24),0)</f>
        <v>31662.97</v>
      </c>
      <c r="I15" s="22">
        <f>IFERROR(SUM('Data Sheet'!H23:H24),0)</f>
        <v>34428.54</v>
      </c>
      <c r="J15" s="22">
        <f>IFERROR(SUM('Data Sheet'!I23:I24),0)</f>
        <v>32704.83</v>
      </c>
      <c r="K15" s="22">
        <f>IFERROR(SUM('Data Sheet'!J23:J24),0)</f>
        <v>22181.280000000002</v>
      </c>
      <c r="L15" s="22">
        <f>IFERROR(SUM('Data Sheet'!K23:K24),0)</f>
        <v>30433.52</v>
      </c>
      <c r="M15" s="22"/>
    </row>
    <row r="16" spans="1:13" x14ac:dyDescent="0.3">
      <c r="B16" s="19" t="s">
        <v>66</v>
      </c>
      <c r="C16" s="21">
        <f>C15/C6</f>
        <v>0.11630731041546154</v>
      </c>
      <c r="D16" s="21">
        <f t="shared" ref="D16:M16" si="4">D15/D6</f>
        <v>7.6660908908102038E-2</v>
      </c>
      <c r="E16" s="21">
        <f t="shared" si="4"/>
        <v>8.0040779911823637E-2</v>
      </c>
      <c r="F16" s="21">
        <f t="shared" si="4"/>
        <v>0.10672678849247161</v>
      </c>
      <c r="G16" s="21">
        <f t="shared" si="4"/>
        <v>0.12847809529452636</v>
      </c>
      <c r="H16" s="21">
        <f t="shared" si="4"/>
        <v>0.10860201636437025</v>
      </c>
      <c r="I16" s="21">
        <f t="shared" si="4"/>
        <v>0.11402504616835751</v>
      </c>
      <c r="J16" s="21">
        <f t="shared" si="4"/>
        <v>0.12527323822987554</v>
      </c>
      <c r="K16" s="21">
        <f t="shared" si="4"/>
        <v>8.8798023177028354E-2</v>
      </c>
      <c r="L16" s="21">
        <f t="shared" si="4"/>
        <v>0.10929475436519734</v>
      </c>
      <c r="M16" s="21">
        <f t="shared" si="4"/>
        <v>0</v>
      </c>
    </row>
    <row r="18" spans="2:13" s="30" customFormat="1" x14ac:dyDescent="0.3">
      <c r="B18" s="30" t="s">
        <v>28</v>
      </c>
      <c r="C18" s="31">
        <f t="shared" ref="C18:L18" si="5">C12-C15</f>
        <v>24595.98000000001</v>
      </c>
      <c r="D18" s="31">
        <f t="shared" si="5"/>
        <v>34853.359999999971</v>
      </c>
      <c r="E18" s="31">
        <f t="shared" si="5"/>
        <v>39238.64999999998</v>
      </c>
      <c r="F18" s="31">
        <f t="shared" si="5"/>
        <v>38395.249999999971</v>
      </c>
      <c r="G18" s="31">
        <f t="shared" si="5"/>
        <v>29588.690000000046</v>
      </c>
      <c r="H18" s="31">
        <f t="shared" si="5"/>
        <v>31457.679999999993</v>
      </c>
      <c r="I18" s="31">
        <f t="shared" si="5"/>
        <v>24664.330000000024</v>
      </c>
      <c r="J18" s="31">
        <f t="shared" si="5"/>
        <v>17987.069999999963</v>
      </c>
      <c r="K18" s="31">
        <f t="shared" si="5"/>
        <v>32287.429999999989</v>
      </c>
      <c r="L18" s="31">
        <f t="shared" si="5"/>
        <v>24720.090000000015</v>
      </c>
      <c r="M18" s="31">
        <f>IFERROR(SUM('Data Sheet'!H51:K51),0)</f>
        <v>27983.82</v>
      </c>
    </row>
    <row r="19" spans="2:13" x14ac:dyDescent="0.3">
      <c r="B19" s="19" t="s">
        <v>67</v>
      </c>
      <c r="C19" s="21">
        <f>C18/C6</f>
        <v>0.13028036202037277</v>
      </c>
      <c r="D19" s="21">
        <f t="shared" ref="D19:M19" si="6">D18/D6</f>
        <v>0.14969210207836775</v>
      </c>
      <c r="E19" s="21">
        <f t="shared" si="6"/>
        <v>0.14910625508580397</v>
      </c>
      <c r="F19" s="21">
        <f t="shared" si="6"/>
        <v>0.14061845347443788</v>
      </c>
      <c r="G19" s="21">
        <f t="shared" si="6"/>
        <v>0.10971268723777329</v>
      </c>
      <c r="H19" s="21">
        <f t="shared" si="6"/>
        <v>0.10789788444182975</v>
      </c>
      <c r="I19" s="21">
        <f t="shared" si="6"/>
        <v>8.1686628795807431E-2</v>
      </c>
      <c r="J19" s="21">
        <f t="shared" si="6"/>
        <v>6.8898034485042198E-2</v>
      </c>
      <c r="K19" s="21">
        <f t="shared" si="6"/>
        <v>0.12925583904385496</v>
      </c>
      <c r="L19" s="21">
        <f t="shared" si="6"/>
        <v>8.877632835227646E-2</v>
      </c>
      <c r="M19" s="21">
        <f t="shared" si="6"/>
        <v>9.2595924786901276E-2</v>
      </c>
    </row>
    <row r="21" spans="2:13" x14ac:dyDescent="0.3">
      <c r="B21" t="s">
        <v>22</v>
      </c>
      <c r="C21" s="22">
        <f>IFERROR('Data Sheet'!B27,0)</f>
        <v>3560.25</v>
      </c>
      <c r="D21" s="22">
        <f>IFERROR('Data Sheet'!C27,0)</f>
        <v>4749.4399999999996</v>
      </c>
      <c r="E21" s="22">
        <f>IFERROR('Data Sheet'!D27,0)</f>
        <v>4861.49</v>
      </c>
      <c r="F21" s="22">
        <f>IFERROR('Data Sheet'!E27,0)</f>
        <v>4889.08</v>
      </c>
      <c r="G21" s="22">
        <f>IFERROR('Data Sheet'!F27,0)</f>
        <v>4238.01</v>
      </c>
      <c r="H21" s="22">
        <f>IFERROR('Data Sheet'!G27,0)</f>
        <v>4681.79</v>
      </c>
      <c r="I21" s="22">
        <f>IFERROR('Data Sheet'!H27,0)</f>
        <v>5758.6</v>
      </c>
      <c r="J21" s="22">
        <f>IFERROR('Data Sheet'!I27,0)</f>
        <v>7243.33</v>
      </c>
      <c r="K21" s="22">
        <f>IFERROR('Data Sheet'!J27,0)</f>
        <v>8097.17</v>
      </c>
      <c r="L21" s="22">
        <f>IFERROR('Data Sheet'!K27,0)</f>
        <v>9311.86</v>
      </c>
      <c r="M21" s="22">
        <f>IFERROR(SUM('Data Sheet'!H46:K46),0)</f>
        <v>9689.24</v>
      </c>
    </row>
    <row r="22" spans="2:13" x14ac:dyDescent="0.3">
      <c r="B22" s="19" t="s">
        <v>68</v>
      </c>
      <c r="C22" s="21">
        <f>C21/C6</f>
        <v>1.8857986503608801E-2</v>
      </c>
      <c r="D22" s="21">
        <f t="shared" ref="D22:M22" si="7">D21/D6</f>
        <v>2.0398425210512945E-2</v>
      </c>
      <c r="E22" s="21">
        <f t="shared" si="7"/>
        <v>1.8473585814932098E-2</v>
      </c>
      <c r="F22" s="21">
        <f t="shared" si="7"/>
        <v>1.7905727101993223E-2</v>
      </c>
      <c r="G22" s="21">
        <f t="shared" si="7"/>
        <v>1.5714229512714312E-2</v>
      </c>
      <c r="H22" s="21">
        <f t="shared" si="7"/>
        <v>1.605824830060304E-2</v>
      </c>
      <c r="I22" s="21">
        <f t="shared" si="7"/>
        <v>1.9072102124141878E-2</v>
      </c>
      <c r="J22" s="21">
        <f t="shared" si="7"/>
        <v>2.7744996829752802E-2</v>
      </c>
      <c r="K22" s="21">
        <f t="shared" si="7"/>
        <v>3.2415292955516477E-2</v>
      </c>
      <c r="L22" s="21">
        <f t="shared" si="7"/>
        <v>3.3441332168710897E-2</v>
      </c>
      <c r="M22" s="21">
        <f t="shared" si="7"/>
        <v>3.2060817225176376E-2</v>
      </c>
    </row>
    <row r="24" spans="2:13" x14ac:dyDescent="0.3">
      <c r="B24" t="s">
        <v>21</v>
      </c>
      <c r="C24" s="22">
        <f>IFERROR('Data Sheet'!B26,0)</f>
        <v>7601.28</v>
      </c>
      <c r="D24" s="22">
        <f>IFERROR('Data Sheet'!C26,0)</f>
        <v>11078.16</v>
      </c>
      <c r="E24" s="22">
        <f>IFERROR('Data Sheet'!D26,0)</f>
        <v>13388.63</v>
      </c>
      <c r="F24" s="22">
        <f>IFERROR('Data Sheet'!E26,0)</f>
        <v>16710.78</v>
      </c>
      <c r="G24" s="22">
        <f>IFERROR('Data Sheet'!F26,0)</f>
        <v>17904.990000000002</v>
      </c>
      <c r="H24" s="22">
        <f>IFERROR('Data Sheet'!G26,0)</f>
        <v>21553.59</v>
      </c>
      <c r="I24" s="22">
        <f>IFERROR('Data Sheet'!H26,0)</f>
        <v>23590.63</v>
      </c>
      <c r="J24" s="22">
        <f>IFERROR('Data Sheet'!I26,0)</f>
        <v>21425.43</v>
      </c>
      <c r="K24" s="22">
        <f>IFERROR('Data Sheet'!J26,0)</f>
        <v>23546.71</v>
      </c>
      <c r="L24" s="22">
        <f>IFERROR('Data Sheet'!K26,0)</f>
        <v>24835.69</v>
      </c>
      <c r="M24" s="22">
        <f>IFERROR(SUM('Data Sheet'!H45:K45),0)</f>
        <v>24248.62</v>
      </c>
    </row>
    <row r="25" spans="2:13" x14ac:dyDescent="0.3">
      <c r="B25" s="19" t="s">
        <v>69</v>
      </c>
      <c r="C25" s="21">
        <f>C24/C6</f>
        <v>4.0262575844435503E-2</v>
      </c>
      <c r="D25" s="21">
        <f t="shared" ref="D25:M25" si="8">D24/D6</f>
        <v>4.757971849946438E-2</v>
      </c>
      <c r="E25" s="21">
        <f t="shared" si="8"/>
        <v>5.0876584184966822E-2</v>
      </c>
      <c r="F25" s="21">
        <f t="shared" si="8"/>
        <v>6.1201425695927715E-2</v>
      </c>
      <c r="G25" s="21">
        <f t="shared" si="8"/>
        <v>6.63903865924938E-2</v>
      </c>
      <c r="H25" s="21">
        <f t="shared" si="8"/>
        <v>7.3927472182518786E-2</v>
      </c>
      <c r="I25" s="21">
        <f t="shared" si="8"/>
        <v>7.8130605447998658E-2</v>
      </c>
      <c r="J25" s="21">
        <f t="shared" si="8"/>
        <v>8.206839774331566E-2</v>
      </c>
      <c r="K25" s="21">
        <f t="shared" si="8"/>
        <v>9.4264230933596482E-2</v>
      </c>
      <c r="L25" s="21">
        <f t="shared" si="8"/>
        <v>8.9191478279219347E-2</v>
      </c>
      <c r="M25" s="21">
        <f t="shared" si="8"/>
        <v>8.0236486430592738E-2</v>
      </c>
    </row>
    <row r="27" spans="2:13" s="30" customFormat="1" x14ac:dyDescent="0.3">
      <c r="B27" s="30" t="s">
        <v>71</v>
      </c>
      <c r="C27" s="31">
        <f>IFERROR(C18-SUM(C24,C21),0)</f>
        <v>13434.450000000012</v>
      </c>
      <c r="D27" s="31">
        <f t="shared" ref="D27:M27" si="9">IFERROR(D18-SUM(D24,D21),0)</f>
        <v>19025.759999999973</v>
      </c>
      <c r="E27" s="31">
        <f t="shared" si="9"/>
        <v>20988.529999999981</v>
      </c>
      <c r="F27" s="31">
        <f t="shared" si="9"/>
        <v>16795.38999999997</v>
      </c>
      <c r="G27" s="31">
        <f t="shared" si="9"/>
        <v>7445.690000000046</v>
      </c>
      <c r="H27" s="31">
        <f t="shared" si="9"/>
        <v>5222.299999999992</v>
      </c>
      <c r="I27" s="31">
        <f t="shared" si="9"/>
        <v>-4684.8999999999796</v>
      </c>
      <c r="J27" s="31">
        <f t="shared" si="9"/>
        <v>-10681.690000000039</v>
      </c>
      <c r="K27" s="31">
        <f t="shared" si="9"/>
        <v>643.549999999992</v>
      </c>
      <c r="L27" s="31">
        <f t="shared" si="9"/>
        <v>-9427.4599999999882</v>
      </c>
      <c r="M27" s="31">
        <f t="shared" si="9"/>
        <v>-5954.0400000000009</v>
      </c>
    </row>
    <row r="28" spans="2:13" x14ac:dyDescent="0.3">
      <c r="B28" s="19" t="s">
        <v>72</v>
      </c>
      <c r="C28" s="21">
        <f>C27/C6</f>
        <v>7.115979967232848E-2</v>
      </c>
      <c r="D28" s="21">
        <f t="shared" ref="D28:M28" si="10">D27/D6</f>
        <v>8.1713958368390432E-2</v>
      </c>
      <c r="E28" s="21">
        <f t="shared" si="10"/>
        <v>7.9756085085905037E-2</v>
      </c>
      <c r="F28" s="21">
        <f t="shared" si="10"/>
        <v>6.1511300676516931E-2</v>
      </c>
      <c r="G28" s="21">
        <f t="shared" si="10"/>
        <v>2.7608071132565179E-2</v>
      </c>
      <c r="H28" s="21">
        <f t="shared" si="10"/>
        <v>1.7912163958707913E-2</v>
      </c>
      <c r="I28" s="21">
        <f t="shared" si="10"/>
        <v>-1.5516078776333117E-2</v>
      </c>
      <c r="J28" s="21">
        <f t="shared" si="10"/>
        <v>-4.0915360088026265E-2</v>
      </c>
      <c r="K28" s="21">
        <f t="shared" si="10"/>
        <v>2.5763151547420113E-3</v>
      </c>
      <c r="L28" s="21">
        <f t="shared" si="10"/>
        <v>-3.3856482095653805E-2</v>
      </c>
      <c r="M28" s="21">
        <f t="shared" si="10"/>
        <v>-1.9701378868867858E-2</v>
      </c>
    </row>
    <row r="30" spans="2:13" x14ac:dyDescent="0.3">
      <c r="B30" t="s">
        <v>24</v>
      </c>
      <c r="C30" s="16">
        <f>IFERROR('Data Sheet'!B29,0)</f>
        <v>3776.66</v>
      </c>
      <c r="D30" s="16">
        <f>IFERROR('Data Sheet'!C29,0)</f>
        <v>4764.79</v>
      </c>
      <c r="E30" s="16">
        <f>IFERROR('Data Sheet'!D29,0)</f>
        <v>7642.91</v>
      </c>
      <c r="F30" s="16">
        <f>IFERROR('Data Sheet'!E29,0)</f>
        <v>3025.05</v>
      </c>
      <c r="G30" s="16">
        <f>IFERROR('Data Sheet'!F29,0)</f>
        <v>3251.23</v>
      </c>
      <c r="H30" s="16">
        <f>IFERROR('Data Sheet'!G29,0)</f>
        <v>4341.93</v>
      </c>
      <c r="I30" s="16">
        <f>IFERROR('Data Sheet'!H29,0)</f>
        <v>-2437.4499999999998</v>
      </c>
      <c r="J30" s="16">
        <f>IFERROR('Data Sheet'!I29,0)</f>
        <v>395.25</v>
      </c>
      <c r="K30" s="16">
        <f>IFERROR('Data Sheet'!J29,0)</f>
        <v>2541.86</v>
      </c>
      <c r="L30" s="16">
        <f>IFERROR('Data Sheet'!K29,0)</f>
        <v>4231.29</v>
      </c>
      <c r="M30" s="16">
        <f>IFERROR(SUM('Data Sheet'!H48:K48),0)</f>
        <v>2546.15</v>
      </c>
    </row>
    <row r="31" spans="2:13" x14ac:dyDescent="0.3">
      <c r="B31" s="19" t="s">
        <v>27</v>
      </c>
      <c r="C31" s="21">
        <f>C30/C27</f>
        <v>0.28111757459367498</v>
      </c>
      <c r="D31" s="21">
        <f t="shared" ref="D31:M31" si="11">D30/D27</f>
        <v>0.25043887865714731</v>
      </c>
      <c r="E31" s="21">
        <f t="shared" si="11"/>
        <v>0.3641469888553418</v>
      </c>
      <c r="F31" s="21">
        <f t="shared" si="11"/>
        <v>0.18011192356950362</v>
      </c>
      <c r="G31" s="21">
        <f t="shared" si="11"/>
        <v>0.43665932908836924</v>
      </c>
      <c r="H31" s="21">
        <f t="shared" si="11"/>
        <v>0.8314210213890445</v>
      </c>
      <c r="I31" s="21">
        <f t="shared" si="11"/>
        <v>0.52027791414971725</v>
      </c>
      <c r="J31" s="21">
        <f t="shared" si="11"/>
        <v>-3.7002571690434617E-2</v>
      </c>
      <c r="K31" s="21">
        <f t="shared" si="11"/>
        <v>3.9497474943672315</v>
      </c>
      <c r="L31" s="21">
        <f t="shared" si="11"/>
        <v>-0.4488260888935095</v>
      </c>
      <c r="M31" s="21">
        <f t="shared" si="11"/>
        <v>-0.42763400984877492</v>
      </c>
    </row>
    <row r="33" spans="1:13" x14ac:dyDescent="0.3">
      <c r="B33" t="s">
        <v>73</v>
      </c>
      <c r="C33" s="16">
        <f>IFERROR(C27-C30,0)</f>
        <v>9657.7900000000118</v>
      </c>
      <c r="D33" s="16">
        <f t="shared" ref="D33:M33" si="12">IFERROR(D27-D30,0)</f>
        <v>14260.969999999972</v>
      </c>
      <c r="E33" s="16">
        <f t="shared" si="12"/>
        <v>13345.619999999981</v>
      </c>
      <c r="F33" s="16">
        <f t="shared" si="12"/>
        <v>13770.339999999971</v>
      </c>
      <c r="G33" s="16">
        <f t="shared" si="12"/>
        <v>4194.4600000000464</v>
      </c>
      <c r="H33" s="16">
        <f t="shared" si="12"/>
        <v>880.36999999999171</v>
      </c>
      <c r="I33" s="16">
        <f t="shared" si="12"/>
        <v>-2247.4499999999798</v>
      </c>
      <c r="J33" s="16">
        <f t="shared" si="12"/>
        <v>-11076.940000000039</v>
      </c>
      <c r="K33" s="16">
        <f t="shared" si="12"/>
        <v>-1898.3100000000081</v>
      </c>
      <c r="L33" s="16">
        <f t="shared" si="12"/>
        <v>-13658.749999999989</v>
      </c>
      <c r="M33" s="16">
        <f t="shared" si="12"/>
        <v>-8500.19</v>
      </c>
    </row>
    <row r="34" spans="1:13" x14ac:dyDescent="0.3">
      <c r="B34" s="19" t="s">
        <v>74</v>
      </c>
      <c r="C34" s="21">
        <f>C33/C6</f>
        <v>5.1155529379871709E-2</v>
      </c>
      <c r="D34" s="21">
        <f t="shared" ref="D34:M34" si="13">D33/D6</f>
        <v>6.124960626397391E-2</v>
      </c>
      <c r="E34" s="21">
        <f t="shared" si="13"/>
        <v>5.0713146858982282E-2</v>
      </c>
      <c r="F34" s="21">
        <f t="shared" si="13"/>
        <v>5.0432381990407359E-2</v>
      </c>
      <c r="G34" s="21">
        <f t="shared" si="13"/>
        <v>1.5552749314395296E-2</v>
      </c>
      <c r="H34" s="21">
        <f t="shared" si="13"/>
        <v>3.01961430487095E-3</v>
      </c>
      <c r="I34" s="21">
        <f t="shared" si="13"/>
        <v>-7.4434056747998256E-3</v>
      </c>
      <c r="J34" s="21">
        <f t="shared" si="13"/>
        <v>-4.2429333632923408E-2</v>
      </c>
      <c r="K34" s="21">
        <f t="shared" si="13"/>
        <v>-7.5994791724005731E-3</v>
      </c>
      <c r="L34" s="21">
        <f t="shared" si="13"/>
        <v>-4.9052154538339235E-2</v>
      </c>
      <c r="M34" s="21">
        <f t="shared" si="13"/>
        <v>-2.812635851411174E-2</v>
      </c>
    </row>
    <row r="36" spans="1:13" x14ac:dyDescent="0.3">
      <c r="B36" t="s">
        <v>75</v>
      </c>
      <c r="C36">
        <f>IFERROR('Data Sheet'!B93,0)</f>
        <v>285.72000000000003</v>
      </c>
      <c r="D36">
        <f>IFERROR('Data Sheet'!C93,0)</f>
        <v>288.74</v>
      </c>
      <c r="E36">
        <f>IFERROR('Data Sheet'!D93,0)</f>
        <v>288.74</v>
      </c>
      <c r="F36">
        <f>IFERROR('Data Sheet'!E93,0)</f>
        <v>288.72000000000003</v>
      </c>
      <c r="G36">
        <f>IFERROR('Data Sheet'!F93,0)</f>
        <v>288.73</v>
      </c>
      <c r="H36">
        <f>IFERROR('Data Sheet'!G93,0)</f>
        <v>288.73</v>
      </c>
      <c r="I36">
        <f>IFERROR('Data Sheet'!H93,0)</f>
        <v>288.73</v>
      </c>
      <c r="J36">
        <f>IFERROR('Data Sheet'!I93,0)</f>
        <v>308.89999999999998</v>
      </c>
      <c r="K36">
        <f>IFERROR('Data Sheet'!J93,0)</f>
        <v>332.03</v>
      </c>
      <c r="L36">
        <f>IFERROR('Data Sheet'!K93,0)</f>
        <v>332.07</v>
      </c>
      <c r="M36">
        <f>L36</f>
        <v>332.07</v>
      </c>
    </row>
    <row r="37" spans="1:13" x14ac:dyDescent="0.3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x14ac:dyDescent="0.3">
      <c r="B38" t="s">
        <v>77</v>
      </c>
      <c r="C38" s="22">
        <f>IFERROR(C33/C36,0)</f>
        <v>33.80158896822067</v>
      </c>
      <c r="D38" s="22">
        <f t="shared" ref="D38:M38" si="14">IFERROR(D33/D36,0)</f>
        <v>49.390351180993186</v>
      </c>
      <c r="E38" s="22">
        <f t="shared" si="14"/>
        <v>46.220198102098706</v>
      </c>
      <c r="F38" s="22">
        <f t="shared" si="14"/>
        <v>47.694444444444336</v>
      </c>
      <c r="G38" s="22">
        <f t="shared" si="14"/>
        <v>14.527274616423808</v>
      </c>
      <c r="H38" s="22">
        <f t="shared" si="14"/>
        <v>3.049111626779315</v>
      </c>
      <c r="I38" s="22">
        <f t="shared" si="14"/>
        <v>-7.7839157690575265</v>
      </c>
      <c r="J38" s="22">
        <f t="shared" si="14"/>
        <v>-35.859307219164904</v>
      </c>
      <c r="K38" s="22">
        <f t="shared" si="14"/>
        <v>-5.7172845827184542</v>
      </c>
      <c r="L38" s="22">
        <f t="shared" si="14"/>
        <v>-41.132140813683833</v>
      </c>
      <c r="M38" s="22">
        <f t="shared" si="14"/>
        <v>-25.597584846568498</v>
      </c>
    </row>
    <row r="39" spans="1:13" x14ac:dyDescent="0.3">
      <c r="B39" s="19" t="s">
        <v>78</v>
      </c>
      <c r="C39" s="21"/>
      <c r="D39" s="21">
        <f>IFERROR(D38/C38-1,0)</f>
        <v>0.46118430194002547</v>
      </c>
      <c r="E39" s="21">
        <f t="shared" ref="E39:M39" si="15">IFERROR(E38/D38-1,0)</f>
        <v>-6.4185676009415493E-2</v>
      </c>
      <c r="F39" s="21">
        <f t="shared" si="15"/>
        <v>3.189614936502605E-2</v>
      </c>
      <c r="G39" s="21">
        <f t="shared" si="15"/>
        <v>-0.69540950134463697</v>
      </c>
      <c r="H39" s="21">
        <f t="shared" si="15"/>
        <v>-0.79011124197155724</v>
      </c>
      <c r="I39" s="21">
        <f t="shared" si="15"/>
        <v>-3.5528470983790919</v>
      </c>
      <c r="J39" s="21">
        <f t="shared" si="15"/>
        <v>3.6068467700681115</v>
      </c>
      <c r="K39" s="21">
        <f t="shared" si="15"/>
        <v>-0.84056344011958861</v>
      </c>
      <c r="L39" s="21">
        <f t="shared" si="15"/>
        <v>6.194349033807641</v>
      </c>
      <c r="M39" s="21">
        <f t="shared" si="15"/>
        <v>-0.37767438455202651</v>
      </c>
    </row>
    <row r="41" spans="1:13" x14ac:dyDescent="0.3">
      <c r="B41" t="s">
        <v>76</v>
      </c>
      <c r="C41" s="16">
        <f>IFERROR('Data Sheet'!B31/HistoricalFS!C36,0)</f>
        <v>2.2332003359932799</v>
      </c>
      <c r="D41" s="16">
        <f>IFERROR('Data Sheet'!C31/HistoricalFS!D36,0)</f>
        <v>2.2296183417607534</v>
      </c>
      <c r="E41" s="16">
        <f>IFERROR('Data Sheet'!D31/HistoricalFS!E36,0)</f>
        <v>0</v>
      </c>
      <c r="F41" s="16">
        <f>IFERROR('Data Sheet'!E31/HistoricalFS!F36,0)</f>
        <v>0.23524522028262676</v>
      </c>
      <c r="G41" s="16">
        <f>IFERROR('Data Sheet'!F31/HistoricalFS!G36,0)</f>
        <v>0</v>
      </c>
      <c r="H41" s="16">
        <f>IFERROR('Data Sheet'!G31/HistoricalFS!H36,0)</f>
        <v>0</v>
      </c>
      <c r="I41" s="16">
        <f>IFERROR('Data Sheet'!H31/HistoricalFS!I36,0)</f>
        <v>0</v>
      </c>
      <c r="J41" s="16">
        <f>IFERROR('Data Sheet'!I31/HistoricalFS!J36,0)</f>
        <v>0</v>
      </c>
      <c r="K41" s="16">
        <f>IFERROR('Data Sheet'!J31/HistoricalFS!K36,0)</f>
        <v>0</v>
      </c>
      <c r="L41" s="16">
        <f>IFERROR('Data Sheet'!K31/HistoricalFS!L36,0)</f>
        <v>0</v>
      </c>
      <c r="M41" s="16">
        <f>IFERROR('Data Sheet'!L31/HistoricalFS!M36,0)</f>
        <v>0</v>
      </c>
    </row>
    <row r="42" spans="1:13" x14ac:dyDescent="0.3">
      <c r="B42" s="19" t="s">
        <v>79</v>
      </c>
      <c r="C42" s="21">
        <f>IFERROR(C41/C38,0)</f>
        <v>6.6067909946271278E-2</v>
      </c>
      <c r="D42" s="21">
        <f t="shared" ref="D42:M42" si="16">IFERROR(D41/D38,0)</f>
        <v>4.5142791829728357E-2</v>
      </c>
      <c r="E42" s="21">
        <f t="shared" si="16"/>
        <v>0</v>
      </c>
      <c r="F42" s="21">
        <f t="shared" si="16"/>
        <v>4.9323400874633563E-3</v>
      </c>
      <c r="G42" s="21">
        <f t="shared" si="16"/>
        <v>0</v>
      </c>
      <c r="H42" s="21">
        <f t="shared" si="16"/>
        <v>0</v>
      </c>
      <c r="I42" s="21">
        <f t="shared" si="16"/>
        <v>0</v>
      </c>
      <c r="J42" s="21">
        <f t="shared" si="16"/>
        <v>0</v>
      </c>
      <c r="K42" s="21">
        <f t="shared" si="16"/>
        <v>0</v>
      </c>
      <c r="L42" s="21">
        <f t="shared" si="16"/>
        <v>0</v>
      </c>
      <c r="M42" s="21">
        <f t="shared" si="16"/>
        <v>0</v>
      </c>
    </row>
    <row r="44" spans="1:13" x14ac:dyDescent="0.3">
      <c r="B44" t="s">
        <v>80</v>
      </c>
      <c r="C44" s="17">
        <f>IFERROR(IF(C38&gt;C41,1-C42,0),0)</f>
        <v>0.93393209005372868</v>
      </c>
      <c r="D44" s="17">
        <f t="shared" ref="D44:M44" si="17">IFERROR(IF(D38&gt;D41,1-D42,0),0)</f>
        <v>0.95485720817027164</v>
      </c>
      <c r="E44" s="17">
        <f t="shared" si="17"/>
        <v>1</v>
      </c>
      <c r="F44" s="17">
        <f t="shared" si="17"/>
        <v>0.99506765991253665</v>
      </c>
      <c r="G44" s="17">
        <f t="shared" si="17"/>
        <v>1</v>
      </c>
      <c r="H44" s="17">
        <f t="shared" si="17"/>
        <v>1</v>
      </c>
      <c r="I44" s="17">
        <f t="shared" si="17"/>
        <v>0</v>
      </c>
      <c r="J44" s="17">
        <f t="shared" si="17"/>
        <v>0</v>
      </c>
      <c r="K44" s="17">
        <f t="shared" si="17"/>
        <v>0</v>
      </c>
      <c r="L44" s="17">
        <f t="shared" si="17"/>
        <v>0</v>
      </c>
      <c r="M44" s="17">
        <f t="shared" si="17"/>
        <v>0</v>
      </c>
    </row>
    <row r="46" spans="1:13" x14ac:dyDescent="0.3">
      <c r="A46" t="s">
        <v>59</v>
      </c>
      <c r="B46" s="26" t="s">
        <v>81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 x14ac:dyDescent="0.3">
      <c r="B47" t="s">
        <v>33</v>
      </c>
      <c r="C47" s="16">
        <f>IFERROR('Data Sheet'!B57,0)</f>
        <v>638.07000000000005</v>
      </c>
      <c r="D47" s="16">
        <f>IFERROR('Data Sheet'!C57,0)</f>
        <v>643.78</v>
      </c>
      <c r="E47" s="16">
        <f>IFERROR('Data Sheet'!D57,0)</f>
        <v>643.78</v>
      </c>
      <c r="F47" s="16">
        <f>IFERROR('Data Sheet'!E57,0)</f>
        <v>679.18</v>
      </c>
      <c r="G47" s="16">
        <f>IFERROR('Data Sheet'!F57,0)</f>
        <v>679.22</v>
      </c>
      <c r="H47" s="16">
        <f>IFERROR('Data Sheet'!G57,0)</f>
        <v>679.22</v>
      </c>
      <c r="I47" s="16">
        <f>IFERROR('Data Sheet'!H57,0)</f>
        <v>679.22</v>
      </c>
      <c r="J47" s="16">
        <f>IFERROR('Data Sheet'!I57,0)</f>
        <v>719.54</v>
      </c>
      <c r="K47" s="16">
        <f>IFERROR('Data Sheet'!J57,0)</f>
        <v>765.81</v>
      </c>
      <c r="L47" s="16">
        <f>IFERROR('Data Sheet'!K57,0)</f>
        <v>765.88</v>
      </c>
    </row>
    <row r="48" spans="1:13" x14ac:dyDescent="0.3">
      <c r="B48" t="s">
        <v>34</v>
      </c>
      <c r="C48" s="16">
        <f>IFERROR('Data Sheet'!B58,0)</f>
        <v>36999.230000000003</v>
      </c>
      <c r="D48" s="16">
        <f>IFERROR('Data Sheet'!C58,0)</f>
        <v>64959.67</v>
      </c>
      <c r="E48" s="16">
        <f>IFERROR('Data Sheet'!D58,0)</f>
        <v>55618.14</v>
      </c>
      <c r="F48" s="16">
        <f>IFERROR('Data Sheet'!E58,0)</f>
        <v>78273.23</v>
      </c>
      <c r="G48" s="16">
        <f>IFERROR('Data Sheet'!F58,0)</f>
        <v>57382.67</v>
      </c>
      <c r="H48" s="16">
        <f>IFERROR('Data Sheet'!G58,0)</f>
        <v>94748.69</v>
      </c>
      <c r="I48" s="16">
        <f>IFERROR('Data Sheet'!H58,0)</f>
        <v>59500.34</v>
      </c>
      <c r="J48" s="16">
        <f>IFERROR('Data Sheet'!I58,0)</f>
        <v>61491.49</v>
      </c>
      <c r="K48" s="16">
        <f>IFERROR('Data Sheet'!J58,0)</f>
        <v>54480.91</v>
      </c>
      <c r="L48" s="16">
        <f>IFERROR('Data Sheet'!K58,0)</f>
        <v>43795.360000000001</v>
      </c>
    </row>
    <row r="49" spans="2:13" x14ac:dyDescent="0.3">
      <c r="B49" t="s">
        <v>35</v>
      </c>
      <c r="C49" s="16">
        <f>IFERROR('Data Sheet'!B59,0)</f>
        <v>53715.71</v>
      </c>
      <c r="D49" s="16">
        <f>IFERROR('Data Sheet'!C59,0)</f>
        <v>60642.28</v>
      </c>
      <c r="E49" s="16">
        <f>IFERROR('Data Sheet'!D59,0)</f>
        <v>73610.39</v>
      </c>
      <c r="F49" s="16">
        <f>IFERROR('Data Sheet'!E59,0)</f>
        <v>69359.960000000006</v>
      </c>
      <c r="G49" s="16">
        <f>IFERROR('Data Sheet'!F59,0)</f>
        <v>78603.98</v>
      </c>
      <c r="H49" s="16">
        <f>IFERROR('Data Sheet'!G59,0)</f>
        <v>88950.47</v>
      </c>
      <c r="I49" s="16">
        <f>IFERROR('Data Sheet'!H59,0)</f>
        <v>106175.34</v>
      </c>
      <c r="J49" s="16">
        <f>IFERROR('Data Sheet'!I59,0)</f>
        <v>124787.64</v>
      </c>
      <c r="K49" s="16">
        <f>IFERROR('Data Sheet'!J59,0)</f>
        <v>142130.57</v>
      </c>
      <c r="L49" s="16">
        <f>IFERROR('Data Sheet'!K59,0)</f>
        <v>146449.03</v>
      </c>
    </row>
    <row r="50" spans="2:13" x14ac:dyDescent="0.3">
      <c r="B50" t="s">
        <v>36</v>
      </c>
      <c r="C50" s="16">
        <f>IFERROR('Data Sheet'!B60,0)</f>
        <v>76977.02</v>
      </c>
      <c r="D50" s="16">
        <f>IFERROR('Data Sheet'!C60,0)</f>
        <v>92180.26</v>
      </c>
      <c r="E50" s="16">
        <f>IFERROR('Data Sheet'!D60,0)</f>
        <v>107442.48</v>
      </c>
      <c r="F50" s="16">
        <f>IFERROR('Data Sheet'!E60,0)</f>
        <v>114871.75</v>
      </c>
      <c r="G50" s="16">
        <f>IFERROR('Data Sheet'!F60,0)</f>
        <v>135914.49</v>
      </c>
      <c r="H50" s="16">
        <f>IFERROR('Data Sheet'!G60,0)</f>
        <v>142813.43</v>
      </c>
      <c r="I50" s="16">
        <f>IFERROR('Data Sheet'!H60,0)</f>
        <v>139348.59</v>
      </c>
      <c r="J50" s="16">
        <f>IFERROR('Data Sheet'!I60,0)</f>
        <v>133180.72</v>
      </c>
      <c r="K50" s="16">
        <f>IFERROR('Data Sheet'!J60,0)</f>
        <v>144192.62</v>
      </c>
      <c r="L50" s="16">
        <f>IFERROR('Data Sheet'!K60,0)</f>
        <v>138051.22</v>
      </c>
    </row>
    <row r="51" spans="2:13" x14ac:dyDescent="0.3">
      <c r="B51" s="15" t="s">
        <v>82</v>
      </c>
      <c r="C51" s="28">
        <f>IFERROR('Data Sheet'!B61,0)</f>
        <v>168330.03</v>
      </c>
      <c r="D51" s="28">
        <f>IFERROR('Data Sheet'!C61,0)</f>
        <v>218425.99</v>
      </c>
      <c r="E51" s="28">
        <f>IFERROR('Data Sheet'!D61,0)</f>
        <v>237314.79</v>
      </c>
      <c r="F51" s="28">
        <f>IFERROR('Data Sheet'!E61,0)</f>
        <v>263184.12</v>
      </c>
      <c r="G51" s="28">
        <f>IFERROR('Data Sheet'!F61,0)</f>
        <v>272580.36</v>
      </c>
      <c r="H51" s="28">
        <f>IFERROR('Data Sheet'!G61,0)</f>
        <v>327191.81</v>
      </c>
      <c r="I51" s="28">
        <f>IFERROR('Data Sheet'!H61,0)</f>
        <v>305703.49</v>
      </c>
      <c r="J51" s="28">
        <f>IFERROR('Data Sheet'!I61,0)</f>
        <v>320179.39</v>
      </c>
      <c r="K51" s="28">
        <f>IFERROR('Data Sheet'!J61,0)</f>
        <v>341569.91</v>
      </c>
      <c r="L51" s="28">
        <f>IFERROR('Data Sheet'!K61,0)</f>
        <v>329061.49</v>
      </c>
      <c r="M51" s="15"/>
    </row>
    <row r="53" spans="2:13" x14ac:dyDescent="0.3">
      <c r="B53" t="s">
        <v>83</v>
      </c>
      <c r="C53" s="16">
        <f>IFERROR('Data Sheet'!B62,0)</f>
        <v>55511.73</v>
      </c>
      <c r="D53" s="16">
        <f>IFERROR('Data Sheet'!C62,0)</f>
        <v>69091.67</v>
      </c>
      <c r="E53" s="16">
        <f>IFERROR('Data Sheet'!D62,0)</f>
        <v>88479.49</v>
      </c>
      <c r="F53" s="16">
        <f>IFERROR('Data Sheet'!E62,0)</f>
        <v>107231.76</v>
      </c>
      <c r="G53" s="16">
        <f>IFERROR('Data Sheet'!F62,0)</f>
        <v>95944.08</v>
      </c>
      <c r="H53" s="16">
        <f>IFERROR('Data Sheet'!G62,0)</f>
        <v>121413.86</v>
      </c>
      <c r="I53" s="16">
        <f>IFERROR('Data Sheet'!H62,0)</f>
        <v>111234.47</v>
      </c>
      <c r="J53" s="16">
        <f>IFERROR('Data Sheet'!I62,0)</f>
        <v>127107.14</v>
      </c>
      <c r="K53" s="16">
        <f>IFERROR('Data Sheet'!J62,0)</f>
        <v>138707.60999999999</v>
      </c>
      <c r="L53" s="16">
        <f>IFERROR('Data Sheet'!K62,0)</f>
        <v>138855.45000000001</v>
      </c>
    </row>
    <row r="54" spans="2:13" x14ac:dyDescent="0.3">
      <c r="B54" t="s">
        <v>39</v>
      </c>
      <c r="C54" s="16">
        <f>IFERROR('Data Sheet'!B63,0)</f>
        <v>18453.55</v>
      </c>
      <c r="D54" s="16">
        <f>IFERROR('Data Sheet'!C63,0)</f>
        <v>33262.559999999998</v>
      </c>
      <c r="E54" s="16">
        <f>IFERROR('Data Sheet'!D63,0)</f>
        <v>28640.09</v>
      </c>
      <c r="F54" s="16">
        <f>IFERROR('Data Sheet'!E63,0)</f>
        <v>25918.94</v>
      </c>
      <c r="G54" s="16">
        <f>IFERROR('Data Sheet'!F63,0)</f>
        <v>33698.839999999997</v>
      </c>
      <c r="H54" s="16">
        <f>IFERROR('Data Sheet'!G63,0)</f>
        <v>40033.5</v>
      </c>
      <c r="I54" s="16">
        <f>IFERROR('Data Sheet'!H63,0)</f>
        <v>31883.84</v>
      </c>
      <c r="J54" s="16">
        <f>IFERROR('Data Sheet'!I63,0)</f>
        <v>35622.29</v>
      </c>
      <c r="K54" s="16">
        <f>IFERROR('Data Sheet'!J63,0)</f>
        <v>20963.93</v>
      </c>
      <c r="L54" s="16">
        <f>IFERROR('Data Sheet'!K63,0)</f>
        <v>10251.09</v>
      </c>
    </row>
    <row r="55" spans="2:13" x14ac:dyDescent="0.3">
      <c r="B55" t="s">
        <v>40</v>
      </c>
      <c r="C55" s="16">
        <f>IFERROR('Data Sheet'!B64,0)</f>
        <v>8764.73</v>
      </c>
      <c r="D55" s="16">
        <f>IFERROR('Data Sheet'!C64,0)</f>
        <v>10686.67</v>
      </c>
      <c r="E55" s="16">
        <f>IFERROR('Data Sheet'!D64,0)</f>
        <v>15336.74</v>
      </c>
      <c r="F55" s="16">
        <f>IFERROR('Data Sheet'!E64,0)</f>
        <v>23767.02</v>
      </c>
      <c r="G55" s="16">
        <f>IFERROR('Data Sheet'!F64,0)</f>
        <v>20337.919999999998</v>
      </c>
      <c r="H55" s="16">
        <f>IFERROR('Data Sheet'!G64,0)</f>
        <v>20812.75</v>
      </c>
      <c r="I55" s="16">
        <f>IFERROR('Data Sheet'!H64,0)</f>
        <v>15770.72</v>
      </c>
      <c r="J55" s="16">
        <f>IFERROR('Data Sheet'!I64,0)</f>
        <v>16308.48</v>
      </c>
      <c r="K55" s="16">
        <f>IFERROR('Data Sheet'!J64,0)</f>
        <v>24620.28</v>
      </c>
      <c r="L55" s="16">
        <f>IFERROR('Data Sheet'!K64,0)</f>
        <v>29379.53</v>
      </c>
    </row>
    <row r="56" spans="2:13" x14ac:dyDescent="0.3">
      <c r="B56" t="s">
        <v>41</v>
      </c>
      <c r="C56" s="16">
        <f>IFERROR('Data Sheet'!B65-SUM('Data Sheet'!B67:B69),0)</f>
        <v>32488.780000000006</v>
      </c>
      <c r="D56" s="16">
        <f>IFERROR('Data Sheet'!C65-SUM('Data Sheet'!C67:C69),0)</f>
        <v>37828.179999999993</v>
      </c>
      <c r="E56" s="16">
        <f>IFERROR('Data Sheet'!D65-SUM('Data Sheet'!D67:D69),0)</f>
        <v>30891.17</v>
      </c>
      <c r="F56" s="16">
        <f>IFERROR('Data Sheet'!E65-SUM('Data Sheet'!E67:E69),0)</f>
        <v>29579.359999999986</v>
      </c>
      <c r="G56" s="16">
        <f>IFERROR('Data Sheet'!F65-SUM('Data Sheet'!F67:F69),0)</f>
        <v>37360.780000000013</v>
      </c>
      <c r="H56" s="16">
        <f>IFERROR('Data Sheet'!G65-SUM('Data Sheet'!G67:G69),0)</f>
        <v>48286.860000000015</v>
      </c>
      <c r="I56" s="16">
        <f>IFERROR('Data Sheet'!H65-SUM('Data Sheet'!H67:H69),0)</f>
        <v>56155.739999999991</v>
      </c>
      <c r="J56" s="16">
        <f>IFERROR('Data Sheet'!I65-SUM('Data Sheet'!I67:I69),0)</f>
        <v>58784.94</v>
      </c>
      <c r="K56" s="16">
        <f>IFERROR('Data Sheet'!J65-SUM('Data Sheet'!J67:J69),0)</f>
        <v>61717.959999999992</v>
      </c>
      <c r="L56" s="16">
        <f>IFERROR('Data Sheet'!K65-SUM('Data Sheet'!K67:K69),0)</f>
        <v>62223.770000000019</v>
      </c>
    </row>
    <row r="57" spans="2:13" x14ac:dyDescent="0.3">
      <c r="B57" s="15" t="s">
        <v>84</v>
      </c>
      <c r="C57" s="28">
        <f>SUM(C53:C56)</f>
        <v>115218.79000000001</v>
      </c>
      <c r="D57" s="28">
        <f t="shared" ref="D57:L57" si="18">SUM(D53:D56)</f>
        <v>150869.07999999999</v>
      </c>
      <c r="E57" s="28">
        <f t="shared" si="18"/>
        <v>163347.49</v>
      </c>
      <c r="F57" s="28">
        <f t="shared" si="18"/>
        <v>186497.07999999996</v>
      </c>
      <c r="G57" s="28">
        <f t="shared" si="18"/>
        <v>187341.62</v>
      </c>
      <c r="H57" s="28">
        <f t="shared" si="18"/>
        <v>230546.97</v>
      </c>
      <c r="I57" s="28">
        <f t="shared" si="18"/>
        <v>215044.77</v>
      </c>
      <c r="J57" s="28">
        <f t="shared" si="18"/>
        <v>237822.85</v>
      </c>
      <c r="K57" s="28">
        <f t="shared" si="18"/>
        <v>246009.77999999997</v>
      </c>
      <c r="L57" s="28">
        <f t="shared" si="18"/>
        <v>240709.84000000003</v>
      </c>
    </row>
    <row r="58" spans="2:13" x14ac:dyDescent="0.3">
      <c r="B58" s="15"/>
    </row>
    <row r="59" spans="2:13" x14ac:dyDescent="0.3">
      <c r="B59" t="s">
        <v>42</v>
      </c>
      <c r="C59" s="16">
        <f>IFERROR('Data Sheet'!B67,0)</f>
        <v>10959.6</v>
      </c>
      <c r="D59" s="16">
        <f>IFERROR('Data Sheet'!C67,0)</f>
        <v>10574.23</v>
      </c>
      <c r="E59" s="16">
        <f>IFERROR('Data Sheet'!D67,0)</f>
        <v>12579.2</v>
      </c>
      <c r="F59" s="16">
        <f>IFERROR('Data Sheet'!E67,0)</f>
        <v>13570.91</v>
      </c>
      <c r="G59" s="16">
        <f>IFERROR('Data Sheet'!F67,0)</f>
        <v>14075.55</v>
      </c>
      <c r="H59" s="16">
        <f>IFERROR('Data Sheet'!G67,0)</f>
        <v>19893.3</v>
      </c>
      <c r="I59" s="16">
        <f>IFERROR('Data Sheet'!H67,0)</f>
        <v>18996.169999999998</v>
      </c>
      <c r="J59" s="16">
        <f>IFERROR('Data Sheet'!I67,0)</f>
        <v>11172.69</v>
      </c>
      <c r="K59" s="16">
        <f>IFERROR('Data Sheet'!J67,0)</f>
        <v>12679.08</v>
      </c>
      <c r="L59" s="16">
        <f>IFERROR('Data Sheet'!K67,0)</f>
        <v>12442.12</v>
      </c>
    </row>
    <row r="60" spans="2:13" x14ac:dyDescent="0.3">
      <c r="B60" t="s">
        <v>43</v>
      </c>
      <c r="C60" s="16">
        <f>IFERROR('Data Sheet'!B68,0)</f>
        <v>21036.82</v>
      </c>
      <c r="D60" s="16">
        <f>IFERROR('Data Sheet'!C68,0)</f>
        <v>27270.89</v>
      </c>
      <c r="E60" s="16">
        <f>IFERROR('Data Sheet'!D68,0)</f>
        <v>29272.34</v>
      </c>
      <c r="F60" s="16">
        <f>IFERROR('Data Sheet'!E68,0)</f>
        <v>32655.73</v>
      </c>
      <c r="G60" s="16">
        <f>IFERROR('Data Sheet'!F68,0)</f>
        <v>35085.31</v>
      </c>
      <c r="H60" s="16">
        <f>IFERROR('Data Sheet'!G68,0)</f>
        <v>42137.63</v>
      </c>
      <c r="I60" s="16">
        <f>IFERROR('Data Sheet'!H68,0)</f>
        <v>39013.730000000003</v>
      </c>
      <c r="J60" s="16">
        <f>IFERROR('Data Sheet'!I68,0)</f>
        <v>37456.879999999997</v>
      </c>
      <c r="K60" s="16">
        <f>IFERROR('Data Sheet'!J68,0)</f>
        <v>36088.589999999997</v>
      </c>
      <c r="L60" s="16">
        <f>IFERROR('Data Sheet'!K68,0)</f>
        <v>35240.339999999997</v>
      </c>
    </row>
    <row r="61" spans="2:13" x14ac:dyDescent="0.3">
      <c r="B61" t="s">
        <v>44</v>
      </c>
      <c r="C61" s="16">
        <f>IFERROR('Data Sheet'!B69,0)</f>
        <v>21114.82</v>
      </c>
      <c r="D61" s="16">
        <f>IFERROR('Data Sheet'!C69,0)</f>
        <v>29711.79</v>
      </c>
      <c r="E61" s="16">
        <f>IFERROR('Data Sheet'!D69,0)</f>
        <v>32115.759999999998</v>
      </c>
      <c r="F61" s="16">
        <f>IFERROR('Data Sheet'!E69,0)</f>
        <v>30460.400000000001</v>
      </c>
      <c r="G61" s="16">
        <f>IFERROR('Data Sheet'!F69,0)</f>
        <v>36077.879999999997</v>
      </c>
      <c r="H61" s="16">
        <f>IFERROR('Data Sheet'!G69,0)</f>
        <v>34613.910000000003</v>
      </c>
      <c r="I61" s="16">
        <f>IFERROR('Data Sheet'!H69,0)</f>
        <v>32648.82</v>
      </c>
      <c r="J61" s="16">
        <f>IFERROR('Data Sheet'!I69,0)</f>
        <v>33726.97</v>
      </c>
      <c r="K61" s="16">
        <f>IFERROR('Data Sheet'!J69,0)</f>
        <v>46792.46</v>
      </c>
      <c r="L61" s="16">
        <f>IFERROR('Data Sheet'!K69,0)</f>
        <v>40669.19</v>
      </c>
    </row>
    <row r="62" spans="2:13" x14ac:dyDescent="0.3">
      <c r="B62" s="15" t="s">
        <v>85</v>
      </c>
      <c r="C62" s="28">
        <f>IFERROR(SUM(C59:C61),0)</f>
        <v>53111.24</v>
      </c>
      <c r="D62" s="28">
        <f t="shared" ref="D62:L62" si="19">IFERROR(SUM(D59:D61),0)</f>
        <v>67556.91</v>
      </c>
      <c r="E62" s="28">
        <f t="shared" si="19"/>
        <v>73967.3</v>
      </c>
      <c r="F62" s="28">
        <f t="shared" si="19"/>
        <v>76687.040000000008</v>
      </c>
      <c r="G62" s="28">
        <f t="shared" si="19"/>
        <v>85238.739999999991</v>
      </c>
      <c r="H62" s="28">
        <f t="shared" si="19"/>
        <v>96644.84</v>
      </c>
      <c r="I62" s="28">
        <f t="shared" si="19"/>
        <v>90658.72</v>
      </c>
      <c r="J62" s="28">
        <f t="shared" si="19"/>
        <v>82356.540000000008</v>
      </c>
      <c r="K62" s="28">
        <f t="shared" si="19"/>
        <v>95560.13</v>
      </c>
      <c r="L62" s="28">
        <f t="shared" si="19"/>
        <v>88351.65</v>
      </c>
    </row>
    <row r="64" spans="2:13" x14ac:dyDescent="0.3">
      <c r="B64" s="15" t="s">
        <v>86</v>
      </c>
      <c r="C64" s="28">
        <f>IFERROR(C62+C57,0)</f>
        <v>168330.03</v>
      </c>
      <c r="D64" s="28">
        <f t="shared" ref="D64:L64" si="20">IFERROR(D62+D57,0)</f>
        <v>218425.99</v>
      </c>
      <c r="E64" s="28">
        <f t="shared" si="20"/>
        <v>237314.78999999998</v>
      </c>
      <c r="F64" s="28">
        <f t="shared" si="20"/>
        <v>263184.12</v>
      </c>
      <c r="G64" s="28">
        <f t="shared" si="20"/>
        <v>272580.36</v>
      </c>
      <c r="H64" s="28">
        <f t="shared" si="20"/>
        <v>327191.81</v>
      </c>
      <c r="I64" s="28">
        <f t="shared" si="20"/>
        <v>305703.49</v>
      </c>
      <c r="J64" s="28">
        <f t="shared" si="20"/>
        <v>320179.39</v>
      </c>
      <c r="K64" s="28">
        <f t="shared" si="20"/>
        <v>341569.91</v>
      </c>
      <c r="L64" s="28">
        <f t="shared" si="20"/>
        <v>329061.49</v>
      </c>
    </row>
    <row r="66" spans="1:13" x14ac:dyDescent="0.3">
      <c r="B66" s="18" t="s">
        <v>87</v>
      </c>
      <c r="C66" s="18" t="b">
        <f>C64=C51</f>
        <v>1</v>
      </c>
      <c r="D66" s="18" t="b">
        <f t="shared" ref="D66:L66" si="21">D64=D51</f>
        <v>1</v>
      </c>
      <c r="E66" s="18" t="b">
        <f t="shared" si="21"/>
        <v>1</v>
      </c>
      <c r="F66" s="18" t="b">
        <f t="shared" si="21"/>
        <v>1</v>
      </c>
      <c r="G66" s="18" t="b">
        <f t="shared" si="21"/>
        <v>1</v>
      </c>
      <c r="H66" s="18" t="b">
        <f t="shared" si="21"/>
        <v>1</v>
      </c>
      <c r="I66" s="18" t="b">
        <f t="shared" si="21"/>
        <v>1</v>
      </c>
      <c r="J66" s="18" t="b">
        <f t="shared" si="21"/>
        <v>1</v>
      </c>
      <c r="K66" s="18" t="b">
        <f t="shared" si="21"/>
        <v>1</v>
      </c>
      <c r="L66" s="18" t="b">
        <f t="shared" si="21"/>
        <v>1</v>
      </c>
    </row>
    <row r="68" spans="1:13" x14ac:dyDescent="0.3">
      <c r="A68" t="s">
        <v>59</v>
      </c>
      <c r="B68" s="26" t="s">
        <v>118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 x14ac:dyDescent="0.3">
      <c r="B69" s="15" t="s">
        <v>120</v>
      </c>
    </row>
    <row r="70" spans="1:13" x14ac:dyDescent="0.3">
      <c r="B70" t="s">
        <v>88</v>
      </c>
      <c r="C70" s="16">
        <f>IFERROR('Cash Flow Data'!E4,0)</f>
        <v>24406</v>
      </c>
      <c r="D70" s="16">
        <f>IFERROR('Cash Flow Data'!F4,0)</f>
        <v>36303</v>
      </c>
      <c r="E70" s="16">
        <f>IFERROR('Cash Flow Data'!G4,0)</f>
        <v>43397</v>
      </c>
      <c r="F70" s="16">
        <f>IFERROR('Cash Flow Data'!H4,0)</f>
        <v>38626</v>
      </c>
      <c r="G70" s="16">
        <f>IFERROR('Cash Flow Data'!I4,0)</f>
        <v>28840</v>
      </c>
      <c r="H70" s="16">
        <f>IFERROR('Cash Flow Data'!J4,0)</f>
        <v>33312</v>
      </c>
      <c r="I70" s="16">
        <f>IFERROR('Cash Flow Data'!K4,0)</f>
        <v>28771</v>
      </c>
      <c r="J70" s="16">
        <f>IFERROR('Cash Flow Data'!L4,0)</f>
        <v>23352</v>
      </c>
      <c r="K70" s="16">
        <f>IFERROR('Cash Flow Data'!M4,0)</f>
        <v>31198</v>
      </c>
      <c r="L70" s="16">
        <f>IFERROR('Cash Flow Data'!N4,0)</f>
        <v>26666</v>
      </c>
    </row>
    <row r="71" spans="1:13" x14ac:dyDescent="0.3">
      <c r="B71" t="s">
        <v>42</v>
      </c>
      <c r="C71" s="16">
        <f>IFERROR('Cash Flow Data'!E5,0)</f>
        <v>-5177</v>
      </c>
      <c r="D71" s="16">
        <f>IFERROR('Cash Flow Data'!F5,0)</f>
        <v>445</v>
      </c>
      <c r="E71" s="16">
        <f>IFERROR('Cash Flow Data'!G5,0)</f>
        <v>-3179</v>
      </c>
      <c r="F71" s="16">
        <f>IFERROR('Cash Flow Data'!H5,0)</f>
        <v>-2223</v>
      </c>
      <c r="G71" s="16">
        <f>IFERROR('Cash Flow Data'!I5,0)</f>
        <v>-4152</v>
      </c>
      <c r="H71" s="16">
        <f>IFERROR('Cash Flow Data'!J5,0)</f>
        <v>-10688</v>
      </c>
      <c r="I71" s="16">
        <f>IFERROR('Cash Flow Data'!K5,0)</f>
        <v>-9109</v>
      </c>
      <c r="J71" s="16">
        <f>IFERROR('Cash Flow Data'!L5,0)</f>
        <v>9950</v>
      </c>
      <c r="K71" s="16">
        <f>IFERROR('Cash Flow Data'!M5,0)</f>
        <v>-5505</v>
      </c>
      <c r="L71" s="16">
        <f>IFERROR('Cash Flow Data'!N5,0)</f>
        <v>337</v>
      </c>
    </row>
    <row r="72" spans="1:13" x14ac:dyDescent="0.3">
      <c r="B72" t="s">
        <v>43</v>
      </c>
      <c r="C72" s="16">
        <f>IFERROR('Cash Flow Data'!E6,0)</f>
        <v>-2656</v>
      </c>
      <c r="D72" s="16">
        <f>IFERROR('Cash Flow Data'!F6,0)</f>
        <v>-2853</v>
      </c>
      <c r="E72" s="16">
        <f>IFERROR('Cash Flow Data'!G6,0)</f>
        <v>-3692</v>
      </c>
      <c r="F72" s="16">
        <f>IFERROR('Cash Flow Data'!H6,0)</f>
        <v>-5743</v>
      </c>
      <c r="G72" s="16">
        <f>IFERROR('Cash Flow Data'!I6,0)</f>
        <v>-6621</v>
      </c>
      <c r="H72" s="16">
        <f>IFERROR('Cash Flow Data'!J6,0)</f>
        <v>-3560</v>
      </c>
      <c r="I72" s="16">
        <f>IFERROR('Cash Flow Data'!K6,0)</f>
        <v>2069</v>
      </c>
      <c r="J72" s="16">
        <f>IFERROR('Cash Flow Data'!L6,0)</f>
        <v>2326</v>
      </c>
      <c r="K72" s="16">
        <f>IFERROR('Cash Flow Data'!M6,0)</f>
        <v>3814</v>
      </c>
      <c r="L72" s="16">
        <f>IFERROR('Cash Flow Data'!N6,0)</f>
        <v>597</v>
      </c>
    </row>
    <row r="73" spans="1:13" x14ac:dyDescent="0.3">
      <c r="B73" t="s">
        <v>89</v>
      </c>
      <c r="C73" s="16">
        <f>IFERROR('Cash Flow Data'!E7,0)</f>
        <v>8132</v>
      </c>
      <c r="D73" s="16">
        <f>IFERROR('Cash Flow Data'!F7,0)</f>
        <v>4694</v>
      </c>
      <c r="E73" s="16">
        <f>IFERROR('Cash Flow Data'!G7,0)</f>
        <v>3598</v>
      </c>
      <c r="F73" s="16">
        <f>IFERROR('Cash Flow Data'!H7,0)</f>
        <v>3947</v>
      </c>
      <c r="G73" s="16">
        <f>IFERROR('Cash Flow Data'!I7,0)</f>
        <v>9301</v>
      </c>
      <c r="H73" s="16">
        <f>IFERROR('Cash Flow Data'!J7,0)</f>
        <v>7320</v>
      </c>
      <c r="I73" s="16">
        <f>IFERROR('Cash Flow Data'!K7,0)</f>
        <v>-4692</v>
      </c>
      <c r="J73" s="16">
        <f>IFERROR('Cash Flow Data'!L7,0)</f>
        <v>-8085</v>
      </c>
      <c r="K73" s="16">
        <f>IFERROR('Cash Flow Data'!M7,0)</f>
        <v>5748</v>
      </c>
      <c r="L73" s="16">
        <f>IFERROR('Cash Flow Data'!N7,0)</f>
        <v>-7012</v>
      </c>
    </row>
    <row r="74" spans="1:13" x14ac:dyDescent="0.3">
      <c r="B74" t="s">
        <v>90</v>
      </c>
      <c r="C74" s="16">
        <f>IFERROR('Cash Flow Data'!E8,0)</f>
        <v>0</v>
      </c>
      <c r="D74" s="16">
        <f>IFERROR('Cash Flow Data'!F8,0)</f>
        <v>0</v>
      </c>
      <c r="E74" s="16">
        <f>IFERROR('Cash Flow Data'!G8,0)</f>
        <v>0</v>
      </c>
      <c r="F74" s="16">
        <f>IFERROR('Cash Flow Data'!H8,0)</f>
        <v>-520</v>
      </c>
      <c r="G74" s="16">
        <f>IFERROR('Cash Flow Data'!I8,0)</f>
        <v>0</v>
      </c>
      <c r="H74" s="16">
        <f>IFERROR('Cash Flow Data'!J8,0)</f>
        <v>0</v>
      </c>
      <c r="I74" s="16">
        <f>IFERROR('Cash Flow Data'!K8,0)</f>
        <v>0</v>
      </c>
      <c r="J74" s="16">
        <f>IFERROR('Cash Flow Data'!L8,0)</f>
        <v>0</v>
      </c>
      <c r="K74" s="16">
        <f>IFERROR('Cash Flow Data'!M8,0)</f>
        <v>0</v>
      </c>
      <c r="L74" s="16">
        <f>IFERROR('Cash Flow Data'!N8,0)</f>
        <v>0</v>
      </c>
    </row>
    <row r="75" spans="1:13" x14ac:dyDescent="0.3">
      <c r="B75" t="s">
        <v>91</v>
      </c>
      <c r="C75" s="16">
        <f>IFERROR('Cash Flow Data'!E9,0)</f>
        <v>-303</v>
      </c>
      <c r="D75" s="16">
        <f>IFERROR('Cash Flow Data'!F9,0)</f>
        <v>1870</v>
      </c>
      <c r="E75" s="16">
        <f>IFERROR('Cash Flow Data'!G9,0)</f>
        <v>-398</v>
      </c>
      <c r="F75" s="16">
        <f>IFERROR('Cash Flow Data'!H9,0)</f>
        <v>5852</v>
      </c>
      <c r="G75" s="16">
        <f>IFERROR('Cash Flow Data'!I9,0)</f>
        <v>4727</v>
      </c>
      <c r="H75" s="16">
        <f>IFERROR('Cash Flow Data'!J9,0)</f>
        <v>494</v>
      </c>
      <c r="I75" s="16">
        <f>IFERROR('Cash Flow Data'!K9,0)</f>
        <v>4512</v>
      </c>
      <c r="J75" s="16">
        <f>IFERROR('Cash Flow Data'!L9,0)</f>
        <v>875</v>
      </c>
      <c r="K75" s="16">
        <f>IFERROR('Cash Flow Data'!M9,0)</f>
        <v>-4150</v>
      </c>
      <c r="L75" s="16">
        <f>IFERROR('Cash Flow Data'!N9,0)</f>
        <v>-4396</v>
      </c>
    </row>
    <row r="76" spans="1:13" x14ac:dyDescent="0.3">
      <c r="B76" t="s">
        <v>92</v>
      </c>
      <c r="C76" s="16">
        <f>IFERROR('Cash Flow Data'!E10,0)</f>
        <v>-3</v>
      </c>
      <c r="D76" s="16">
        <f>IFERROR('Cash Flow Data'!F10,0)</f>
        <v>4157</v>
      </c>
      <c r="E76" s="16">
        <f>IFERROR('Cash Flow Data'!G10,0)</f>
        <v>-3672</v>
      </c>
      <c r="F76" s="16">
        <f>IFERROR('Cash Flow Data'!H10,0)</f>
        <v>1313</v>
      </c>
      <c r="G76" s="16">
        <f>IFERROR('Cash Flow Data'!I10,0)</f>
        <v>3254</v>
      </c>
      <c r="H76" s="16">
        <f>IFERROR('Cash Flow Data'!J10,0)</f>
        <v>-6434</v>
      </c>
      <c r="I76" s="16">
        <f>IFERROR('Cash Flow Data'!K10,0)</f>
        <v>-7221</v>
      </c>
      <c r="J76" s="16">
        <f>IFERROR('Cash Flow Data'!L10,0)</f>
        <v>5065</v>
      </c>
      <c r="K76" s="16">
        <f>IFERROR('Cash Flow Data'!M10,0)</f>
        <v>-93</v>
      </c>
      <c r="L76" s="16">
        <f>IFERROR('Cash Flow Data'!N10,0)</f>
        <v>-10474</v>
      </c>
    </row>
    <row r="77" spans="1:13" x14ac:dyDescent="0.3">
      <c r="B77" t="s">
        <v>93</v>
      </c>
      <c r="C77" s="16">
        <f>IFERROR('Cash Flow Data'!E11,0)</f>
        <v>-2240</v>
      </c>
      <c r="D77" s="16">
        <f>IFERROR('Cash Flow Data'!F11,0)</f>
        <v>-4308</v>
      </c>
      <c r="E77" s="16">
        <f>IFERROR('Cash Flow Data'!G11,0)</f>
        <v>-4194</v>
      </c>
      <c r="F77" s="16">
        <f>IFERROR('Cash Flow Data'!H11,0)</f>
        <v>-2040</v>
      </c>
      <c r="G77" s="16">
        <f>IFERROR('Cash Flow Data'!I11,0)</f>
        <v>-1895</v>
      </c>
      <c r="H77" s="16">
        <f>IFERROR('Cash Flow Data'!J11,0)</f>
        <v>-3021</v>
      </c>
      <c r="I77" s="16">
        <f>IFERROR('Cash Flow Data'!K11,0)</f>
        <v>-2659</v>
      </c>
      <c r="J77" s="16">
        <f>IFERROR('Cash Flow Data'!L11,0)</f>
        <v>-1785</v>
      </c>
      <c r="K77" s="16">
        <f>IFERROR('Cash Flow Data'!M11,0)</f>
        <v>-2105</v>
      </c>
      <c r="L77" s="16">
        <f>IFERROR('Cash Flow Data'!N11,0)</f>
        <v>-1910</v>
      </c>
    </row>
    <row r="78" spans="1:13" x14ac:dyDescent="0.3">
      <c r="B78" s="15" t="s">
        <v>119</v>
      </c>
      <c r="C78" s="28">
        <f>SUM(C70:C77)</f>
        <v>22159</v>
      </c>
      <c r="D78" s="28">
        <f t="shared" ref="D78:L78" si="22">SUM(D70:D77)</f>
        <v>40308</v>
      </c>
      <c r="E78" s="28">
        <f t="shared" si="22"/>
        <v>31860</v>
      </c>
      <c r="F78" s="28">
        <f t="shared" si="22"/>
        <v>39212</v>
      </c>
      <c r="G78" s="28">
        <f t="shared" si="22"/>
        <v>33454</v>
      </c>
      <c r="H78" s="28">
        <f t="shared" si="22"/>
        <v>17423</v>
      </c>
      <c r="I78" s="28">
        <f t="shared" si="22"/>
        <v>11671</v>
      </c>
      <c r="J78" s="28">
        <f t="shared" si="22"/>
        <v>31698</v>
      </c>
      <c r="K78" s="28">
        <f t="shared" si="22"/>
        <v>28907</v>
      </c>
      <c r="L78" s="28">
        <f t="shared" si="22"/>
        <v>3808</v>
      </c>
    </row>
    <row r="80" spans="1:13" x14ac:dyDescent="0.3">
      <c r="B80" s="15" t="s">
        <v>121</v>
      </c>
    </row>
    <row r="81" spans="2:12" x14ac:dyDescent="0.3">
      <c r="B81" t="s">
        <v>94</v>
      </c>
      <c r="C81" s="16">
        <f>IFERROR('Cash Flow Data'!E13,0)</f>
        <v>-18863</v>
      </c>
      <c r="D81" s="16">
        <f>IFERROR('Cash Flow Data'!F13,0)</f>
        <v>-26975</v>
      </c>
      <c r="E81" s="16">
        <f>IFERROR('Cash Flow Data'!G13,0)</f>
        <v>-31962</v>
      </c>
      <c r="F81" s="16">
        <f>IFERROR('Cash Flow Data'!H13,0)</f>
        <v>-31503</v>
      </c>
      <c r="G81" s="16">
        <f>IFERROR('Cash Flow Data'!I13,0)</f>
        <v>-16072</v>
      </c>
      <c r="H81" s="16">
        <f>IFERROR('Cash Flow Data'!J13,0)</f>
        <v>-35079</v>
      </c>
      <c r="I81" s="16">
        <f>IFERROR('Cash Flow Data'!K13,0)</f>
        <v>-35304</v>
      </c>
      <c r="J81" s="16">
        <f>IFERROR('Cash Flow Data'!L13,0)</f>
        <v>-29702</v>
      </c>
      <c r="K81" s="16">
        <f>IFERROR('Cash Flow Data'!M13,0)</f>
        <v>-20205</v>
      </c>
      <c r="L81" s="16">
        <f>IFERROR('Cash Flow Data'!N13,0)</f>
        <v>-15168</v>
      </c>
    </row>
    <row r="82" spans="2:12" x14ac:dyDescent="0.3">
      <c r="B82" t="s">
        <v>95</v>
      </c>
      <c r="C82" s="16">
        <f>IFERROR('Cash Flow Data'!E14,0)</f>
        <v>37</v>
      </c>
      <c r="D82" s="16">
        <f>IFERROR('Cash Flow Data'!F14,0)</f>
        <v>50</v>
      </c>
      <c r="E82" s="16">
        <f>IFERROR('Cash Flow Data'!G14,0)</f>
        <v>74</v>
      </c>
      <c r="F82" s="16">
        <f>IFERROR('Cash Flow Data'!H14,0)</f>
        <v>59</v>
      </c>
      <c r="G82" s="16">
        <f>IFERROR('Cash Flow Data'!I14,0)</f>
        <v>53</v>
      </c>
      <c r="H82" s="16">
        <f>IFERROR('Cash Flow Data'!J14,0)</f>
        <v>30</v>
      </c>
      <c r="I82" s="16">
        <f>IFERROR('Cash Flow Data'!K14,0)</f>
        <v>67</v>
      </c>
      <c r="J82" s="16">
        <f>IFERROR('Cash Flow Data'!L14,0)</f>
        <v>171</v>
      </c>
      <c r="K82" s="16">
        <f>IFERROR('Cash Flow Data'!M14,0)</f>
        <v>351</v>
      </c>
      <c r="L82" s="16">
        <f>IFERROR('Cash Flow Data'!N14,0)</f>
        <v>230</v>
      </c>
    </row>
    <row r="83" spans="2:12" x14ac:dyDescent="0.3">
      <c r="B83" t="s">
        <v>96</v>
      </c>
      <c r="C83" s="16">
        <f>IFERROR('Cash Flow Data'!E15,0)</f>
        <v>73</v>
      </c>
      <c r="D83" s="16">
        <f>IFERROR('Cash Flow Data'!F15,0)</f>
        <v>-429</v>
      </c>
      <c r="E83" s="16">
        <f>IFERROR('Cash Flow Data'!G15,0)</f>
        <v>-5461</v>
      </c>
      <c r="F83" s="16">
        <f>IFERROR('Cash Flow Data'!H15,0)</f>
        <v>-4728</v>
      </c>
      <c r="G83" s="16">
        <f>IFERROR('Cash Flow Data'!I15,0)</f>
        <v>-6</v>
      </c>
      <c r="H83" s="16">
        <f>IFERROR('Cash Flow Data'!J15,0)</f>
        <v>-329</v>
      </c>
      <c r="I83" s="16">
        <f>IFERROR('Cash Flow Data'!K15,0)</f>
        <v>-130</v>
      </c>
      <c r="J83" s="16">
        <f>IFERROR('Cash Flow Data'!L15,0)</f>
        <v>-1439</v>
      </c>
      <c r="K83" s="16">
        <f>IFERROR('Cash Flow Data'!M15,0)</f>
        <v>-7530</v>
      </c>
      <c r="L83" s="16">
        <f>IFERROR('Cash Flow Data'!N15,0)</f>
        <v>-3008</v>
      </c>
    </row>
    <row r="84" spans="2:12" x14ac:dyDescent="0.3">
      <c r="B84" t="s">
        <v>97</v>
      </c>
      <c r="C84" s="16">
        <f>IFERROR('Cash Flow Data'!E16,0)</f>
        <v>34</v>
      </c>
      <c r="D84" s="16">
        <f>IFERROR('Cash Flow Data'!F16,0)</f>
        <v>4</v>
      </c>
      <c r="E84" s="16">
        <f>IFERROR('Cash Flow Data'!G16,0)</f>
        <v>42</v>
      </c>
      <c r="F84" s="16">
        <f>IFERROR('Cash Flow Data'!H16,0)</f>
        <v>89</v>
      </c>
      <c r="G84" s="16">
        <f>IFERROR('Cash Flow Data'!I16,0)</f>
        <v>1965</v>
      </c>
      <c r="H84" s="16">
        <f>IFERROR('Cash Flow Data'!J16,0)</f>
        <v>2381</v>
      </c>
      <c r="I84" s="16">
        <f>IFERROR('Cash Flow Data'!K16,0)</f>
        <v>5644</v>
      </c>
      <c r="J84" s="16">
        <f>IFERROR('Cash Flow Data'!L16,0)</f>
        <v>21</v>
      </c>
      <c r="K84" s="16">
        <f>IFERROR('Cash Flow Data'!M16,0)</f>
        <v>226</v>
      </c>
      <c r="L84" s="16">
        <f>IFERROR('Cash Flow Data'!N16,0)</f>
        <v>104</v>
      </c>
    </row>
    <row r="85" spans="2:12" x14ac:dyDescent="0.3">
      <c r="B85" t="s">
        <v>98</v>
      </c>
      <c r="C85" s="16">
        <f>IFERROR('Cash Flow Data'!E17,0)</f>
        <v>713</v>
      </c>
      <c r="D85" s="16">
        <f>IFERROR('Cash Flow Data'!F17,0)</f>
        <v>653</v>
      </c>
      <c r="E85" s="16">
        <f>IFERROR('Cash Flow Data'!G17,0)</f>
        <v>698</v>
      </c>
      <c r="F85" s="16">
        <f>IFERROR('Cash Flow Data'!H17,0)</f>
        <v>731</v>
      </c>
      <c r="G85" s="16">
        <f>IFERROR('Cash Flow Data'!I17,0)</f>
        <v>638</v>
      </c>
      <c r="H85" s="16">
        <f>IFERROR('Cash Flow Data'!J17,0)</f>
        <v>690</v>
      </c>
      <c r="I85" s="16">
        <f>IFERROR('Cash Flow Data'!K17,0)</f>
        <v>761</v>
      </c>
      <c r="J85" s="16">
        <f>IFERROR('Cash Flow Data'!L17,0)</f>
        <v>1104</v>
      </c>
      <c r="K85" s="16">
        <f>IFERROR('Cash Flow Data'!M17,0)</f>
        <v>428</v>
      </c>
      <c r="L85" s="16">
        <f>IFERROR('Cash Flow Data'!N17,0)</f>
        <v>653</v>
      </c>
    </row>
    <row r="86" spans="2:12" x14ac:dyDescent="0.3">
      <c r="B86" t="s">
        <v>99</v>
      </c>
      <c r="C86" s="16">
        <f>IFERROR('Cash Flow Data'!E18,0)</f>
        <v>95</v>
      </c>
      <c r="D86" s="16">
        <f>IFERROR('Cash Flow Data'!F18,0)</f>
        <v>40</v>
      </c>
      <c r="E86" s="16">
        <f>IFERROR('Cash Flow Data'!G18,0)</f>
        <v>80</v>
      </c>
      <c r="F86" s="16">
        <f>IFERROR('Cash Flow Data'!H18,0)</f>
        <v>58</v>
      </c>
      <c r="G86" s="16">
        <f>IFERROR('Cash Flow Data'!I18,0)</f>
        <v>620</v>
      </c>
      <c r="H86" s="16">
        <f>IFERROR('Cash Flow Data'!J18,0)</f>
        <v>1797</v>
      </c>
      <c r="I86" s="16">
        <f>IFERROR('Cash Flow Data'!K18,0)</f>
        <v>232</v>
      </c>
      <c r="J86" s="16">
        <f>IFERROR('Cash Flow Data'!L18,0)</f>
        <v>21</v>
      </c>
      <c r="K86" s="16">
        <f>IFERROR('Cash Flow Data'!M18,0)</f>
        <v>18</v>
      </c>
      <c r="L86" s="16">
        <f>IFERROR('Cash Flow Data'!N18,0)</f>
        <v>32</v>
      </c>
    </row>
    <row r="87" spans="2:12" x14ac:dyDescent="0.3">
      <c r="B87" t="s">
        <v>100</v>
      </c>
      <c r="C87" s="16">
        <f>IFERROR('Cash Flow Data'!E19,0)</f>
        <v>0</v>
      </c>
      <c r="D87" s="16">
        <f>IFERROR('Cash Flow Data'!F19,0)</f>
        <v>0</v>
      </c>
      <c r="E87" s="16">
        <f>IFERROR('Cash Flow Data'!G19,0)</f>
        <v>0</v>
      </c>
      <c r="F87" s="16">
        <f>IFERROR('Cash Flow Data'!H19,0)</f>
        <v>0</v>
      </c>
      <c r="G87" s="16">
        <f>IFERROR('Cash Flow Data'!I19,0)</f>
        <v>0</v>
      </c>
      <c r="H87" s="16">
        <f>IFERROR('Cash Flow Data'!J19,0)</f>
        <v>0</v>
      </c>
      <c r="I87" s="16">
        <f>IFERROR('Cash Flow Data'!K19,0)</f>
        <v>0</v>
      </c>
      <c r="J87" s="16">
        <f>IFERROR('Cash Flow Data'!L19,0)</f>
        <v>0</v>
      </c>
      <c r="K87" s="16">
        <f>IFERROR('Cash Flow Data'!M19,0)</f>
        <v>0</v>
      </c>
      <c r="L87" s="16">
        <f>IFERROR('Cash Flow Data'!N19,0)</f>
        <v>0</v>
      </c>
    </row>
    <row r="88" spans="2:12" x14ac:dyDescent="0.3">
      <c r="B88" t="s">
        <v>101</v>
      </c>
      <c r="C88" s="16">
        <f>IFERROR('Cash Flow Data'!E20,0)</f>
        <v>0</v>
      </c>
      <c r="D88" s="16">
        <f>IFERROR('Cash Flow Data'!F20,0)</f>
        <v>0</v>
      </c>
      <c r="E88" s="16">
        <f>IFERROR('Cash Flow Data'!G20,0)</f>
        <v>-160</v>
      </c>
      <c r="F88" s="16">
        <f>IFERROR('Cash Flow Data'!H20,0)</f>
        <v>0</v>
      </c>
      <c r="G88" s="16">
        <f>IFERROR('Cash Flow Data'!I20,0)</f>
        <v>-107</v>
      </c>
      <c r="H88" s="16">
        <f>IFERROR('Cash Flow Data'!J20,0)</f>
        <v>-4</v>
      </c>
      <c r="I88" s="16">
        <f>IFERROR('Cash Flow Data'!K20,0)</f>
        <v>-9</v>
      </c>
      <c r="J88" s="16">
        <f>IFERROR('Cash Flow Data'!L20,0)</f>
        <v>-606</v>
      </c>
      <c r="K88" s="16">
        <f>IFERROR('Cash Flow Data'!M20,0)</f>
        <v>-10</v>
      </c>
      <c r="L88" s="16">
        <f>IFERROR('Cash Flow Data'!N20,0)</f>
        <v>0</v>
      </c>
    </row>
    <row r="89" spans="2:12" x14ac:dyDescent="0.3">
      <c r="B89" t="s">
        <v>102</v>
      </c>
      <c r="C89" s="16">
        <f>IFERROR('Cash Flow Data'!E21,0)</f>
        <v>0</v>
      </c>
      <c r="D89" s="16">
        <f>IFERROR('Cash Flow Data'!F21,0)</f>
        <v>0</v>
      </c>
      <c r="E89" s="16">
        <f>IFERROR('Cash Flow Data'!G21,0)</f>
        <v>0</v>
      </c>
      <c r="F89" s="16">
        <f>IFERROR('Cash Flow Data'!H21,0)</f>
        <v>0</v>
      </c>
      <c r="G89" s="16">
        <f>IFERROR('Cash Flow Data'!I21,0)</f>
        <v>0</v>
      </c>
      <c r="H89" s="16">
        <f>IFERROR('Cash Flow Data'!J21,0)</f>
        <v>14</v>
      </c>
      <c r="I89" s="16">
        <f>IFERROR('Cash Flow Data'!K21,0)</f>
        <v>533</v>
      </c>
      <c r="J89" s="16">
        <f>IFERROR('Cash Flow Data'!L21,0)</f>
        <v>0</v>
      </c>
      <c r="K89" s="16">
        <f>IFERROR('Cash Flow Data'!M21,0)</f>
        <v>0</v>
      </c>
      <c r="L89" s="16">
        <f>IFERROR('Cash Flow Data'!N21,0)</f>
        <v>0</v>
      </c>
    </row>
    <row r="90" spans="2:12" x14ac:dyDescent="0.3">
      <c r="B90" t="s">
        <v>103</v>
      </c>
      <c r="C90" s="16">
        <f>IFERROR('Cash Flow Data'!E22,0)</f>
        <v>0</v>
      </c>
      <c r="D90" s="16">
        <f>IFERROR('Cash Flow Data'!F22,0)</f>
        <v>-185</v>
      </c>
      <c r="E90" s="16">
        <f>IFERROR('Cash Flow Data'!G22,0)</f>
        <v>0</v>
      </c>
      <c r="F90" s="16">
        <f>IFERROR('Cash Flow Data'!H22,0)</f>
        <v>-111</v>
      </c>
      <c r="G90" s="16">
        <f>IFERROR('Cash Flow Data'!I22,0)</f>
        <v>0</v>
      </c>
      <c r="H90" s="16">
        <f>IFERROR('Cash Flow Data'!J22,0)</f>
        <v>0</v>
      </c>
      <c r="I90" s="16">
        <f>IFERROR('Cash Flow Data'!K22,0)</f>
        <v>-8</v>
      </c>
      <c r="J90" s="16">
        <f>IFERROR('Cash Flow Data'!L22,0)</f>
        <v>-27</v>
      </c>
      <c r="K90" s="16">
        <f>IFERROR('Cash Flow Data'!M22,0)</f>
        <v>0</v>
      </c>
      <c r="L90" s="16">
        <f>IFERROR('Cash Flow Data'!N22,0)</f>
        <v>-98</v>
      </c>
    </row>
    <row r="91" spans="2:12" x14ac:dyDescent="0.3">
      <c r="B91" t="s">
        <v>104</v>
      </c>
      <c r="C91" s="16">
        <f>IFERROR('Cash Flow Data'!E23,0)</f>
        <v>45</v>
      </c>
      <c r="D91" s="16">
        <f>IFERROR('Cash Flow Data'!F23,0)</f>
        <v>0</v>
      </c>
      <c r="E91" s="16">
        <f>IFERROR('Cash Flow Data'!G23,0)</f>
        <v>0</v>
      </c>
      <c r="F91" s="16">
        <f>IFERROR('Cash Flow Data'!H23,0)</f>
        <v>0</v>
      </c>
      <c r="G91" s="16">
        <f>IFERROR('Cash Flow Data'!I23,0)</f>
        <v>0</v>
      </c>
      <c r="H91" s="16">
        <f>IFERROR('Cash Flow Data'!J23,0)</f>
        <v>0</v>
      </c>
      <c r="I91" s="16">
        <f>IFERROR('Cash Flow Data'!K23,0)</f>
        <v>0</v>
      </c>
      <c r="J91" s="16">
        <f>IFERROR('Cash Flow Data'!L23,0)</f>
        <v>0</v>
      </c>
      <c r="K91" s="16">
        <f>IFERROR('Cash Flow Data'!M23,0)</f>
        <v>0</v>
      </c>
      <c r="L91" s="16">
        <f>IFERROR('Cash Flow Data'!N23,0)</f>
        <v>0</v>
      </c>
    </row>
    <row r="92" spans="2:12" x14ac:dyDescent="0.3">
      <c r="B92" t="s">
        <v>105</v>
      </c>
      <c r="C92" s="16">
        <f>IFERROR('Cash Flow Data'!E24,0)</f>
        <v>-5103</v>
      </c>
      <c r="D92" s="16">
        <f>IFERROR('Cash Flow Data'!F24,0)</f>
        <v>-1149</v>
      </c>
      <c r="E92" s="16">
        <f>IFERROR('Cash Flow Data'!G24,0)</f>
        <v>456</v>
      </c>
      <c r="F92" s="16">
        <f>IFERROR('Cash Flow Data'!H24,0)</f>
        <v>-1289</v>
      </c>
      <c r="G92" s="16">
        <f>IFERROR('Cash Flow Data'!I24,0)</f>
        <v>-26663</v>
      </c>
      <c r="H92" s="16">
        <f>IFERROR('Cash Flow Data'!J24,0)</f>
        <v>5360</v>
      </c>
      <c r="I92" s="16">
        <f>IFERROR('Cash Flow Data'!K24,0)</f>
        <v>7335</v>
      </c>
      <c r="J92" s="16">
        <f>IFERROR('Cash Flow Data'!L24,0)</f>
        <v>-2659</v>
      </c>
      <c r="K92" s="16">
        <f>IFERROR('Cash Flow Data'!M24,0)</f>
        <v>1051</v>
      </c>
      <c r="L92" s="16">
        <f>IFERROR('Cash Flow Data'!N24,0)</f>
        <v>12813</v>
      </c>
    </row>
    <row r="93" spans="2:12" x14ac:dyDescent="0.3">
      <c r="B93" s="15" t="s">
        <v>122</v>
      </c>
      <c r="C93" s="16">
        <f>SUM(C81:C92)</f>
        <v>-22969</v>
      </c>
      <c r="D93" s="16">
        <f t="shared" ref="D93:L93" si="23">SUM(D81:D92)</f>
        <v>-27991</v>
      </c>
      <c r="E93" s="16">
        <f t="shared" si="23"/>
        <v>-36233</v>
      </c>
      <c r="F93" s="16">
        <f t="shared" si="23"/>
        <v>-36694</v>
      </c>
      <c r="G93" s="16">
        <f t="shared" si="23"/>
        <v>-39572</v>
      </c>
      <c r="H93" s="16">
        <f t="shared" si="23"/>
        <v>-25140</v>
      </c>
      <c r="I93" s="16">
        <f t="shared" si="23"/>
        <v>-20879</v>
      </c>
      <c r="J93" s="16">
        <f t="shared" si="23"/>
        <v>-33116</v>
      </c>
      <c r="K93" s="16">
        <f t="shared" si="23"/>
        <v>-25671</v>
      </c>
      <c r="L93" s="16">
        <f t="shared" si="23"/>
        <v>-4442</v>
      </c>
    </row>
    <row r="95" spans="2:12" x14ac:dyDescent="0.3">
      <c r="B95" s="15" t="s">
        <v>123</v>
      </c>
    </row>
    <row r="96" spans="2:12" x14ac:dyDescent="0.3">
      <c r="B96" t="s">
        <v>106</v>
      </c>
      <c r="C96" s="16">
        <f>IFERROR('Cash Flow Data'!E26,0)</f>
        <v>1</v>
      </c>
      <c r="D96" s="16">
        <f>IFERROR('Cash Flow Data'!F26,0)</f>
        <v>0</v>
      </c>
      <c r="E96" s="16">
        <f>IFERROR('Cash Flow Data'!G26,0)</f>
        <v>0</v>
      </c>
      <c r="F96" s="16">
        <f>IFERROR('Cash Flow Data'!H26,0)</f>
        <v>7433</v>
      </c>
      <c r="G96" s="16">
        <f>IFERROR('Cash Flow Data'!I26,0)</f>
        <v>5</v>
      </c>
      <c r="H96" s="16">
        <f>IFERROR('Cash Flow Data'!J26,0)</f>
        <v>0</v>
      </c>
      <c r="I96" s="16">
        <f>IFERROR('Cash Flow Data'!K26,0)</f>
        <v>0</v>
      </c>
      <c r="J96" s="16">
        <f>IFERROR('Cash Flow Data'!L26,0)</f>
        <v>3889</v>
      </c>
      <c r="K96" s="16">
        <f>IFERROR('Cash Flow Data'!M26,0)</f>
        <v>2603</v>
      </c>
      <c r="L96" s="16">
        <f>IFERROR('Cash Flow Data'!N26,0)</f>
        <v>19</v>
      </c>
    </row>
    <row r="97" spans="2:12" x14ac:dyDescent="0.3">
      <c r="B97" t="s">
        <v>107</v>
      </c>
      <c r="C97" s="16">
        <f>IFERROR('Cash Flow Data'!E27,0)</f>
        <v>-97</v>
      </c>
      <c r="D97" s="16">
        <f>IFERROR('Cash Flow Data'!F27,0)</f>
        <v>-658</v>
      </c>
      <c r="E97" s="16">
        <f>IFERROR('Cash Flow Data'!G27,0)</f>
        <v>-744</v>
      </c>
      <c r="F97" s="16">
        <f>IFERROR('Cash Flow Data'!H27,0)</f>
        <v>0</v>
      </c>
      <c r="G97" s="16">
        <f>IFERROR('Cash Flow Data'!I27,0)</f>
        <v>0</v>
      </c>
      <c r="H97" s="16">
        <f>IFERROR('Cash Flow Data'!J27,0)</f>
        <v>0</v>
      </c>
      <c r="I97" s="16">
        <f>IFERROR('Cash Flow Data'!K27,0)</f>
        <v>0</v>
      </c>
      <c r="J97" s="16">
        <f>IFERROR('Cash Flow Data'!L27,0)</f>
        <v>0</v>
      </c>
      <c r="K97" s="16">
        <f>IFERROR('Cash Flow Data'!M27,0)</f>
        <v>0</v>
      </c>
      <c r="L97" s="16">
        <f>IFERROR('Cash Flow Data'!N27,0)</f>
        <v>0</v>
      </c>
    </row>
    <row r="98" spans="2:12" x14ac:dyDescent="0.3">
      <c r="B98" t="s">
        <v>108</v>
      </c>
      <c r="C98" s="16">
        <f>IFERROR('Cash Flow Data'!E28,0)</f>
        <v>27863</v>
      </c>
      <c r="D98" s="16">
        <f>IFERROR('Cash Flow Data'!F28,0)</f>
        <v>33258</v>
      </c>
      <c r="E98" s="16">
        <f>IFERROR('Cash Flow Data'!G28,0)</f>
        <v>36363</v>
      </c>
      <c r="F98" s="16">
        <f>IFERROR('Cash Flow Data'!H28,0)</f>
        <v>19519</v>
      </c>
      <c r="G98" s="16">
        <f>IFERROR('Cash Flow Data'!I28,0)</f>
        <v>33390</v>
      </c>
      <c r="H98" s="16">
        <f>IFERROR('Cash Flow Data'!J28,0)</f>
        <v>37482</v>
      </c>
      <c r="I98" s="16">
        <f>IFERROR('Cash Flow Data'!K28,0)</f>
        <v>51128</v>
      </c>
      <c r="J98" s="16">
        <f>IFERROR('Cash Flow Data'!L28,0)</f>
        <v>38297</v>
      </c>
      <c r="K98" s="16">
        <f>IFERROR('Cash Flow Data'!M28,0)</f>
        <v>46641</v>
      </c>
      <c r="L98" s="16">
        <f>IFERROR('Cash Flow Data'!N28,0)</f>
        <v>46578</v>
      </c>
    </row>
    <row r="99" spans="2:12" x14ac:dyDescent="0.3">
      <c r="B99" t="s">
        <v>109</v>
      </c>
      <c r="C99" s="16">
        <f>IFERROR('Cash Flow Data'!E29,0)</f>
        <v>-20395</v>
      </c>
      <c r="D99" s="16">
        <f>IFERROR('Cash Flow Data'!F29,0)</f>
        <v>-29141</v>
      </c>
      <c r="E99" s="16">
        <f>IFERROR('Cash Flow Data'!G29,0)</f>
        <v>-23332</v>
      </c>
      <c r="F99" s="16">
        <f>IFERROR('Cash Flow Data'!H29,0)</f>
        <v>-24924</v>
      </c>
      <c r="G99" s="16">
        <f>IFERROR('Cash Flow Data'!I29,0)</f>
        <v>-21732</v>
      </c>
      <c r="H99" s="16">
        <f>IFERROR('Cash Flow Data'!J29,0)</f>
        <v>-29964</v>
      </c>
      <c r="I99" s="16">
        <f>IFERROR('Cash Flow Data'!K29,0)</f>
        <v>-35198</v>
      </c>
      <c r="J99" s="16">
        <f>IFERROR('Cash Flow Data'!L29,0)</f>
        <v>-29847</v>
      </c>
      <c r="K99" s="16">
        <f>IFERROR('Cash Flow Data'!M29,0)</f>
        <v>-29709</v>
      </c>
      <c r="L99" s="16">
        <f>IFERROR('Cash Flow Data'!N29,0)</f>
        <v>-42816</v>
      </c>
    </row>
    <row r="100" spans="2:12" x14ac:dyDescent="0.3">
      <c r="B100" t="s">
        <v>110</v>
      </c>
      <c r="C100" s="16">
        <f>IFERROR('Cash Flow Data'!E30,0)</f>
        <v>0</v>
      </c>
      <c r="D100" s="16">
        <f>IFERROR('Cash Flow Data'!F30,0)</f>
        <v>0</v>
      </c>
      <c r="E100" s="16">
        <f>IFERROR('Cash Flow Data'!G30,0)</f>
        <v>0</v>
      </c>
      <c r="F100" s="16">
        <f>IFERROR('Cash Flow Data'!H30,0)</f>
        <v>0</v>
      </c>
      <c r="G100" s="16">
        <f>IFERROR('Cash Flow Data'!I30,0)</f>
        <v>0</v>
      </c>
      <c r="H100" s="16">
        <f>IFERROR('Cash Flow Data'!J30,0)</f>
        <v>0</v>
      </c>
      <c r="I100" s="16">
        <f>IFERROR('Cash Flow Data'!K30,0)</f>
        <v>0</v>
      </c>
      <c r="J100" s="16">
        <f>IFERROR('Cash Flow Data'!L30,0)</f>
        <v>0</v>
      </c>
      <c r="K100" s="16">
        <f>IFERROR('Cash Flow Data'!M30,0)</f>
        <v>0</v>
      </c>
      <c r="L100" s="16">
        <f>IFERROR('Cash Flow Data'!N30,0)</f>
        <v>0</v>
      </c>
    </row>
    <row r="101" spans="2:12" x14ac:dyDescent="0.3">
      <c r="B101" t="s">
        <v>111</v>
      </c>
      <c r="C101" s="16">
        <f>IFERROR('Cash Flow Data'!E31,0)</f>
        <v>-4666</v>
      </c>
      <c r="D101" s="16">
        <f>IFERROR('Cash Flow Data'!F31,0)</f>
        <v>-6171</v>
      </c>
      <c r="E101" s="16">
        <f>IFERROR('Cash Flow Data'!G31,0)</f>
        <v>-6307</v>
      </c>
      <c r="F101" s="16">
        <f>IFERROR('Cash Flow Data'!H31,0)</f>
        <v>-5716</v>
      </c>
      <c r="G101" s="16">
        <f>IFERROR('Cash Flow Data'!I31,0)</f>
        <v>-5336</v>
      </c>
      <c r="H101" s="16">
        <f>IFERROR('Cash Flow Data'!J31,0)</f>
        <v>-5411</v>
      </c>
      <c r="I101" s="16">
        <f>IFERROR('Cash Flow Data'!K31,0)</f>
        <v>-7005</v>
      </c>
      <c r="J101" s="16">
        <f>IFERROR('Cash Flow Data'!L31,0)</f>
        <v>-7518</v>
      </c>
      <c r="K101" s="16">
        <f>IFERROR('Cash Flow Data'!M31,0)</f>
        <v>-8123</v>
      </c>
      <c r="L101" s="16">
        <f>IFERROR('Cash Flow Data'!N31,0)</f>
        <v>-9251</v>
      </c>
    </row>
    <row r="102" spans="2:12" x14ac:dyDescent="0.3">
      <c r="B102" t="s">
        <v>112</v>
      </c>
      <c r="C102" s="16">
        <f>IFERROR('Cash Flow Data'!E32,0)</f>
        <v>-1551</v>
      </c>
      <c r="D102" s="16">
        <f>IFERROR('Cash Flow Data'!F32,0)</f>
        <v>-722</v>
      </c>
      <c r="E102" s="16">
        <f>IFERROR('Cash Flow Data'!G32,0)</f>
        <v>-720</v>
      </c>
      <c r="F102" s="16">
        <f>IFERROR('Cash Flow Data'!H32,0)</f>
        <v>-108</v>
      </c>
      <c r="G102" s="16">
        <f>IFERROR('Cash Flow Data'!I32,0)</f>
        <v>-121</v>
      </c>
      <c r="H102" s="16">
        <f>IFERROR('Cash Flow Data'!J32,0)</f>
        <v>-96</v>
      </c>
      <c r="I102" s="16">
        <f>IFERROR('Cash Flow Data'!K32,0)</f>
        <v>-95</v>
      </c>
      <c r="J102" s="16">
        <f>IFERROR('Cash Flow Data'!L32,0)</f>
        <v>-57</v>
      </c>
      <c r="K102" s="16">
        <f>IFERROR('Cash Flow Data'!M32,0)</f>
        <v>-30</v>
      </c>
      <c r="L102" s="16">
        <f>IFERROR('Cash Flow Data'!N32,0)</f>
        <v>-100</v>
      </c>
    </row>
    <row r="103" spans="2:12" x14ac:dyDescent="0.3">
      <c r="B103" t="s">
        <v>113</v>
      </c>
      <c r="C103" s="16">
        <f>IFERROR('Cash Flow Data'!E33,0)</f>
        <v>0</v>
      </c>
      <c r="D103" s="16">
        <f>IFERROR('Cash Flow Data'!F33,0)</f>
        <v>0</v>
      </c>
      <c r="E103" s="16">
        <f>IFERROR('Cash Flow Data'!G33,0)</f>
        <v>0</v>
      </c>
      <c r="F103" s="16">
        <f>IFERROR('Cash Flow Data'!H33,0)</f>
        <v>0</v>
      </c>
      <c r="G103" s="16">
        <f>IFERROR('Cash Flow Data'!I33,0)</f>
        <v>0</v>
      </c>
      <c r="H103" s="16">
        <f>IFERROR('Cash Flow Data'!J33,0)</f>
        <v>0</v>
      </c>
      <c r="I103" s="16">
        <f>IFERROR('Cash Flow Data'!K33,0)</f>
        <v>0</v>
      </c>
      <c r="J103" s="16">
        <f>IFERROR('Cash Flow Data'!L33,0)</f>
        <v>-1346</v>
      </c>
      <c r="K103" s="16">
        <f>IFERROR('Cash Flow Data'!M33,0)</f>
        <v>-1477</v>
      </c>
      <c r="L103" s="16">
        <f>IFERROR('Cash Flow Data'!N33,0)</f>
        <v>-1559</v>
      </c>
    </row>
    <row r="104" spans="2:12" x14ac:dyDescent="0.3">
      <c r="B104" t="s">
        <v>114</v>
      </c>
      <c r="C104" s="16">
        <f>IFERROR('Cash Flow Data'!E34,0)</f>
        <v>-2849</v>
      </c>
      <c r="D104" s="16">
        <f>IFERROR('Cash Flow Data'!F34,0)</f>
        <v>-450</v>
      </c>
      <c r="E104" s="16">
        <f>IFERROR('Cash Flow Data'!G34,0)</f>
        <v>-57</v>
      </c>
      <c r="F104" s="16">
        <f>IFERROR('Cash Flow Data'!H34,0)</f>
        <v>0</v>
      </c>
      <c r="G104" s="16">
        <f>IFERROR('Cash Flow Data'!I34,0)</f>
        <v>0</v>
      </c>
      <c r="H104" s="16">
        <f>IFERROR('Cash Flow Data'!J34,0)</f>
        <v>0</v>
      </c>
      <c r="I104" s="16">
        <f>IFERROR('Cash Flow Data'!K34,0)</f>
        <v>0</v>
      </c>
      <c r="J104" s="16">
        <f>IFERROR('Cash Flow Data'!L34,0)</f>
        <v>-29</v>
      </c>
      <c r="K104" s="16">
        <f>IFERROR('Cash Flow Data'!M34,0)</f>
        <v>0</v>
      </c>
      <c r="L104" s="16">
        <f>IFERROR('Cash Flow Data'!N34,0)</f>
        <v>3750</v>
      </c>
    </row>
    <row r="105" spans="2:12" x14ac:dyDescent="0.3">
      <c r="B105" s="15" t="s">
        <v>124</v>
      </c>
      <c r="C105" s="28">
        <f>SUM(C96:C104)</f>
        <v>-1694</v>
      </c>
      <c r="D105" s="28">
        <f t="shared" ref="D105:L105" si="24">SUM(D96:D104)</f>
        <v>-3884</v>
      </c>
      <c r="E105" s="28">
        <f t="shared" si="24"/>
        <v>5203</v>
      </c>
      <c r="F105" s="28">
        <f t="shared" si="24"/>
        <v>-3796</v>
      </c>
      <c r="G105" s="28">
        <f t="shared" si="24"/>
        <v>6206</v>
      </c>
      <c r="H105" s="28">
        <f t="shared" si="24"/>
        <v>2011</v>
      </c>
      <c r="I105" s="28">
        <f t="shared" si="24"/>
        <v>8830</v>
      </c>
      <c r="J105" s="28">
        <f t="shared" si="24"/>
        <v>3389</v>
      </c>
      <c r="K105" s="28">
        <f t="shared" si="24"/>
        <v>9905</v>
      </c>
      <c r="L105" s="28">
        <f t="shared" si="24"/>
        <v>-3379</v>
      </c>
    </row>
    <row r="107" spans="2:12" x14ac:dyDescent="0.3">
      <c r="B107" s="15" t="s">
        <v>52</v>
      </c>
      <c r="C107" s="28">
        <f>IFERROR(C78+C93+C105,0)</f>
        <v>-2504</v>
      </c>
      <c r="D107" s="28">
        <f t="shared" ref="D107:L107" si="25">IFERROR(D78+D93+D105,0)</f>
        <v>8433</v>
      </c>
      <c r="E107" s="28">
        <f t="shared" si="25"/>
        <v>830</v>
      </c>
      <c r="F107" s="28">
        <f t="shared" si="25"/>
        <v>-1278</v>
      </c>
      <c r="G107" s="28">
        <f t="shared" si="25"/>
        <v>88</v>
      </c>
      <c r="H107" s="28">
        <f t="shared" si="25"/>
        <v>-5706</v>
      </c>
      <c r="I107" s="28">
        <f t="shared" si="25"/>
        <v>-378</v>
      </c>
      <c r="J107" s="28">
        <f t="shared" si="25"/>
        <v>1971</v>
      </c>
      <c r="K107" s="28">
        <f t="shared" si="25"/>
        <v>13141</v>
      </c>
      <c r="L107" s="28">
        <f t="shared" si="25"/>
        <v>-4013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21 M24 M30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A998-E525-4B0B-B72C-15A1B3A9AAF1}">
  <dimension ref="B2:O20"/>
  <sheetViews>
    <sheetView showGridLines="0" workbookViewId="0">
      <selection activeCell="P14" sqref="P14"/>
    </sheetView>
  </sheetViews>
  <sheetFormatPr defaultRowHeight="14.4" x14ac:dyDescent="0.3"/>
  <cols>
    <col min="1" max="1" width="1.88671875" customWidth="1"/>
    <col min="2" max="5" width="10.77734375" customWidth="1"/>
    <col min="6" max="6" width="2.77734375" customWidth="1"/>
    <col min="7" max="10" width="10.77734375" customWidth="1"/>
    <col min="11" max="11" width="2.77734375" customWidth="1"/>
    <col min="12" max="14" width="10.77734375" customWidth="1"/>
    <col min="15" max="15" width="13.88671875" bestFit="1" customWidth="1"/>
  </cols>
  <sheetData>
    <row r="2" spans="2:15" x14ac:dyDescent="0.3">
      <c r="B2" s="153" t="str">
        <f>'Data Sheet'!B1&amp;" - " &amp;'Data Sheet'!A17&amp;" Forecasting"</f>
        <v>TATA MOTORS LTD - Sales Forecasting</v>
      </c>
      <c r="C2" s="153"/>
      <c r="D2" s="153"/>
      <c r="E2" s="153"/>
      <c r="G2" s="153" t="str">
        <f>'Data Sheet'!B1&amp;" - "&amp;'Data Sheet'!A34&amp;" Forecasting"</f>
        <v>TATA MOTORS LTD - EBITDA Forecasting</v>
      </c>
      <c r="H2" s="153"/>
      <c r="I2" s="153"/>
      <c r="J2" s="153"/>
      <c r="L2" s="153" t="str">
        <f>'Data Sheet'!B1&amp;" - "&amp;HistoricalFS!B38&amp;" Forecasting"</f>
        <v>TATA MOTORS LTD - Earnings per Share Forecasting</v>
      </c>
      <c r="M2" s="153"/>
      <c r="N2" s="153"/>
      <c r="O2" s="153"/>
    </row>
    <row r="3" spans="2:15" x14ac:dyDescent="0.3">
      <c r="B3" s="44" t="s">
        <v>157</v>
      </c>
      <c r="C3" s="47" t="s">
        <v>158</v>
      </c>
      <c r="D3" s="12" t="s">
        <v>12</v>
      </c>
      <c r="E3" s="12" t="s">
        <v>60</v>
      </c>
      <c r="G3" s="44" t="s">
        <v>157</v>
      </c>
      <c r="H3" s="47" t="s">
        <v>158</v>
      </c>
      <c r="I3" s="12" t="s">
        <v>28</v>
      </c>
      <c r="J3" s="12" t="s">
        <v>125</v>
      </c>
      <c r="L3" s="44" t="s">
        <v>157</v>
      </c>
      <c r="M3" s="47" t="s">
        <v>158</v>
      </c>
      <c r="N3" s="12" t="s">
        <v>28</v>
      </c>
      <c r="O3" s="12" t="s">
        <v>125</v>
      </c>
    </row>
    <row r="4" spans="2:15" x14ac:dyDescent="0.3">
      <c r="B4" s="45">
        <v>1</v>
      </c>
      <c r="C4" s="48">
        <v>41364</v>
      </c>
      <c r="D4" s="46">
        <f t="array" ref="D4:D13">TRANSPOSE('Data Sheet'!B17:K17)</f>
        <v>188792.69</v>
      </c>
      <c r="G4">
        <f>B4</f>
        <v>1</v>
      </c>
      <c r="H4" s="55">
        <f>C4</f>
        <v>41364</v>
      </c>
      <c r="I4" s="46">
        <f t="array" ref="I4:I13">TRANSPOSE('Data Sheet'!B34:K34)</f>
        <v>24830.799999999999</v>
      </c>
      <c r="L4">
        <f>G4</f>
        <v>1</v>
      </c>
      <c r="M4" s="55">
        <f>C4</f>
        <v>41364</v>
      </c>
      <c r="N4" s="46">
        <f t="array" ref="N4:N13">TRANSPOSE(HistoricalFS!C38:L38)</f>
        <v>33.80158896822067</v>
      </c>
    </row>
    <row r="5" spans="2:15" x14ac:dyDescent="0.3">
      <c r="B5" s="45">
        <f>B4+1</f>
        <v>2</v>
      </c>
      <c r="C5" s="48">
        <v>41729</v>
      </c>
      <c r="D5" s="46">
        <v>232833.66</v>
      </c>
      <c r="E5" s="17">
        <f>D5/D4-1</f>
        <v>0.23327688164197458</v>
      </c>
      <c r="G5">
        <f t="shared" ref="G5:G18" si="0">B5</f>
        <v>2</v>
      </c>
      <c r="H5" s="55">
        <f t="shared" ref="H5:H18" si="1">C5</f>
        <v>41729</v>
      </c>
      <c r="I5" s="46">
        <v>34583.410000000003</v>
      </c>
      <c r="J5" s="17">
        <f>I5/I4-1</f>
        <v>0.39276261739452623</v>
      </c>
      <c r="L5">
        <f t="shared" ref="L5:L18" si="2">G5</f>
        <v>2</v>
      </c>
      <c r="M5" s="55">
        <f t="shared" ref="M5:M18" si="3">C5</f>
        <v>41729</v>
      </c>
      <c r="N5" s="46">
        <v>49.390351180993186</v>
      </c>
      <c r="O5" s="17">
        <f>N5/N4-1</f>
        <v>0.46118430194002547</v>
      </c>
    </row>
    <row r="6" spans="2:15" x14ac:dyDescent="0.3">
      <c r="B6" s="45">
        <f t="shared" ref="B6:B18" si="4">B5+1</f>
        <v>3</v>
      </c>
      <c r="C6" s="48">
        <v>42094</v>
      </c>
      <c r="D6" s="46">
        <v>263158.98</v>
      </c>
      <c r="E6" s="17">
        <f t="shared" ref="E6:E18" si="5">D6/D5-1</f>
        <v>0.13024457030826198</v>
      </c>
      <c r="G6">
        <f t="shared" si="0"/>
        <v>3</v>
      </c>
      <c r="H6" s="55">
        <f t="shared" si="1"/>
        <v>42094</v>
      </c>
      <c r="I6" s="46">
        <v>39879.32</v>
      </c>
      <c r="J6" s="17">
        <f t="shared" ref="J6:J18" si="6">I6/I5-1</f>
        <v>0.1531344075092651</v>
      </c>
      <c r="L6">
        <f t="shared" si="2"/>
        <v>3</v>
      </c>
      <c r="M6" s="55">
        <f t="shared" si="3"/>
        <v>42094</v>
      </c>
      <c r="N6" s="46">
        <v>46.220198102098706</v>
      </c>
      <c r="O6" s="17">
        <f t="shared" ref="O6:O18" si="7">N6/N5-1</f>
        <v>-6.4185676009415493E-2</v>
      </c>
    </row>
    <row r="7" spans="2:15" x14ac:dyDescent="0.3">
      <c r="B7" s="45">
        <f t="shared" si="4"/>
        <v>4</v>
      </c>
      <c r="C7" s="48">
        <v>42460</v>
      </c>
      <c r="D7" s="46">
        <v>273045.59999999998</v>
      </c>
      <c r="E7" s="17">
        <f t="shared" si="5"/>
        <v>3.75690010654397E-2</v>
      </c>
      <c r="G7">
        <f t="shared" si="0"/>
        <v>4</v>
      </c>
      <c r="H7" s="55">
        <f t="shared" si="1"/>
        <v>42460</v>
      </c>
      <c r="I7" s="46">
        <v>36204.22</v>
      </c>
      <c r="J7" s="17">
        <f t="shared" si="6"/>
        <v>-9.215553324379655E-2</v>
      </c>
      <c r="L7">
        <f t="shared" si="2"/>
        <v>4</v>
      </c>
      <c r="M7" s="55">
        <f t="shared" si="3"/>
        <v>42460</v>
      </c>
      <c r="N7" s="46">
        <v>47.694444444444336</v>
      </c>
      <c r="O7" s="17">
        <f t="shared" si="7"/>
        <v>3.189614936502605E-2</v>
      </c>
    </row>
    <row r="8" spans="2:15" x14ac:dyDescent="0.3">
      <c r="B8" s="45">
        <f t="shared" si="4"/>
        <v>5</v>
      </c>
      <c r="C8" s="48">
        <v>42825</v>
      </c>
      <c r="D8" s="46">
        <v>269692.51</v>
      </c>
      <c r="E8" s="17">
        <f t="shared" si="5"/>
        <v>-1.2280329732469508E-2</v>
      </c>
      <c r="G8">
        <f t="shared" si="0"/>
        <v>5</v>
      </c>
      <c r="H8" s="55">
        <f t="shared" si="1"/>
        <v>42825</v>
      </c>
      <c r="I8" s="46">
        <v>32848.590000000004</v>
      </c>
      <c r="J8" s="17">
        <f t="shared" si="6"/>
        <v>-9.2686156475681458E-2</v>
      </c>
      <c r="L8">
        <f t="shared" si="2"/>
        <v>5</v>
      </c>
      <c r="M8" s="55">
        <f t="shared" si="3"/>
        <v>42825</v>
      </c>
      <c r="N8" s="46">
        <v>14.527274616423808</v>
      </c>
      <c r="O8" s="17">
        <f t="shared" si="7"/>
        <v>-0.69540950134463697</v>
      </c>
    </row>
    <row r="9" spans="2:15" x14ac:dyDescent="0.3">
      <c r="B9" s="45">
        <f t="shared" si="4"/>
        <v>6</v>
      </c>
      <c r="C9" s="48">
        <v>43190</v>
      </c>
      <c r="D9" s="46">
        <v>291550.48</v>
      </c>
      <c r="E9" s="17">
        <f t="shared" si="5"/>
        <v>8.104774581985974E-2</v>
      </c>
      <c r="G9">
        <f t="shared" si="0"/>
        <v>6</v>
      </c>
      <c r="H9" s="55">
        <f t="shared" si="1"/>
        <v>43190</v>
      </c>
      <c r="I9" s="46">
        <v>39566.22</v>
      </c>
      <c r="J9" s="17">
        <f t="shared" si="6"/>
        <v>0.20450284167448274</v>
      </c>
      <c r="L9">
        <f t="shared" si="2"/>
        <v>6</v>
      </c>
      <c r="M9" s="55">
        <f t="shared" si="3"/>
        <v>43190</v>
      </c>
      <c r="N9" s="46">
        <v>3.049111626779315</v>
      </c>
      <c r="O9" s="17">
        <f t="shared" si="7"/>
        <v>-0.79011124197155724</v>
      </c>
    </row>
    <row r="10" spans="2:15" x14ac:dyDescent="0.3">
      <c r="B10" s="45">
        <f t="shared" si="4"/>
        <v>7</v>
      </c>
      <c r="C10" s="48">
        <v>43555</v>
      </c>
      <c r="D10" s="46">
        <v>301938.40000000002</v>
      </c>
      <c r="E10" s="17">
        <f t="shared" si="5"/>
        <v>3.5629919045237157E-2</v>
      </c>
      <c r="G10">
        <f t="shared" si="0"/>
        <v>7</v>
      </c>
      <c r="H10" s="55">
        <f t="shared" si="1"/>
        <v>43555</v>
      </c>
      <c r="I10" s="46">
        <v>-1914.4500000000007</v>
      </c>
      <c r="J10" s="17">
        <f t="shared" si="6"/>
        <v>-1.0483859716697728</v>
      </c>
      <c r="L10">
        <f t="shared" si="2"/>
        <v>7</v>
      </c>
      <c r="M10" s="55">
        <f t="shared" si="3"/>
        <v>43555</v>
      </c>
      <c r="N10" s="46">
        <v>-7.7839157690575265</v>
      </c>
      <c r="O10" s="17">
        <f t="shared" si="7"/>
        <v>-3.5528470983790919</v>
      </c>
    </row>
    <row r="11" spans="2:15" x14ac:dyDescent="0.3">
      <c r="B11" s="45">
        <f t="shared" si="4"/>
        <v>8</v>
      </c>
      <c r="C11" s="48">
        <v>43921</v>
      </c>
      <c r="D11" s="46">
        <v>261067.97</v>
      </c>
      <c r="E11" s="17">
        <f t="shared" si="5"/>
        <v>-0.135360159555724</v>
      </c>
      <c r="G11">
        <f t="shared" si="0"/>
        <v>8</v>
      </c>
      <c r="H11" s="55">
        <f t="shared" si="1"/>
        <v>43921</v>
      </c>
      <c r="I11" s="46">
        <v>16993.16</v>
      </c>
      <c r="J11" s="17">
        <f t="shared" si="6"/>
        <v>-9.8762621118336824</v>
      </c>
      <c r="L11">
        <f t="shared" si="2"/>
        <v>8</v>
      </c>
      <c r="M11" s="55">
        <f t="shared" si="3"/>
        <v>43921</v>
      </c>
      <c r="N11" s="46">
        <v>-35.859307219164904</v>
      </c>
      <c r="O11" s="17">
        <f t="shared" si="7"/>
        <v>3.6068467700681115</v>
      </c>
    </row>
    <row r="12" spans="2:15" x14ac:dyDescent="0.3">
      <c r="B12" s="45">
        <f t="shared" si="4"/>
        <v>9</v>
      </c>
      <c r="C12" s="48">
        <v>44286</v>
      </c>
      <c r="D12" s="46">
        <v>249794.75</v>
      </c>
      <c r="E12" s="17">
        <f t="shared" si="5"/>
        <v>-4.3181168490336042E-2</v>
      </c>
      <c r="G12">
        <f t="shared" si="0"/>
        <v>9</v>
      </c>
      <c r="H12" s="55">
        <f t="shared" si="1"/>
        <v>44286</v>
      </c>
      <c r="I12" s="46">
        <v>20734.349999999999</v>
      </c>
      <c r="J12" s="17">
        <f t="shared" si="6"/>
        <v>0.22015858145277267</v>
      </c>
      <c r="L12">
        <f t="shared" si="2"/>
        <v>9</v>
      </c>
      <c r="M12" s="55">
        <f t="shared" si="3"/>
        <v>44286</v>
      </c>
      <c r="N12" s="46">
        <v>-5.7172845827184542</v>
      </c>
      <c r="O12" s="17">
        <f t="shared" si="7"/>
        <v>-0.84056344011958861</v>
      </c>
    </row>
    <row r="13" spans="2:15" x14ac:dyDescent="0.3">
      <c r="B13" s="45">
        <f t="shared" si="4"/>
        <v>10</v>
      </c>
      <c r="C13" s="48">
        <v>44651</v>
      </c>
      <c r="D13" s="46">
        <v>278453.62</v>
      </c>
      <c r="E13" s="17">
        <f t="shared" si="5"/>
        <v>0.11472967306158344</v>
      </c>
      <c r="G13">
        <f t="shared" si="0"/>
        <v>10</v>
      </c>
      <c r="H13" s="55">
        <f t="shared" si="1"/>
        <v>44651</v>
      </c>
      <c r="I13" s="46">
        <v>26937.37</v>
      </c>
      <c r="J13" s="17">
        <f t="shared" si="6"/>
        <v>0.29916635920585888</v>
      </c>
      <c r="L13">
        <f t="shared" si="2"/>
        <v>10</v>
      </c>
      <c r="M13" s="55">
        <f t="shared" si="3"/>
        <v>44651</v>
      </c>
      <c r="N13" s="46">
        <v>-41.132140813683833</v>
      </c>
      <c r="O13" s="17">
        <f t="shared" si="7"/>
        <v>6.194349033807641</v>
      </c>
    </row>
    <row r="14" spans="2:15" x14ac:dyDescent="0.3">
      <c r="B14" s="50">
        <f t="shared" si="4"/>
        <v>11</v>
      </c>
      <c r="C14" s="51">
        <v>45016</v>
      </c>
      <c r="D14" s="52">
        <f>FORECAST(B14,$D$4:$D$13,$B$4:$B$13)</f>
        <v>295158.11</v>
      </c>
      <c r="E14" s="53">
        <f t="shared" si="5"/>
        <v>5.9990205909336014E-2</v>
      </c>
      <c r="G14" s="54">
        <f t="shared" si="0"/>
        <v>11</v>
      </c>
      <c r="H14" s="51">
        <f t="shared" si="1"/>
        <v>45016</v>
      </c>
      <c r="I14" s="52">
        <f>FORECAST(G14,$I$4:$I$13,$G$4:$G$13)</f>
        <v>17064.51666666667</v>
      </c>
      <c r="J14" s="53">
        <f t="shared" si="6"/>
        <v>-0.36651140528319315</v>
      </c>
      <c r="L14" s="54">
        <f t="shared" si="2"/>
        <v>11</v>
      </c>
      <c r="M14" s="51">
        <f t="shared" si="3"/>
        <v>45016</v>
      </c>
      <c r="N14" s="52">
        <f>FORECAST(L14,$N$4:$N$13,$L$4:$L$13)</f>
        <v>-44.529894231886132</v>
      </c>
      <c r="O14" s="53">
        <f t="shared" si="7"/>
        <v>8.2605800500224369E-2</v>
      </c>
    </row>
    <row r="15" spans="2:15" x14ac:dyDescent="0.3">
      <c r="B15" s="50">
        <f t="shared" si="4"/>
        <v>12</v>
      </c>
      <c r="C15" s="51">
        <v>45382</v>
      </c>
      <c r="D15" s="52">
        <f t="shared" ref="D15:D18" si="8">FORECAST(B15,$D$4:$D$13,$B$4:$B$13)</f>
        <v>301362.69981818181</v>
      </c>
      <c r="E15" s="53">
        <f t="shared" si="5"/>
        <v>2.1021241185552375E-2</v>
      </c>
      <c r="G15" s="54">
        <f t="shared" si="0"/>
        <v>12</v>
      </c>
      <c r="H15" s="51">
        <f t="shared" si="1"/>
        <v>45382</v>
      </c>
      <c r="I15" s="52">
        <f t="shared" ref="I15:I18" si="9">FORECAST(G15,$I$4:$I$13,$G$4:$G$13)</f>
        <v>15246.010787878793</v>
      </c>
      <c r="J15" s="53">
        <f t="shared" si="6"/>
        <v>-0.10656650371704302</v>
      </c>
      <c r="L15" s="54">
        <f t="shared" si="2"/>
        <v>12</v>
      </c>
      <c r="M15" s="51">
        <f t="shared" si="3"/>
        <v>45382</v>
      </c>
      <c r="N15" s="52">
        <f t="shared" ref="N15:N18" si="10">FORECAST(L15,$N$4:$N$13,$L$4:$L$13)</f>
        <v>-54.520608102307889</v>
      </c>
      <c r="O15" s="53">
        <f t="shared" si="7"/>
        <v>0.22435970358240365</v>
      </c>
    </row>
    <row r="16" spans="2:15" x14ac:dyDescent="0.3">
      <c r="B16" s="50">
        <f t="shared" si="4"/>
        <v>13</v>
      </c>
      <c r="C16" s="51">
        <v>45747</v>
      </c>
      <c r="D16" s="52">
        <f t="shared" si="8"/>
        <v>307567.28963636362</v>
      </c>
      <c r="E16" s="53">
        <f t="shared" si="5"/>
        <v>2.0588446486327516E-2</v>
      </c>
      <c r="G16" s="54">
        <f t="shared" si="0"/>
        <v>13</v>
      </c>
      <c r="H16" s="51">
        <f t="shared" si="1"/>
        <v>45747</v>
      </c>
      <c r="I16" s="52">
        <f t="shared" si="9"/>
        <v>13427.504909090912</v>
      </c>
      <c r="J16" s="53">
        <f t="shared" si="6"/>
        <v>-0.11927748865517451</v>
      </c>
      <c r="L16" s="54">
        <f t="shared" si="2"/>
        <v>13</v>
      </c>
      <c r="M16" s="51">
        <f t="shared" si="3"/>
        <v>45747</v>
      </c>
      <c r="N16" s="52">
        <f t="shared" si="10"/>
        <v>-64.511321972729647</v>
      </c>
      <c r="O16" s="53">
        <f t="shared" si="7"/>
        <v>0.18324655975359239</v>
      </c>
    </row>
    <row r="17" spans="2:15" x14ac:dyDescent="0.3">
      <c r="B17" s="50">
        <f t="shared" si="4"/>
        <v>14</v>
      </c>
      <c r="C17" s="51">
        <v>46112</v>
      </c>
      <c r="D17" s="52">
        <f t="shared" si="8"/>
        <v>313771.87945454544</v>
      </c>
      <c r="E17" s="53">
        <f t="shared" si="5"/>
        <v>2.0173113420212774E-2</v>
      </c>
      <c r="G17" s="54">
        <f t="shared" si="0"/>
        <v>14</v>
      </c>
      <c r="H17" s="51">
        <f t="shared" si="1"/>
        <v>46112</v>
      </c>
      <c r="I17" s="52">
        <f t="shared" si="9"/>
        <v>11608.999030303035</v>
      </c>
      <c r="J17" s="53">
        <f t="shared" si="6"/>
        <v>-0.13543140673563869</v>
      </c>
      <c r="L17" s="54">
        <f t="shared" si="2"/>
        <v>14</v>
      </c>
      <c r="M17" s="51">
        <f t="shared" si="3"/>
        <v>46112</v>
      </c>
      <c r="N17" s="52">
        <f t="shared" si="10"/>
        <v>-74.502035843151404</v>
      </c>
      <c r="O17" s="53">
        <f t="shared" si="7"/>
        <v>0.15486760408731115</v>
      </c>
    </row>
    <row r="18" spans="2:15" x14ac:dyDescent="0.3">
      <c r="B18" s="50">
        <f t="shared" si="4"/>
        <v>15</v>
      </c>
      <c r="C18" s="51">
        <v>46477</v>
      </c>
      <c r="D18" s="52">
        <f t="shared" si="8"/>
        <v>319976.46927272726</v>
      </c>
      <c r="E18" s="53">
        <f t="shared" si="5"/>
        <v>1.9774206117411541E-2</v>
      </c>
      <c r="G18" s="54">
        <f t="shared" si="0"/>
        <v>15</v>
      </c>
      <c r="H18" s="51">
        <f t="shared" si="1"/>
        <v>46477</v>
      </c>
      <c r="I18" s="52">
        <f t="shared" si="9"/>
        <v>9790.4931515151548</v>
      </c>
      <c r="J18" s="53">
        <f t="shared" si="6"/>
        <v>-0.15664622540160655</v>
      </c>
      <c r="L18" s="54">
        <f t="shared" si="2"/>
        <v>15</v>
      </c>
      <c r="M18" s="51">
        <f t="shared" si="3"/>
        <v>46477</v>
      </c>
      <c r="N18" s="52">
        <f t="shared" si="10"/>
        <v>-84.492749713573161</v>
      </c>
      <c r="O18" s="53">
        <f t="shared" si="7"/>
        <v>0.13409987737053441</v>
      </c>
    </row>
    <row r="19" spans="2:15" x14ac:dyDescent="0.3">
      <c r="B19" s="45"/>
      <c r="C19" s="49"/>
      <c r="D19" s="46"/>
      <c r="E19" s="17"/>
    </row>
    <row r="20" spans="2:15" x14ac:dyDescent="0.3">
      <c r="B20" s="45"/>
      <c r="C20" s="49"/>
      <c r="D20" s="46"/>
      <c r="E20" s="17"/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7796-67D2-4016-81CB-B5FB9247E251}">
  <dimension ref="B2:O49"/>
  <sheetViews>
    <sheetView showGridLines="0" workbookViewId="0">
      <selection activeCell="P14" sqref="P14"/>
    </sheetView>
  </sheetViews>
  <sheetFormatPr defaultRowHeight="14.4" x14ac:dyDescent="0.3"/>
  <cols>
    <col min="1" max="1" width="1.88671875" customWidth="1"/>
    <col min="2" max="2" width="23.88671875" bestFit="1" customWidth="1"/>
    <col min="3" max="12" width="10.77734375" customWidth="1"/>
    <col min="13" max="13" width="18.44140625" customWidth="1"/>
    <col min="14" max="14" width="10.6640625" bestFit="1" customWidth="1"/>
  </cols>
  <sheetData>
    <row r="2" spans="2:15" x14ac:dyDescent="0.3">
      <c r="B2" s="152" t="str">
        <f>"Historical Financial Statement - "&amp;'Data Sheet'!B1</f>
        <v>Historical Financial Statement - TATA MOTORS LTD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x14ac:dyDescent="0.3">
      <c r="B3" s="12" t="s">
        <v>56</v>
      </c>
      <c r="C3" s="13">
        <f>'Data Sheet'!B16</f>
        <v>41364</v>
      </c>
      <c r="D3" s="13">
        <f>'Data Sheet'!C16</f>
        <v>41729</v>
      </c>
      <c r="E3" s="13">
        <f>'Data Sheet'!D16</f>
        <v>42094</v>
      </c>
      <c r="F3" s="13">
        <f>'Data Sheet'!E16</f>
        <v>42460</v>
      </c>
      <c r="G3" s="13">
        <f>'Data Sheet'!F16</f>
        <v>42825</v>
      </c>
      <c r="H3" s="13">
        <f>'Data Sheet'!G16</f>
        <v>43190</v>
      </c>
      <c r="I3" s="13">
        <f>'Data Sheet'!H16</f>
        <v>43555</v>
      </c>
      <c r="J3" s="13">
        <f>'Data Sheet'!I16</f>
        <v>43921</v>
      </c>
      <c r="K3" s="13">
        <f>'Data Sheet'!J16</f>
        <v>44286</v>
      </c>
      <c r="L3" s="13">
        <f>'Data Sheet'!K16</f>
        <v>44651</v>
      </c>
      <c r="M3" s="43" t="s">
        <v>156</v>
      </c>
      <c r="N3" s="12" t="s">
        <v>154</v>
      </c>
      <c r="O3" s="12" t="s">
        <v>155</v>
      </c>
    </row>
    <row r="5" spans="2:15" x14ac:dyDescent="0.3">
      <c r="B5" s="32" t="s">
        <v>60</v>
      </c>
      <c r="C5" s="33"/>
      <c r="D5" s="33">
        <f>IFERROR(HistoricalFS!D7,0)</f>
        <v>0.23327688164197458</v>
      </c>
      <c r="E5" s="33">
        <f>IFERROR(HistoricalFS!E7,0)</f>
        <v>0.13024457030826198</v>
      </c>
      <c r="F5" s="33">
        <f>IFERROR(HistoricalFS!F7,0)</f>
        <v>3.75690010654397E-2</v>
      </c>
      <c r="G5" s="33">
        <f>IFERROR(HistoricalFS!G7,0)</f>
        <v>-1.2280329732469508E-2</v>
      </c>
      <c r="H5" s="33">
        <f>IFERROR(HistoricalFS!H7,0)</f>
        <v>8.104774581985974E-2</v>
      </c>
      <c r="I5" s="33">
        <f>IFERROR(HistoricalFS!I7,0)</f>
        <v>3.5629919045237157E-2</v>
      </c>
      <c r="J5" s="33">
        <f>IFERROR(HistoricalFS!J7,0)</f>
        <v>-0.135360159555724</v>
      </c>
      <c r="K5" s="33">
        <f>IFERROR(HistoricalFS!K7,0)</f>
        <v>-4.3181168490336042E-2</v>
      </c>
      <c r="L5" s="33">
        <f>IFERROR(HistoricalFS!L7,0)</f>
        <v>0.11472967306158344</v>
      </c>
      <c r="N5" s="17">
        <f>IFERROR(AVERAGE(D5:L5),0)</f>
        <v>4.9075125907091892E-2</v>
      </c>
      <c r="O5" s="17">
        <f>IFERROR(MEDIAN(C5:L5),0)</f>
        <v>3.75690010654397E-2</v>
      </c>
    </row>
    <row r="6" spans="2:15" x14ac:dyDescent="0.3">
      <c r="B6" t="s">
        <v>125</v>
      </c>
      <c r="C6" s="34"/>
      <c r="D6" s="34">
        <f>IFERROR(HistoricalFS!D18/HistoricalFS!C18-1,0)</f>
        <v>0.41703481625859018</v>
      </c>
      <c r="E6" s="34">
        <f>IFERROR(HistoricalFS!E18/HistoricalFS!D18-1,0)</f>
        <v>0.12582115468924693</v>
      </c>
      <c r="F6" s="34">
        <f>IFERROR(HistoricalFS!F18/HistoricalFS!E18-1,0)</f>
        <v>-2.1494113584437979E-2</v>
      </c>
      <c r="G6" s="34">
        <f>IFERROR(HistoricalFS!G18/HistoricalFS!F18-1,0)</f>
        <v>-0.22936587208052905</v>
      </c>
      <c r="H6" s="34">
        <f>IFERROR(HistoricalFS!H18/HistoricalFS!G18-1,0)</f>
        <v>6.3165689322506102E-2</v>
      </c>
      <c r="I6" s="34">
        <f>IFERROR(HistoricalFS!I18/HistoricalFS!H18-1,0)</f>
        <v>-0.21595203460649259</v>
      </c>
      <c r="J6" s="34">
        <f>IFERROR(HistoricalFS!J18/HistoricalFS!I18-1,0)</f>
        <v>-0.27072537547138131</v>
      </c>
      <c r="K6" s="34">
        <f>IFERROR(HistoricalFS!K18/HistoricalFS!J18-1,0)</f>
        <v>0.79503554497758966</v>
      </c>
      <c r="L6" s="34">
        <f>IFERROR(HistoricalFS!L18/HistoricalFS!K18-1,0)</f>
        <v>-0.234374182150762</v>
      </c>
      <c r="N6" s="17">
        <f t="shared" ref="N6:N9" si="0">IFERROR(AVERAGE(D6:L6),0)</f>
        <v>4.7682847483814433E-2</v>
      </c>
      <c r="O6" s="17">
        <f t="shared" ref="O6:O40" si="1">IFERROR(MEDIAN(C6:L6),0)</f>
        <v>-2.1494113584437979E-2</v>
      </c>
    </row>
    <row r="7" spans="2:15" x14ac:dyDescent="0.3">
      <c r="B7" t="s">
        <v>126</v>
      </c>
      <c r="C7" s="34"/>
      <c r="D7" s="34">
        <f>IFERROR(HistoricalFS!D27/HistoricalFS!C27-1,0)</f>
        <v>0.41619195426682576</v>
      </c>
      <c r="E7" s="34">
        <f>IFERROR(HistoricalFS!E27/HistoricalFS!D27-1,0)</f>
        <v>0.103163815795007</v>
      </c>
      <c r="F7" s="34">
        <f>IFERROR(HistoricalFS!F27/HistoricalFS!E27-1,0)</f>
        <v>-0.19978245260625749</v>
      </c>
      <c r="G7" s="34">
        <f>IFERROR(HistoricalFS!G27/HistoricalFS!F27-1,0)</f>
        <v>-0.55668251823863213</v>
      </c>
      <c r="H7" s="34">
        <f>IFERROR(HistoricalFS!H27/HistoricalFS!G27-1,0)</f>
        <v>-0.29861436616351744</v>
      </c>
      <c r="I7" s="34">
        <f>IFERROR(HistoricalFS!I27/HistoricalFS!H27-1,0)</f>
        <v>-1.897095149646705</v>
      </c>
      <c r="J7" s="34">
        <f>IFERROR(HistoricalFS!J27/HistoricalFS!I27-1,0)</f>
        <v>1.2800251873039095</v>
      </c>
      <c r="K7" s="34">
        <f>IFERROR(HistoricalFS!K27/HistoricalFS!J27-1,0)</f>
        <v>-1.0602479570180365</v>
      </c>
      <c r="L7" s="34">
        <f>IFERROR(HistoricalFS!L27/HistoricalFS!K27-1,0)</f>
        <v>-15.64914925025267</v>
      </c>
      <c r="N7" s="17">
        <f t="shared" si="0"/>
        <v>-1.9846878596177864</v>
      </c>
      <c r="O7" s="17">
        <f t="shared" si="1"/>
        <v>-0.29861436616351744</v>
      </c>
    </row>
    <row r="8" spans="2:15" x14ac:dyDescent="0.3">
      <c r="B8" t="s">
        <v>127</v>
      </c>
      <c r="C8" s="34"/>
      <c r="D8" s="34">
        <f>IFERROR(HistoricalFS!D33/HistoricalFS!C33-1,0)</f>
        <v>0.47662871112334759</v>
      </c>
      <c r="E8" s="34">
        <f>IFERROR(HistoricalFS!E33/HistoricalFS!D33-1,0)</f>
        <v>-6.4185676009415382E-2</v>
      </c>
      <c r="F8" s="34">
        <f>IFERROR(HistoricalFS!F33/HistoricalFS!E33-1,0)</f>
        <v>3.1824673563310757E-2</v>
      </c>
      <c r="G8" s="34">
        <f>IFERROR(HistoricalFS!G33/HistoricalFS!F33-1,0)</f>
        <v>-0.69539895165986787</v>
      </c>
      <c r="H8" s="34">
        <f>IFERROR(HistoricalFS!H33/HistoricalFS!G33-1,0)</f>
        <v>-0.79011124197155724</v>
      </c>
      <c r="I8" s="34">
        <f>IFERROR(HistoricalFS!I33/HistoricalFS!H33-1,0)</f>
        <v>-3.5528470983790919</v>
      </c>
      <c r="J8" s="34">
        <f>IFERROR(HistoricalFS!J33/HistoricalFS!I33-1,0)</f>
        <v>3.9286702707513577</v>
      </c>
      <c r="K8" s="34">
        <f>IFERROR(HistoricalFS!K33/HistoricalFS!J33-1,0)</f>
        <v>-0.82862505348950144</v>
      </c>
      <c r="L8" s="34">
        <f>IFERROR(HistoricalFS!L33/HistoricalFS!K33-1,0)</f>
        <v>6.1952157445306248</v>
      </c>
      <c r="N8" s="17">
        <f t="shared" si="0"/>
        <v>0.52235237538435642</v>
      </c>
      <c r="O8" s="17">
        <f t="shared" si="1"/>
        <v>-6.4185676009415382E-2</v>
      </c>
    </row>
    <row r="9" spans="2:15" x14ac:dyDescent="0.3">
      <c r="B9" s="35" t="s">
        <v>128</v>
      </c>
      <c r="C9" s="36"/>
      <c r="D9" s="36">
        <f>IFERROR(HistoricalFS!D41/HistoricalFS!C41-1,0)</f>
        <v>-1.6039735328686744E-3</v>
      </c>
      <c r="E9" s="36">
        <f>IFERROR(HistoricalFS!E41/HistoricalFS!D41-1,0)</f>
        <v>-1</v>
      </c>
      <c r="F9" s="36">
        <f>IFERROR(HistoricalFS!F41/HistoricalFS!E41-1,0)</f>
        <v>0</v>
      </c>
      <c r="G9" s="36">
        <f>IFERROR(HistoricalFS!G41/HistoricalFS!F41-1,0)</f>
        <v>-1</v>
      </c>
      <c r="H9" s="36">
        <f>IFERROR(HistoricalFS!H41/HistoricalFS!G41-1,0)</f>
        <v>0</v>
      </c>
      <c r="I9" s="36">
        <f>IFERROR(HistoricalFS!I41/HistoricalFS!H41-1,0)</f>
        <v>0</v>
      </c>
      <c r="J9" s="36">
        <f>IFERROR(HistoricalFS!J41/HistoricalFS!I41-1,0)</f>
        <v>0</v>
      </c>
      <c r="K9" s="36">
        <f>IFERROR(HistoricalFS!K41/HistoricalFS!J41-1,0)</f>
        <v>0</v>
      </c>
      <c r="L9" s="36">
        <f>IFERROR(HistoricalFS!L41/HistoricalFS!K41-1,0)</f>
        <v>0</v>
      </c>
      <c r="N9" s="17">
        <f t="shared" si="0"/>
        <v>-0.2224004415036521</v>
      </c>
      <c r="O9" s="17">
        <f t="shared" si="1"/>
        <v>0</v>
      </c>
    </row>
    <row r="10" spans="2:15" x14ac:dyDescent="0.3">
      <c r="O10" s="17"/>
    </row>
    <row r="11" spans="2:15" x14ac:dyDescent="0.3">
      <c r="B11" s="32" t="s">
        <v>129</v>
      </c>
      <c r="C11" s="33">
        <f>IFERROR(HistoricalFS!C13,0)</f>
        <v>0.24658767243583429</v>
      </c>
      <c r="D11" s="33">
        <f>IFERROR(HistoricalFS!D13,0)</f>
        <v>0.22635301098646982</v>
      </c>
      <c r="E11" s="33">
        <f>IFERROR(HistoricalFS!E13,0)</f>
        <v>0.22914703499762759</v>
      </c>
      <c r="F11" s="33">
        <f>IFERROR(HistoricalFS!F13,0)</f>
        <v>0.24734524196690946</v>
      </c>
      <c r="G11" s="33">
        <f>IFERROR(HistoricalFS!G13,0)</f>
        <v>0.23819078253229964</v>
      </c>
      <c r="H11" s="33">
        <f>IFERROR(HistoricalFS!H13,0)</f>
        <v>0.21649990080619999</v>
      </c>
      <c r="I11" s="33">
        <f>IFERROR(HistoricalFS!I13,0)</f>
        <v>0.19571167496416494</v>
      </c>
      <c r="J11" s="33">
        <f>IFERROR(HistoricalFS!J13,0)</f>
        <v>0.19417127271491774</v>
      </c>
      <c r="K11" s="33">
        <f>IFERROR(HistoricalFS!K13,0)</f>
        <v>0.2180538622208833</v>
      </c>
      <c r="L11" s="33">
        <f>IFERROR(HistoricalFS!L13,0)</f>
        <v>0.19807108271747378</v>
      </c>
      <c r="N11" s="17">
        <f>IFERROR(AVERAGE(C11:L11),0)</f>
        <v>0.22101315363427809</v>
      </c>
      <c r="O11" s="17">
        <f t="shared" si="1"/>
        <v>0.22220343660367656</v>
      </c>
    </row>
    <row r="12" spans="2:15" x14ac:dyDescent="0.3">
      <c r="B12" t="s">
        <v>130</v>
      </c>
      <c r="C12" s="34">
        <f>IFERROR(HistoricalFS!C19,0)</f>
        <v>0.13028036202037277</v>
      </c>
      <c r="D12" s="34">
        <f>IFERROR(HistoricalFS!D19,0)</f>
        <v>0.14969210207836775</v>
      </c>
      <c r="E12" s="34">
        <f>IFERROR(HistoricalFS!E19,0)</f>
        <v>0.14910625508580397</v>
      </c>
      <c r="F12" s="34">
        <f>IFERROR(HistoricalFS!F19,0)</f>
        <v>0.14061845347443788</v>
      </c>
      <c r="G12" s="34">
        <f>IFERROR(HistoricalFS!G19,0)</f>
        <v>0.10971268723777329</v>
      </c>
      <c r="H12" s="34">
        <f>IFERROR(HistoricalFS!H19,0)</f>
        <v>0.10789788444182975</v>
      </c>
      <c r="I12" s="34">
        <f>IFERROR(HistoricalFS!I19,0)</f>
        <v>8.1686628795807431E-2</v>
      </c>
      <c r="J12" s="34">
        <f>IFERROR(HistoricalFS!J19,0)</f>
        <v>6.8898034485042198E-2</v>
      </c>
      <c r="K12" s="34">
        <f>IFERROR(HistoricalFS!K19,0)</f>
        <v>0.12925583904385496</v>
      </c>
      <c r="L12" s="34">
        <f>IFERROR(HistoricalFS!L19,0)</f>
        <v>8.877632835227646E-2</v>
      </c>
      <c r="N12" s="17">
        <f t="shared" ref="N12:N40" si="2">IFERROR(AVERAGE(C12:L12),0)</f>
        <v>0.11559245750155667</v>
      </c>
      <c r="O12" s="17">
        <f t="shared" si="1"/>
        <v>0.11948426314081412</v>
      </c>
    </row>
    <row r="13" spans="2:15" x14ac:dyDescent="0.3">
      <c r="B13" t="s">
        <v>131</v>
      </c>
      <c r="C13" s="34">
        <f>IFERROR((HistoricalFS!C18-HistoricalFS!C24)/HistoricalFS!C6,0)</f>
        <v>9.0017786175937281E-2</v>
      </c>
      <c r="D13" s="34">
        <f>IFERROR((HistoricalFS!D18-HistoricalFS!D24)/HistoricalFS!D6,0)</f>
        <v>0.10211238357890337</v>
      </c>
      <c r="E13" s="34">
        <f>IFERROR((HistoricalFS!E18-HistoricalFS!E24)/HistoricalFS!E6,0)</f>
        <v>9.8229670900837146E-2</v>
      </c>
      <c r="F13" s="34">
        <f>IFERROR((HistoricalFS!F18-HistoricalFS!F24)/HistoricalFS!F6,0)</f>
        <v>7.941702777851016E-2</v>
      </c>
      <c r="G13" s="34">
        <f>IFERROR((HistoricalFS!G18-HistoricalFS!G24)/HistoricalFS!G6,0)</f>
        <v>4.3322300645279484E-2</v>
      </c>
      <c r="H13" s="34">
        <f>IFERROR((HistoricalFS!H18-HistoricalFS!H24)/HistoricalFS!H6,0)</f>
        <v>3.3970412259310953E-2</v>
      </c>
      <c r="I13" s="34">
        <f>IFERROR((HistoricalFS!I18-HistoricalFS!I24)/HistoricalFS!I6,0)</f>
        <v>3.5560233478087663E-3</v>
      </c>
      <c r="J13" s="34">
        <f>IFERROR((HistoricalFS!J18-HistoricalFS!J24)/HistoricalFS!J6,0)</f>
        <v>-1.3170363258273456E-2</v>
      </c>
      <c r="K13" s="34">
        <f>IFERROR((HistoricalFS!K18-HistoricalFS!K24)/HistoricalFS!K6,0)</f>
        <v>3.4991608110258483E-2</v>
      </c>
      <c r="L13" s="34">
        <f>IFERROR((HistoricalFS!L18-HistoricalFS!L24)/HistoricalFS!L6,0)</f>
        <v>-4.1514992694289269E-4</v>
      </c>
      <c r="N13" s="17">
        <f t="shared" si="2"/>
        <v>4.7203169961162923E-2</v>
      </c>
      <c r="O13" s="17">
        <f t="shared" si="1"/>
        <v>3.9156954377768984E-2</v>
      </c>
    </row>
    <row r="14" spans="2:15" x14ac:dyDescent="0.3">
      <c r="B14" t="s">
        <v>132</v>
      </c>
      <c r="C14" s="34">
        <f>IFERROR(HistoricalFS!C28,0)</f>
        <v>7.115979967232848E-2</v>
      </c>
      <c r="D14" s="34">
        <f>IFERROR(HistoricalFS!D28,0)</f>
        <v>8.1713958368390432E-2</v>
      </c>
      <c r="E14" s="34">
        <f>IFERROR(HistoricalFS!E28,0)</f>
        <v>7.9756085085905037E-2</v>
      </c>
      <c r="F14" s="34">
        <f>IFERROR(HistoricalFS!F28,0)</f>
        <v>6.1511300676516931E-2</v>
      </c>
      <c r="G14" s="34">
        <f>IFERROR(HistoricalFS!G28,0)</f>
        <v>2.7608071132565179E-2</v>
      </c>
      <c r="H14" s="34">
        <f>IFERROR(HistoricalFS!H28,0)</f>
        <v>1.7912163958707913E-2</v>
      </c>
      <c r="I14" s="34">
        <f>IFERROR(HistoricalFS!I28,0)</f>
        <v>-1.5516078776333117E-2</v>
      </c>
      <c r="J14" s="34">
        <f>IFERROR(HistoricalFS!J28,0)</f>
        <v>-4.0915360088026265E-2</v>
      </c>
      <c r="K14" s="34">
        <f>IFERROR(HistoricalFS!K28,0)</f>
        <v>2.5763151547420113E-3</v>
      </c>
      <c r="L14" s="34">
        <f>IFERROR(HistoricalFS!L28,0)</f>
        <v>-3.3856482095653805E-2</v>
      </c>
      <c r="N14" s="17">
        <f t="shared" si="2"/>
        <v>2.5194977308914283E-2</v>
      </c>
      <c r="O14" s="17">
        <f t="shared" si="1"/>
        <v>2.2760117545636546E-2</v>
      </c>
    </row>
    <row r="15" spans="2:15" x14ac:dyDescent="0.3">
      <c r="B15" s="35" t="s">
        <v>133</v>
      </c>
      <c r="C15" s="36">
        <f>IFERROR(HistoricalFS!C34,0)</f>
        <v>5.1155529379871709E-2</v>
      </c>
      <c r="D15" s="36">
        <f>IFERROR(HistoricalFS!D34,0)</f>
        <v>6.124960626397391E-2</v>
      </c>
      <c r="E15" s="36">
        <f>IFERROR(HistoricalFS!E34,0)</f>
        <v>5.0713146858982282E-2</v>
      </c>
      <c r="F15" s="36">
        <f>IFERROR(HistoricalFS!F34,0)</f>
        <v>5.0432381990407359E-2</v>
      </c>
      <c r="G15" s="36">
        <f>IFERROR(HistoricalFS!G34,0)</f>
        <v>1.5552749314395296E-2</v>
      </c>
      <c r="H15" s="36">
        <f>IFERROR(HistoricalFS!H34,0)</f>
        <v>3.01961430487095E-3</v>
      </c>
      <c r="I15" s="36">
        <f>IFERROR(HistoricalFS!I34,0)</f>
        <v>-7.4434056747998256E-3</v>
      </c>
      <c r="J15" s="36">
        <f>IFERROR(HistoricalFS!J34,0)</f>
        <v>-4.2429333632923408E-2</v>
      </c>
      <c r="K15" s="36">
        <f>IFERROR(HistoricalFS!K34,0)</f>
        <v>-7.5994791724005731E-3</v>
      </c>
      <c r="L15" s="36">
        <f>IFERROR(HistoricalFS!L34,0)</f>
        <v>-4.9052154538339235E-2</v>
      </c>
      <c r="N15" s="17">
        <f t="shared" si="2"/>
        <v>1.2559865509403845E-2</v>
      </c>
      <c r="O15" s="17">
        <f t="shared" si="1"/>
        <v>9.286181809633122E-3</v>
      </c>
    </row>
    <row r="16" spans="2:15" x14ac:dyDescent="0.3">
      <c r="N16" s="17"/>
      <c r="O16" s="17"/>
    </row>
    <row r="17" spans="2:15" x14ac:dyDescent="0.3">
      <c r="B17" s="32" t="s">
        <v>134</v>
      </c>
      <c r="C17" s="33">
        <f>IFERROR(HistoricalFS!C16,0)</f>
        <v>0.11630731041546154</v>
      </c>
      <c r="D17" s="33">
        <f>IFERROR(HistoricalFS!D16,0)</f>
        <v>7.6660908908102038E-2</v>
      </c>
      <c r="E17" s="33">
        <f>IFERROR(HistoricalFS!E16,0)</f>
        <v>8.0040779911823637E-2</v>
      </c>
      <c r="F17" s="33">
        <f>IFERROR(HistoricalFS!F16,0)</f>
        <v>0.10672678849247161</v>
      </c>
      <c r="G17" s="33">
        <f>IFERROR(HistoricalFS!G16,0)</f>
        <v>0.12847809529452636</v>
      </c>
      <c r="H17" s="33">
        <f>IFERROR(HistoricalFS!H16,0)</f>
        <v>0.10860201636437025</v>
      </c>
      <c r="I17" s="33">
        <f>IFERROR(HistoricalFS!I16,0)</f>
        <v>0.11402504616835751</v>
      </c>
      <c r="J17" s="33">
        <f>IFERROR(HistoricalFS!J16,0)</f>
        <v>0.12527323822987554</v>
      </c>
      <c r="K17" s="33">
        <f>IFERROR(HistoricalFS!K16,0)</f>
        <v>8.8798023177028354E-2</v>
      </c>
      <c r="L17" s="33">
        <f>IFERROR(HistoricalFS!L16,0)</f>
        <v>0.10929475436519734</v>
      </c>
      <c r="N17" s="17">
        <f t="shared" si="2"/>
        <v>0.10542069613272143</v>
      </c>
      <c r="O17" s="17">
        <f t="shared" si="1"/>
        <v>0.1089483853647838</v>
      </c>
    </row>
    <row r="18" spans="2:15" x14ac:dyDescent="0.3">
      <c r="B18" t="s">
        <v>69</v>
      </c>
      <c r="C18" s="34">
        <f>IFERROR(HistoricalFS!C25,0)</f>
        <v>4.0262575844435503E-2</v>
      </c>
      <c r="D18" s="34">
        <f>IFERROR(HistoricalFS!D25,0)</f>
        <v>4.757971849946438E-2</v>
      </c>
      <c r="E18" s="34">
        <f>IFERROR(HistoricalFS!E25,0)</f>
        <v>5.0876584184966822E-2</v>
      </c>
      <c r="F18" s="34">
        <f>IFERROR(HistoricalFS!F25,0)</f>
        <v>6.1201425695927715E-2</v>
      </c>
      <c r="G18" s="34">
        <f>IFERROR(HistoricalFS!G25,0)</f>
        <v>6.63903865924938E-2</v>
      </c>
      <c r="H18" s="34">
        <f>IFERROR(HistoricalFS!H25,0)</f>
        <v>7.3927472182518786E-2</v>
      </c>
      <c r="I18" s="34">
        <f>IFERROR(HistoricalFS!I25,0)</f>
        <v>7.8130605447998658E-2</v>
      </c>
      <c r="J18" s="34">
        <f>IFERROR(HistoricalFS!J25,0)</f>
        <v>8.206839774331566E-2</v>
      </c>
      <c r="K18" s="34">
        <f>IFERROR(HistoricalFS!K25,0)</f>
        <v>9.4264230933596482E-2</v>
      </c>
      <c r="L18" s="34">
        <f>IFERROR(HistoricalFS!L25,0)</f>
        <v>8.9191478279219347E-2</v>
      </c>
      <c r="N18" s="17">
        <f t="shared" si="2"/>
        <v>6.8389287540393723E-2</v>
      </c>
      <c r="O18" s="17">
        <f t="shared" si="1"/>
        <v>7.0158929387506286E-2</v>
      </c>
    </row>
    <row r="19" spans="2:15" x14ac:dyDescent="0.3">
      <c r="B19" s="35" t="s">
        <v>135</v>
      </c>
      <c r="C19" s="36">
        <f>IFERROR(C13,0)</f>
        <v>9.0017786175937281E-2</v>
      </c>
      <c r="D19" s="36">
        <f t="shared" ref="D19:L19" si="3">IFERROR(D13,0)</f>
        <v>0.10211238357890337</v>
      </c>
      <c r="E19" s="36">
        <f t="shared" si="3"/>
        <v>9.8229670900837146E-2</v>
      </c>
      <c r="F19" s="36">
        <f t="shared" si="3"/>
        <v>7.941702777851016E-2</v>
      </c>
      <c r="G19" s="36">
        <f t="shared" si="3"/>
        <v>4.3322300645279484E-2</v>
      </c>
      <c r="H19" s="36">
        <f t="shared" si="3"/>
        <v>3.3970412259310953E-2</v>
      </c>
      <c r="I19" s="36">
        <f t="shared" si="3"/>
        <v>3.5560233478087663E-3</v>
      </c>
      <c r="J19" s="36">
        <f t="shared" si="3"/>
        <v>-1.3170363258273456E-2</v>
      </c>
      <c r="K19" s="36">
        <f t="shared" si="3"/>
        <v>3.4991608110258483E-2</v>
      </c>
      <c r="L19" s="36">
        <f t="shared" si="3"/>
        <v>-4.1514992694289269E-4</v>
      </c>
      <c r="N19" s="17">
        <f t="shared" si="2"/>
        <v>4.7203169961162923E-2</v>
      </c>
      <c r="O19" s="17">
        <f t="shared" si="1"/>
        <v>3.9156954377768984E-2</v>
      </c>
    </row>
    <row r="20" spans="2:15" x14ac:dyDescent="0.3">
      <c r="N20" s="17"/>
      <c r="O20" s="17"/>
    </row>
    <row r="21" spans="2:15" x14ac:dyDescent="0.3">
      <c r="B21" s="32" t="s">
        <v>136</v>
      </c>
      <c r="C21" s="33">
        <f>IFERROR((HistoricalFS!C18-HistoricalFS!C24)/SUM(HistoricalFS!C47:C49),0)</f>
        <v>0.18603327903481243</v>
      </c>
      <c r="D21" s="33">
        <f>IFERROR((HistoricalFS!D18-HistoricalFS!D24)/SUM(HistoricalFS!D47:D49),0)</f>
        <v>0.18832478532145183</v>
      </c>
      <c r="E21" s="33">
        <f>IFERROR((HistoricalFS!E18-HistoricalFS!E24)/SUM(HistoricalFS!E47:E49),0)</f>
        <v>0.19904181268509033</v>
      </c>
      <c r="F21" s="33">
        <f>IFERROR((HistoricalFS!F18-HistoricalFS!F24)/SUM(HistoricalFS!F47:F49),0)</f>
        <v>0.1462081011853561</v>
      </c>
      <c r="G21" s="33">
        <f>IFERROR((HistoricalFS!G18-HistoricalFS!G24)/SUM(HistoricalFS!G47:G49),0)</f>
        <v>8.5490986154773282E-2</v>
      </c>
      <c r="H21" s="33">
        <f>IFERROR((HistoricalFS!H18-HistoricalFS!H24)/SUM(HistoricalFS!H47:H49),0)</f>
        <v>5.3716113570365424E-2</v>
      </c>
      <c r="I21" s="33">
        <f>IFERROR((HistoricalFS!I18-HistoricalFS!I24)/SUM(HistoricalFS!I47:I49),0)</f>
        <v>6.4542733637543747E-3</v>
      </c>
      <c r="J21" s="33">
        <f>IFERROR((HistoricalFS!J18-HistoricalFS!J24)/SUM(HistoricalFS!J47:J49),0)</f>
        <v>-1.8387082646096023E-2</v>
      </c>
      <c r="K21" s="33">
        <f>IFERROR((HistoricalFS!K18-HistoricalFS!K24)/SUM(HistoricalFS!K47:K49),0)</f>
        <v>4.4284324706251613E-2</v>
      </c>
      <c r="L21" s="33">
        <f>IFERROR((HistoricalFS!L18-HistoricalFS!L24)/SUM(HistoricalFS!L47:L49),0)</f>
        <v>-6.0520306054739361E-4</v>
      </c>
      <c r="N21" s="17">
        <f t="shared" si="2"/>
        <v>8.9056139031521209E-2</v>
      </c>
      <c r="O21" s="17">
        <f t="shared" si="1"/>
        <v>6.960354986256935E-2</v>
      </c>
    </row>
    <row r="22" spans="2:15" x14ac:dyDescent="0.3">
      <c r="B22" t="s">
        <v>138</v>
      </c>
      <c r="C22" s="34">
        <f>IFERROR(HistoricalFS!C44,0)</f>
        <v>0.93393209005372868</v>
      </c>
      <c r="D22" s="34">
        <f>IFERROR(HistoricalFS!D44,0)</f>
        <v>0.95485720817027164</v>
      </c>
      <c r="E22" s="34">
        <f>IFERROR(HistoricalFS!E44,0)</f>
        <v>1</v>
      </c>
      <c r="F22" s="34">
        <f>IFERROR(HistoricalFS!F44,0)</f>
        <v>0.99506765991253665</v>
      </c>
      <c r="G22" s="34">
        <f>IFERROR(HistoricalFS!G44,0)</f>
        <v>1</v>
      </c>
      <c r="H22" s="34">
        <f>IFERROR(HistoricalFS!H44,0)</f>
        <v>1</v>
      </c>
      <c r="I22" s="34">
        <f>IFERROR(HistoricalFS!I44,0)</f>
        <v>0</v>
      </c>
      <c r="J22" s="34">
        <f>IFERROR(HistoricalFS!J44,0)</f>
        <v>0</v>
      </c>
      <c r="K22" s="34">
        <f>IFERROR(HistoricalFS!K44,0)</f>
        <v>0</v>
      </c>
      <c r="L22" s="34">
        <f>IFERROR(HistoricalFS!L44,0)</f>
        <v>0</v>
      </c>
      <c r="N22" s="17">
        <f t="shared" si="2"/>
        <v>0.58838569581365374</v>
      </c>
      <c r="O22" s="17">
        <f t="shared" si="1"/>
        <v>0.94439464911200011</v>
      </c>
    </row>
    <row r="23" spans="2:15" x14ac:dyDescent="0.3">
      <c r="B23" t="s">
        <v>139</v>
      </c>
      <c r="C23" s="34">
        <f>IFERROR(HistoricalFS!C33/SUM(HistoricalFS!C47:C48),0)</f>
        <v>0.25660156281136032</v>
      </c>
      <c r="D23" s="34">
        <f>IFERROR(HistoricalFS!D33/SUM(HistoricalFS!D47:D48),0)</f>
        <v>0.21738140295975247</v>
      </c>
      <c r="E23" s="34">
        <f>IFERROR(HistoricalFS!E33/SUM(HistoricalFS!E47:E48),0)</f>
        <v>0.2372052002491202</v>
      </c>
      <c r="F23" s="34">
        <f>IFERROR(HistoricalFS!F33/SUM(HistoricalFS!F47:F48),0)</f>
        <v>0.17441316864171685</v>
      </c>
      <c r="G23" s="34">
        <f>IFERROR(HistoricalFS!G33/SUM(HistoricalFS!G47:G48),0)</f>
        <v>7.2241189530689517E-2</v>
      </c>
      <c r="H23" s="34">
        <f>IFERROR(HistoricalFS!H33/SUM(HistoricalFS!H47:H48),0)</f>
        <v>9.2254980749341738E-3</v>
      </c>
      <c r="I23" s="34">
        <f>IFERROR(HistoricalFS!I33/SUM(HistoricalFS!I47:I48),0)</f>
        <v>-3.7345736658758885E-2</v>
      </c>
      <c r="J23" s="34">
        <f>IFERROR(HistoricalFS!J33/SUM(HistoricalFS!J47:J48),0)</f>
        <v>-0.1780542775131683</v>
      </c>
      <c r="K23" s="34">
        <f>IFERROR(HistoricalFS!K33/SUM(HistoricalFS!K47:K48),0)</f>
        <v>-3.4360591904822733E-2</v>
      </c>
      <c r="L23" s="34">
        <f>IFERROR(HistoricalFS!L33/SUM(HistoricalFS!L47:L48),0)</f>
        <v>-0.30651638060341208</v>
      </c>
      <c r="N23" s="17">
        <f t="shared" si="2"/>
        <v>4.1079103558741156E-2</v>
      </c>
      <c r="O23" s="17">
        <f t="shared" si="1"/>
        <v>4.073334380281185E-2</v>
      </c>
    </row>
    <row r="24" spans="2:15" x14ac:dyDescent="0.3">
      <c r="B24" t="s">
        <v>140</v>
      </c>
      <c r="C24" s="34">
        <f>IFERROR(C22*C23,0)</f>
        <v>0.23964843386746687</v>
      </c>
      <c r="D24" s="34">
        <f t="shared" ref="D24:L24" si="4">IFERROR(D22*D23,0)</f>
        <v>0.20756819953828606</v>
      </c>
      <c r="E24" s="34">
        <f t="shared" si="4"/>
        <v>0.2372052002491202</v>
      </c>
      <c r="F24" s="34">
        <f t="shared" si="4"/>
        <v>0.17355290357824379</v>
      </c>
      <c r="G24" s="34">
        <f t="shared" si="4"/>
        <v>7.2241189530689517E-2</v>
      </c>
      <c r="H24" s="34">
        <f t="shared" si="4"/>
        <v>9.2254980749341738E-3</v>
      </c>
      <c r="I24" s="34">
        <f t="shared" si="4"/>
        <v>0</v>
      </c>
      <c r="J24" s="34">
        <f t="shared" si="4"/>
        <v>0</v>
      </c>
      <c r="K24" s="34">
        <f t="shared" si="4"/>
        <v>0</v>
      </c>
      <c r="L24" s="34">
        <f t="shared" si="4"/>
        <v>0</v>
      </c>
      <c r="N24" s="17">
        <f t="shared" si="2"/>
        <v>9.394414248387406E-2</v>
      </c>
      <c r="O24" s="17">
        <f t="shared" si="1"/>
        <v>4.073334380281185E-2</v>
      </c>
    </row>
    <row r="25" spans="2:15" x14ac:dyDescent="0.3">
      <c r="B25" s="35" t="s">
        <v>137</v>
      </c>
      <c r="C25" s="37">
        <f>IFERROR((HistoricalFS!C18-HistoricalFS!C24)/HistoricalFS!C21,0)</f>
        <v>4.773456920160104</v>
      </c>
      <c r="D25" s="37">
        <f>IFERROR((HistoricalFS!D18-HistoricalFS!D24)/HistoricalFS!D21,0)</f>
        <v>5.0058954318824904</v>
      </c>
      <c r="E25" s="37">
        <f>IFERROR((HistoricalFS!E18-HistoricalFS!E24)/HistoricalFS!E21,0)</f>
        <v>5.3173039541375138</v>
      </c>
      <c r="F25" s="37">
        <f>IFERROR((HistoricalFS!F18-HistoricalFS!F24)/HistoricalFS!F21,0)</f>
        <v>4.4352863933500721</v>
      </c>
      <c r="G25" s="37">
        <f>IFERROR((HistoricalFS!G18-HistoricalFS!G24)/HistoricalFS!G21,0)</f>
        <v>2.7568835373205922</v>
      </c>
      <c r="H25" s="37">
        <f>IFERROR((HistoricalFS!H18-HistoricalFS!H24)/HistoricalFS!H21,0)</f>
        <v>2.1154494328024094</v>
      </c>
      <c r="I25" s="37">
        <f>IFERROR((HistoricalFS!I18-HistoricalFS!I24)/HistoricalFS!I21,0)</f>
        <v>0.18645156808947008</v>
      </c>
      <c r="J25" s="37">
        <f>IFERROR((HistoricalFS!J18-HistoricalFS!J24)/HistoricalFS!J21,0)</f>
        <v>-0.47469326953211261</v>
      </c>
      <c r="K25" s="37">
        <f>IFERROR((HistoricalFS!K18-HistoricalFS!K24)/HistoricalFS!K21,0)</f>
        <v>1.079478385658198</v>
      </c>
      <c r="L25" s="37">
        <f>IFERROR((HistoricalFS!L18-HistoricalFS!L24)/HistoricalFS!L21,0)</f>
        <v>-1.2414275987824557E-2</v>
      </c>
      <c r="N25" s="17">
        <f t="shared" si="2"/>
        <v>2.5183098077880914</v>
      </c>
      <c r="O25" s="17">
        <f t="shared" si="1"/>
        <v>2.4361664850615008</v>
      </c>
    </row>
    <row r="26" spans="2:15" x14ac:dyDescent="0.3">
      <c r="N26" s="17"/>
      <c r="O26" s="17"/>
    </row>
    <row r="27" spans="2:15" x14ac:dyDescent="0.3">
      <c r="B27" s="32" t="s">
        <v>141</v>
      </c>
      <c r="C27" s="38">
        <f>IFERROR(HistoricalFS!C6/HistoricalFS!C59,0)</f>
        <v>17.226239096317382</v>
      </c>
      <c r="D27" s="38">
        <f>IFERROR(HistoricalFS!D6/HistoricalFS!D59,0)</f>
        <v>22.018970648453838</v>
      </c>
      <c r="E27" s="38">
        <f>IFERROR(HistoricalFS!E6/HistoricalFS!E59,0)</f>
        <v>20.92016821419486</v>
      </c>
      <c r="F27" s="38">
        <f>IFERROR(HistoricalFS!F6/HistoricalFS!F59,0)</f>
        <v>20.119918266350599</v>
      </c>
      <c r="G27" s="38">
        <f>IFERROR(HistoricalFS!G6/HistoricalFS!G59,0)</f>
        <v>19.160353236640844</v>
      </c>
      <c r="H27" s="38">
        <f>IFERROR(HistoricalFS!H6/HistoricalFS!H59,0)</f>
        <v>14.655712224718874</v>
      </c>
      <c r="I27" s="38">
        <f>IFERROR(HistoricalFS!I6/HistoricalFS!I59,0)</f>
        <v>15.894698773489607</v>
      </c>
      <c r="J27" s="38">
        <f>IFERROR(HistoricalFS!J6/HistoricalFS!J59,0)</f>
        <v>23.366617170976728</v>
      </c>
      <c r="K27" s="38">
        <f>IFERROR(HistoricalFS!K6/HistoricalFS!K59,0)</f>
        <v>19.701330853658153</v>
      </c>
      <c r="L27" s="38">
        <f>IFERROR(HistoricalFS!L6/HistoricalFS!L59,0)</f>
        <v>22.379917570317598</v>
      </c>
      <c r="N27" s="17">
        <f t="shared" si="2"/>
        <v>19.544392605511845</v>
      </c>
      <c r="O27" s="17">
        <f t="shared" si="1"/>
        <v>19.910624560004376</v>
      </c>
    </row>
    <row r="28" spans="2:15" x14ac:dyDescent="0.3">
      <c r="B28" t="s">
        <v>142</v>
      </c>
      <c r="C28" s="39">
        <f>IFERROR(HistoricalFS!C6/HistoricalFS!C50,0)</f>
        <v>2.4525850701936758</v>
      </c>
      <c r="D28" s="39">
        <f>IFERROR(HistoricalFS!D6/HistoricalFS!D50,0)</f>
        <v>2.5258516302731193</v>
      </c>
      <c r="E28" s="39">
        <f>IFERROR(HistoricalFS!E6/HistoricalFS!E50,0)</f>
        <v>2.4493010585757142</v>
      </c>
      <c r="F28" s="39">
        <f>IFERROR(HistoricalFS!F6/HistoricalFS!F50,0)</f>
        <v>2.3769603927858673</v>
      </c>
      <c r="G28" s="39">
        <f>IFERROR(HistoricalFS!G6/HistoricalFS!G50,0)</f>
        <v>1.9842807783040648</v>
      </c>
      <c r="H28" s="39">
        <f>IFERROR(HistoricalFS!H6/HistoricalFS!H50,0)</f>
        <v>2.0414780318629697</v>
      </c>
      <c r="I28" s="39">
        <f>IFERROR(HistoricalFS!I6/HistoricalFS!I50,0)</f>
        <v>2.1667847518227492</v>
      </c>
      <c r="J28" s="39">
        <f>IFERROR(HistoricalFS!J6/HistoricalFS!J50,0)</f>
        <v>1.9602534811345065</v>
      </c>
      <c r="K28" s="39">
        <f>IFERROR(HistoricalFS!K6/HistoricalFS!K50,0)</f>
        <v>1.7323684804395676</v>
      </c>
      <c r="L28" s="39">
        <f>IFERROR(HistoricalFS!L6/HistoricalFS!L50,0)</f>
        <v>2.0170312149360217</v>
      </c>
      <c r="N28" s="17">
        <f t="shared" si="2"/>
        <v>2.1706894890328257</v>
      </c>
      <c r="O28" s="17">
        <f t="shared" si="1"/>
        <v>2.1041313918428592</v>
      </c>
    </row>
    <row r="29" spans="2:15" x14ac:dyDescent="0.3">
      <c r="B29" t="s">
        <v>143</v>
      </c>
      <c r="C29" s="39">
        <f>IFERROR(HistoricalFS!C6/HistoricalFS!C60,0)</f>
        <v>8.9743929928572861</v>
      </c>
      <c r="D29" s="39">
        <f>IFERROR(HistoricalFS!D6/HistoricalFS!D60,0)</f>
        <v>8.5378093637574715</v>
      </c>
      <c r="E29" s="39">
        <f>IFERROR(HistoricalFS!E6/HistoricalFS!E60,0)</f>
        <v>8.9900219797938927</v>
      </c>
      <c r="F29" s="39">
        <f>IFERROR(HistoricalFS!F6/HistoricalFS!F60,0)</f>
        <v>8.3613381173839922</v>
      </c>
      <c r="G29" s="39">
        <f>IFERROR(HistoricalFS!G6/HistoricalFS!G60,0)</f>
        <v>7.6867643466738649</v>
      </c>
      <c r="H29" s="39">
        <f>IFERROR(HistoricalFS!H6/HistoricalFS!H60,0)</f>
        <v>6.9190051742350009</v>
      </c>
      <c r="I29" s="39">
        <f>IFERROR(HistoricalFS!I6/HistoricalFS!I60,0)</f>
        <v>7.7392856309817084</v>
      </c>
      <c r="J29" s="39">
        <f>IFERROR(HistoricalFS!J6/HistoricalFS!J60,0)</f>
        <v>6.9698269049637886</v>
      </c>
      <c r="K29" s="39">
        <f>IFERROR(HistoricalFS!K6/HistoricalFS!K60,0)</f>
        <v>6.9217098811563442</v>
      </c>
      <c r="L29" s="39">
        <f>IFERROR(HistoricalFS!L6/HistoricalFS!L60,0)</f>
        <v>7.9015588385356104</v>
      </c>
      <c r="N29" s="17">
        <f t="shared" si="2"/>
        <v>7.9001713230338968</v>
      </c>
      <c r="O29" s="17">
        <f t="shared" si="1"/>
        <v>7.8204222347586594</v>
      </c>
    </row>
    <row r="30" spans="2:15" x14ac:dyDescent="0.3">
      <c r="B30" t="s">
        <v>144</v>
      </c>
      <c r="C30" s="39">
        <f>IFERROR(HistoricalFS!C6/HistoricalFS!C53,0)</f>
        <v>3.4009512944381304</v>
      </c>
      <c r="D30" s="39">
        <f>IFERROR(HistoricalFS!D6/HistoricalFS!D53,0)</f>
        <v>3.3699237549186467</v>
      </c>
      <c r="E30" s="39">
        <f>IFERROR(HistoricalFS!E6/HistoricalFS!E53,0)</f>
        <v>2.9742370802544178</v>
      </c>
      <c r="F30" s="39">
        <f>IFERROR(HistoricalFS!F6/HistoricalFS!F53,0)</f>
        <v>2.546312771514708</v>
      </c>
      <c r="G30" s="39">
        <f>IFERROR(HistoricalFS!G6/HistoricalFS!G53,0)</f>
        <v>2.8109343484246239</v>
      </c>
      <c r="H30" s="39">
        <f>IFERROR(HistoricalFS!H6/HistoricalFS!H53,0)</f>
        <v>2.4012948768781421</v>
      </c>
      <c r="I30" s="39">
        <f>IFERROR(HistoricalFS!I6/HistoricalFS!I53,0)</f>
        <v>2.7144319562092578</v>
      </c>
      <c r="J30" s="39">
        <f>IFERROR(HistoricalFS!J6/HistoricalFS!J53,0)</f>
        <v>2.0539205744067566</v>
      </c>
      <c r="K30" s="39">
        <f>IFERROR(HistoricalFS!K6/HistoricalFS!K53,0)</f>
        <v>1.8008727134726064</v>
      </c>
      <c r="L30" s="39">
        <f>IFERROR(HistoricalFS!L6/HistoricalFS!L53,0)</f>
        <v>2.0053488717943728</v>
      </c>
      <c r="N30" s="17">
        <f t="shared" si="2"/>
        <v>2.6078228242311661</v>
      </c>
      <c r="O30" s="17">
        <f t="shared" si="1"/>
        <v>2.6303723638619827</v>
      </c>
    </row>
    <row r="31" spans="2:15" x14ac:dyDescent="0.3">
      <c r="B31" s="35" t="s">
        <v>145</v>
      </c>
      <c r="C31" s="37">
        <f>IFERROR(HistoricalFS!C6/SUM(HistoricalFS!C47:C48),0)</f>
        <v>5.0161060968772997</v>
      </c>
      <c r="D31" s="37">
        <f>IFERROR(HistoricalFS!D6/SUM(HistoricalFS!D47:D48),0)</f>
        <v>3.549106944832932</v>
      </c>
      <c r="E31" s="37">
        <f>IFERROR(HistoricalFS!E6/SUM(HistoricalFS!E47:E48),0)</f>
        <v>4.6773906756114965</v>
      </c>
      <c r="F31" s="37">
        <f>IFERROR(HistoricalFS!F6/SUM(HistoricalFS!F47:F48),0)</f>
        <v>3.4583567493379874</v>
      </c>
      <c r="G31" s="37">
        <f>IFERROR(HistoricalFS!G6/SUM(HistoricalFS!G47:G48),0)</f>
        <v>4.6449144180459854</v>
      </c>
      <c r="H31" s="37">
        <f>IFERROR(HistoricalFS!H6/SUM(HistoricalFS!H47:H48),0)</f>
        <v>3.0551908765475422</v>
      </c>
      <c r="I31" s="37">
        <f>IFERROR(HistoricalFS!I6/SUM(HistoricalFS!I47:I48),0)</f>
        <v>5.0172915853821474</v>
      </c>
      <c r="J31" s="37">
        <f>IFERROR(HistoricalFS!J6/SUM(HistoricalFS!J47:J48),0)</f>
        <v>4.196490075795241</v>
      </c>
      <c r="K31" s="37">
        <f>IFERROR(HistoricalFS!K6/SUM(HistoricalFS!K47:K48),0)</f>
        <v>4.5214403678625628</v>
      </c>
      <c r="L31" s="37">
        <f>IFERROR(HistoricalFS!L6/SUM(HistoricalFS!L47:L48),0)</f>
        <v>6.2487852671963351</v>
      </c>
      <c r="N31" s="17">
        <f t="shared" si="2"/>
        <v>4.4385073057489519</v>
      </c>
      <c r="O31" s="17">
        <f t="shared" si="1"/>
        <v>4.5831773929542745</v>
      </c>
    </row>
    <row r="32" spans="2:15" x14ac:dyDescent="0.3">
      <c r="N32" s="17"/>
      <c r="O32" s="17"/>
    </row>
    <row r="33" spans="2:15" x14ac:dyDescent="0.3">
      <c r="B33" s="32" t="s">
        <v>146</v>
      </c>
      <c r="C33" s="40">
        <f>IFERROR(365/C27,0)</f>
        <v>21.188606402080506</v>
      </c>
      <c r="D33" s="40">
        <f t="shared" ref="D33:L33" si="5">IFERROR(365/D27,0)</f>
        <v>16.576615039251624</v>
      </c>
      <c r="E33" s="40">
        <f t="shared" si="5"/>
        <v>17.447278447423685</v>
      </c>
      <c r="F33" s="40">
        <f t="shared" si="5"/>
        <v>18.141226776772818</v>
      </c>
      <c r="G33" s="40">
        <f t="shared" si="5"/>
        <v>19.049753180019717</v>
      </c>
      <c r="H33" s="40">
        <f t="shared" si="5"/>
        <v>24.904964999543136</v>
      </c>
      <c r="I33" s="40">
        <f t="shared" si="5"/>
        <v>22.963631157878556</v>
      </c>
      <c r="J33" s="40">
        <f t="shared" si="5"/>
        <v>15.620575170519771</v>
      </c>
      <c r="K33" s="40">
        <f t="shared" si="5"/>
        <v>18.52666719376608</v>
      </c>
      <c r="L33" s="40">
        <f t="shared" si="5"/>
        <v>16.309264717046954</v>
      </c>
      <c r="N33" s="17">
        <f t="shared" si="2"/>
        <v>19.072858308430284</v>
      </c>
      <c r="O33" s="17">
        <f t="shared" si="1"/>
        <v>18.333946985269449</v>
      </c>
    </row>
    <row r="34" spans="2:15" x14ac:dyDescent="0.3">
      <c r="B34" t="s">
        <v>147</v>
      </c>
      <c r="C34" s="41">
        <f>IFERROR(365/C28,0)</f>
        <v>148.82256458128757</v>
      </c>
      <c r="D34" s="41">
        <f t="shared" ref="D34:L34" si="6">IFERROR(365/D28,0)</f>
        <v>144.50571665626009</v>
      </c>
      <c r="E34" s="41">
        <f t="shared" si="6"/>
        <v>149.02210519283818</v>
      </c>
      <c r="F34" s="41">
        <f t="shared" si="6"/>
        <v>153.55745981623585</v>
      </c>
      <c r="G34" s="41">
        <f t="shared" si="6"/>
        <v>183.94574194885871</v>
      </c>
      <c r="H34" s="41">
        <f t="shared" si="6"/>
        <v>178.79202925682029</v>
      </c>
      <c r="I34" s="41">
        <f t="shared" si="6"/>
        <v>168.45235766633192</v>
      </c>
      <c r="J34" s="41">
        <f t="shared" si="6"/>
        <v>186.20040903524091</v>
      </c>
      <c r="K34" s="41">
        <f t="shared" si="6"/>
        <v>210.69420514242194</v>
      </c>
      <c r="L34" s="41">
        <f t="shared" si="6"/>
        <v>180.95902398395825</v>
      </c>
      <c r="N34" s="17">
        <f t="shared" si="2"/>
        <v>170.49516132802538</v>
      </c>
      <c r="O34" s="17">
        <f t="shared" si="1"/>
        <v>173.6221934615761</v>
      </c>
    </row>
    <row r="35" spans="2:15" x14ac:dyDescent="0.3">
      <c r="B35" t="s">
        <v>148</v>
      </c>
      <c r="C35" s="41">
        <f>IFERROR(365/C29,0)</f>
        <v>40.671274401567132</v>
      </c>
      <c r="D35" s="41">
        <f t="shared" ref="D35:L35" si="7">IFERROR(365/D29,0)</f>
        <v>42.751013105235728</v>
      </c>
      <c r="E35" s="41">
        <f t="shared" si="7"/>
        <v>40.600568143256986</v>
      </c>
      <c r="F35" s="41">
        <f t="shared" si="7"/>
        <v>43.653299851746382</v>
      </c>
      <c r="G35" s="41">
        <f t="shared" si="7"/>
        <v>47.484218786795374</v>
      </c>
      <c r="H35" s="41">
        <f t="shared" si="7"/>
        <v>52.753248596949661</v>
      </c>
      <c r="I35" s="41">
        <f t="shared" si="7"/>
        <v>47.161975588398164</v>
      </c>
      <c r="J35" s="41">
        <f t="shared" si="7"/>
        <v>52.368588915752468</v>
      </c>
      <c r="K35" s="41">
        <f t="shared" si="7"/>
        <v>52.732634893247351</v>
      </c>
      <c r="L35" s="41">
        <f t="shared" si="7"/>
        <v>46.193416698982041</v>
      </c>
      <c r="N35" s="17">
        <f t="shared" si="2"/>
        <v>46.637023898193128</v>
      </c>
      <c r="O35" s="17">
        <f t="shared" si="1"/>
        <v>46.677696143690099</v>
      </c>
    </row>
    <row r="36" spans="2:15" x14ac:dyDescent="0.3">
      <c r="B36" s="35" t="s">
        <v>149</v>
      </c>
      <c r="C36" s="42">
        <f>SUM(C33,C35)-C34</f>
        <v>-86.962683777639924</v>
      </c>
      <c r="D36" s="42">
        <f t="shared" ref="D36:L36" si="8">SUM(D33,D35)-D34</f>
        <v>-85.178088511772742</v>
      </c>
      <c r="E36" s="42">
        <f t="shared" si="8"/>
        <v>-90.974258602157505</v>
      </c>
      <c r="F36" s="42">
        <f t="shared" si="8"/>
        <v>-91.762933187716641</v>
      </c>
      <c r="G36" s="42">
        <f t="shared" si="8"/>
        <v>-117.41176998204362</v>
      </c>
      <c r="H36" s="42">
        <f t="shared" si="8"/>
        <v>-101.13381566032749</v>
      </c>
      <c r="I36" s="42">
        <f t="shared" si="8"/>
        <v>-98.326750920055204</v>
      </c>
      <c r="J36" s="42">
        <f t="shared" si="8"/>
        <v>-118.21124494896867</v>
      </c>
      <c r="K36" s="42">
        <f t="shared" si="8"/>
        <v>-139.43490305540851</v>
      </c>
      <c r="L36" s="42">
        <f t="shared" si="8"/>
        <v>-118.45634256792925</v>
      </c>
      <c r="N36" s="17">
        <f t="shared" si="2"/>
        <v>-104.78527912140196</v>
      </c>
      <c r="O36" s="17">
        <f t="shared" si="1"/>
        <v>-99.730283290191352</v>
      </c>
    </row>
    <row r="37" spans="2:15" x14ac:dyDescent="0.3">
      <c r="N37" s="17"/>
      <c r="O37" s="17"/>
    </row>
    <row r="38" spans="2:15" x14ac:dyDescent="0.3">
      <c r="B38" s="32" t="s">
        <v>150</v>
      </c>
      <c r="C38" s="33">
        <f>IFERROR(HistoricalFS!C78/HistoricalFS!C6,0)</f>
        <v>0.11737212918572218</v>
      </c>
      <c r="D38" s="33">
        <f>IFERROR(HistoricalFS!D78/HistoricalFS!D6,0)</f>
        <v>0.17311929898795561</v>
      </c>
      <c r="E38" s="33">
        <f>IFERROR(HistoricalFS!E78/HistoricalFS!E6,0)</f>
        <v>0.12106750071762705</v>
      </c>
      <c r="F38" s="33">
        <f>IFERROR(HistoricalFS!F78/HistoricalFS!F6,0)</f>
        <v>0.14360971207739662</v>
      </c>
      <c r="G38" s="33">
        <f>IFERROR(HistoricalFS!G78/HistoricalFS!G6,0)</f>
        <v>0.12404497255040564</v>
      </c>
      <c r="H38" s="33">
        <f>IFERROR(HistoricalFS!H78/HistoricalFS!H6,0)</f>
        <v>5.9759805574664121E-2</v>
      </c>
      <c r="I38" s="33">
        <f>IFERROR(HistoricalFS!I78/HistoricalFS!I6,0)</f>
        <v>3.8653579670555313E-2</v>
      </c>
      <c r="J38" s="33">
        <f>IFERROR(HistoricalFS!J78/HistoricalFS!J6,0)</f>
        <v>0.12141665635964458</v>
      </c>
      <c r="K38" s="33">
        <f>IFERROR(HistoricalFS!K78/HistoricalFS!K6,0)</f>
        <v>0.11572300859005244</v>
      </c>
      <c r="L38" s="33">
        <f>IFERROR(HistoricalFS!L78/HistoricalFS!L6,0)</f>
        <v>1.3675527005179534E-2</v>
      </c>
      <c r="N38" s="17">
        <f t="shared" si="2"/>
        <v>0.10284421907192032</v>
      </c>
      <c r="O38" s="17">
        <f t="shared" si="1"/>
        <v>0.11921981495167461</v>
      </c>
    </row>
    <row r="39" spans="2:15" x14ac:dyDescent="0.3">
      <c r="B39" t="s">
        <v>151</v>
      </c>
      <c r="C39" s="34">
        <f>IFERROR(HistoricalFS!C78/HistoricalFS!C64,0)</f>
        <v>0.13164020703851831</v>
      </c>
      <c r="D39" s="34">
        <f>IFERROR(HistoricalFS!D78/HistoricalFS!D64,0)</f>
        <v>0.18453847914343893</v>
      </c>
      <c r="E39" s="34">
        <f>IFERROR(HistoricalFS!E78/HistoricalFS!E64,0)</f>
        <v>0.1342520624188657</v>
      </c>
      <c r="F39" s="34">
        <f>IFERROR(HistoricalFS!F78/HistoricalFS!F64,0)</f>
        <v>0.14899075217760099</v>
      </c>
      <c r="G39" s="34">
        <f>IFERROR(HistoricalFS!G78/HistoricalFS!G64,0)</f>
        <v>0.12273077928285075</v>
      </c>
      <c r="H39" s="34">
        <f>IFERROR(HistoricalFS!H78/HistoricalFS!H64,0)</f>
        <v>5.3250110386320486E-2</v>
      </c>
      <c r="I39" s="34">
        <f>IFERROR(HistoricalFS!I78/HistoricalFS!I64,0)</f>
        <v>3.8177516390146542E-2</v>
      </c>
      <c r="J39" s="34">
        <f>IFERROR(HistoricalFS!J78/HistoricalFS!J64,0)</f>
        <v>9.9000750797857404E-2</v>
      </c>
      <c r="K39" s="34">
        <f>IFERROR(HistoricalFS!K78/HistoricalFS!K64,0)</f>
        <v>8.4629819997903213E-2</v>
      </c>
      <c r="L39" s="34">
        <f>IFERROR(HistoricalFS!L78/HistoricalFS!L64,0)</f>
        <v>1.157230522477729E-2</v>
      </c>
      <c r="N39" s="17">
        <f t="shared" si="2"/>
        <v>0.10087827828582793</v>
      </c>
      <c r="O39" s="17">
        <f t="shared" si="1"/>
        <v>0.11086576504035409</v>
      </c>
    </row>
    <row r="40" spans="2:15" x14ac:dyDescent="0.3">
      <c r="B40" s="35" t="s">
        <v>152</v>
      </c>
      <c r="C40" s="36">
        <f>IFERROR(HistoricalFS!C78/HistoricalFS!C49,0)</f>
        <v>0.4125236360089069</v>
      </c>
      <c r="D40" s="36">
        <f>IFERROR(HistoricalFS!D78/HistoricalFS!D49,0)</f>
        <v>0.66468477108710289</v>
      </c>
      <c r="E40" s="36">
        <f>IFERROR(HistoricalFS!E78/HistoricalFS!E49,0)</f>
        <v>0.43281933433581865</v>
      </c>
      <c r="F40" s="36">
        <f>IFERROR(HistoricalFS!F78/HistoricalFS!F49,0)</f>
        <v>0.56534057978118779</v>
      </c>
      <c r="G40" s="36">
        <f>IFERROR(HistoricalFS!G78/HistoricalFS!G49,0)</f>
        <v>0.42560185883717339</v>
      </c>
      <c r="H40" s="36">
        <f>IFERROR(HistoricalFS!H78/HistoricalFS!H49,0)</f>
        <v>0.19587305159826587</v>
      </c>
      <c r="I40" s="36">
        <f>IFERROR(HistoricalFS!I78/HistoricalFS!I49,0)</f>
        <v>0.1099219460940742</v>
      </c>
      <c r="J40" s="36">
        <f>IFERROR(HistoricalFS!J78/HistoricalFS!J49,0)</f>
        <v>0.25401554192386361</v>
      </c>
      <c r="K40" s="36">
        <f>IFERROR(HistoricalFS!K78/HistoricalFS!K49,0)</f>
        <v>0.20338341005738594</v>
      </c>
      <c r="L40" s="36">
        <f>IFERROR(HistoricalFS!L78/HistoricalFS!L49,0)</f>
        <v>2.6002220704363834E-2</v>
      </c>
      <c r="N40" s="17">
        <f t="shared" si="2"/>
        <v>0.32901663504281425</v>
      </c>
      <c r="O40" s="17">
        <f t="shared" si="1"/>
        <v>0.33326958896638526</v>
      </c>
    </row>
    <row r="41" spans="2:15" x14ac:dyDescent="0.3">
      <c r="O41" s="17"/>
    </row>
    <row r="42" spans="2:15" x14ac:dyDescent="0.3">
      <c r="B42" s="19" t="s">
        <v>153</v>
      </c>
      <c r="O42" s="17"/>
    </row>
    <row r="43" spans="2:15" x14ac:dyDescent="0.3">
      <c r="O43" s="17"/>
    </row>
    <row r="44" spans="2:15" x14ac:dyDescent="0.3">
      <c r="O44" s="17"/>
    </row>
    <row r="45" spans="2:15" x14ac:dyDescent="0.3">
      <c r="O45" s="17"/>
    </row>
    <row r="46" spans="2:15" x14ac:dyDescent="0.3">
      <c r="O46" s="17"/>
    </row>
    <row r="47" spans="2:15" x14ac:dyDescent="0.3">
      <c r="O47" s="17"/>
    </row>
    <row r="48" spans="2:15" x14ac:dyDescent="0.3">
      <c r="O48" s="17"/>
    </row>
    <row r="49" spans="15:15" x14ac:dyDescent="0.3">
      <c r="O49" s="17"/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4EDDB3D-67D2-49F4-ACFE-BD8B91B5B2C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Analysis'!C5:K5</xm:f>
              <xm:sqref>M5</xm:sqref>
            </x14:sparkline>
            <x14:sparkline>
              <xm:f>'Ratio Analysis'!C6:K6</xm:f>
              <xm:sqref>M6</xm:sqref>
            </x14:sparkline>
            <x14:sparkline>
              <xm:f>'Ratio Analysis'!C7:K7</xm:f>
              <xm:sqref>M7</xm:sqref>
            </x14:sparkline>
            <x14:sparkline>
              <xm:f>'Ratio Analysis'!C8:K8</xm:f>
              <xm:sqref>M8</xm:sqref>
            </x14:sparkline>
            <x14:sparkline>
              <xm:f>'Ratio Analysis'!C9:K9</xm:f>
              <xm:sqref>M9</xm:sqref>
            </x14:sparkline>
            <x14:sparkline>
              <xm:f>'Ratio Analysis'!C10:K10</xm:f>
              <xm:sqref>M10</xm:sqref>
            </x14:sparkline>
            <x14:sparkline>
              <xm:f>'Ratio Analysis'!C11:K11</xm:f>
              <xm:sqref>M11</xm:sqref>
            </x14:sparkline>
            <x14:sparkline>
              <xm:f>'Ratio Analysis'!C12:K12</xm:f>
              <xm:sqref>M12</xm:sqref>
            </x14:sparkline>
            <x14:sparkline>
              <xm:f>'Ratio Analysis'!C13:K13</xm:f>
              <xm:sqref>M13</xm:sqref>
            </x14:sparkline>
            <x14:sparkline>
              <xm:f>'Ratio Analysis'!C14:K14</xm:f>
              <xm:sqref>M14</xm:sqref>
            </x14:sparkline>
            <x14:sparkline>
              <xm:f>'Ratio Analysis'!C15:K15</xm:f>
              <xm:sqref>M15</xm:sqref>
            </x14:sparkline>
            <x14:sparkline>
              <xm:f>'Ratio Analysis'!C16:K16</xm:f>
              <xm:sqref>M16</xm:sqref>
            </x14:sparkline>
            <x14:sparkline>
              <xm:f>'Ratio Analysis'!C17:K17</xm:f>
              <xm:sqref>M17</xm:sqref>
            </x14:sparkline>
            <x14:sparkline>
              <xm:f>'Ratio Analysis'!C18:K18</xm:f>
              <xm:sqref>M18</xm:sqref>
            </x14:sparkline>
            <x14:sparkline>
              <xm:f>'Ratio Analysis'!C19:K19</xm:f>
              <xm:sqref>M19</xm:sqref>
            </x14:sparkline>
            <x14:sparkline>
              <xm:f>'Ratio Analysis'!C20:K20</xm:f>
              <xm:sqref>M20</xm:sqref>
            </x14:sparkline>
            <x14:sparkline>
              <xm:f>'Ratio Analysis'!C21:K21</xm:f>
              <xm:sqref>M21</xm:sqref>
            </x14:sparkline>
            <x14:sparkline>
              <xm:f>'Ratio Analysis'!C22:K22</xm:f>
              <xm:sqref>M22</xm:sqref>
            </x14:sparkline>
            <x14:sparkline>
              <xm:f>'Ratio Analysis'!C23:K23</xm:f>
              <xm:sqref>M23</xm:sqref>
            </x14:sparkline>
            <x14:sparkline>
              <xm:f>'Ratio Analysis'!C24:K24</xm:f>
              <xm:sqref>M24</xm:sqref>
            </x14:sparkline>
            <x14:sparkline>
              <xm:f>'Ratio Analysis'!C25:K25</xm:f>
              <xm:sqref>M25</xm:sqref>
            </x14:sparkline>
            <x14:sparkline>
              <xm:f>'Ratio Analysis'!C26:K26</xm:f>
              <xm:sqref>M26</xm:sqref>
            </x14:sparkline>
            <x14:sparkline>
              <xm:f>'Ratio Analysis'!C27:K27</xm:f>
              <xm:sqref>M27</xm:sqref>
            </x14:sparkline>
            <x14:sparkline>
              <xm:f>'Ratio Analysis'!C28:K28</xm:f>
              <xm:sqref>M28</xm:sqref>
            </x14:sparkline>
            <x14:sparkline>
              <xm:f>'Ratio Analysis'!C29:K29</xm:f>
              <xm:sqref>M29</xm:sqref>
            </x14:sparkline>
            <x14:sparkline>
              <xm:f>'Ratio Analysis'!C30:K30</xm:f>
              <xm:sqref>M30</xm:sqref>
            </x14:sparkline>
            <x14:sparkline>
              <xm:f>'Ratio Analysis'!C31:K31</xm:f>
              <xm:sqref>M31</xm:sqref>
            </x14:sparkline>
            <x14:sparkline>
              <xm:f>'Ratio Analysis'!C32:K32</xm:f>
              <xm:sqref>M32</xm:sqref>
            </x14:sparkline>
            <x14:sparkline>
              <xm:f>'Ratio Analysis'!C33:K33</xm:f>
              <xm:sqref>M33</xm:sqref>
            </x14:sparkline>
            <x14:sparkline>
              <xm:f>'Ratio Analysis'!C34:K34</xm:f>
              <xm:sqref>M34</xm:sqref>
            </x14:sparkline>
            <x14:sparkline>
              <xm:f>'Ratio Analysis'!C35:K35</xm:f>
              <xm:sqref>M35</xm:sqref>
            </x14:sparkline>
            <x14:sparkline>
              <xm:f>'Ratio Analysis'!C36:K36</xm:f>
              <xm:sqref>M36</xm:sqref>
            </x14:sparkline>
            <x14:sparkline>
              <xm:f>'Ratio Analysis'!C37:K37</xm:f>
              <xm:sqref>M37</xm:sqref>
            </x14:sparkline>
            <x14:sparkline>
              <xm:f>'Ratio Analysis'!C38:K38</xm:f>
              <xm:sqref>M38</xm:sqref>
            </x14:sparkline>
            <x14:sparkline>
              <xm:f>'Ratio Analysis'!C39:K39</xm:f>
              <xm:sqref>M39</xm:sqref>
            </x14:sparkline>
            <x14:sparkline>
              <xm:f>'Ratio Analysis'!C40:K40</xm:f>
              <xm:sqref>M40</xm:sqref>
            </x14:sparkline>
          </x14:sparklines>
        </x14:sparklineGroup>
      </x14:sparklineGroup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7278-C9B9-4E5D-9EEB-2E53CFB0D135}">
  <dimension ref="B2:M51"/>
  <sheetViews>
    <sheetView showGridLines="0" topLeftCell="D1" workbookViewId="0">
      <selection activeCell="P14" sqref="P14"/>
    </sheetView>
  </sheetViews>
  <sheetFormatPr defaultRowHeight="14.4" x14ac:dyDescent="0.3"/>
  <cols>
    <col min="1" max="1" width="1.88671875" customWidth="1"/>
    <col min="2" max="2" width="17.88671875" customWidth="1"/>
    <col min="3" max="3" width="13.21875" bestFit="1" customWidth="1"/>
  </cols>
  <sheetData>
    <row r="2" spans="2:13" x14ac:dyDescent="0.3">
      <c r="B2" s="152" t="str">
        <f>"Common Size Income Statement"&amp;" - "&amp;'Data Sheet'!B1</f>
        <v>Common Size Income Statement - TATA MOTORS LTD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4" spans="2:13" x14ac:dyDescent="0.3">
      <c r="B4" s="64" t="s">
        <v>256</v>
      </c>
      <c r="C4" s="114">
        <f>'Data Sheet'!B16</f>
        <v>41364</v>
      </c>
      <c r="D4" s="114">
        <f>'Data Sheet'!C16</f>
        <v>41729</v>
      </c>
      <c r="E4" s="114">
        <f>'Data Sheet'!D16</f>
        <v>42094</v>
      </c>
      <c r="F4" s="114">
        <f>'Data Sheet'!E16</f>
        <v>42460</v>
      </c>
      <c r="G4" s="114">
        <f>'Data Sheet'!F16</f>
        <v>42825</v>
      </c>
      <c r="H4" s="114">
        <f>'Data Sheet'!G16</f>
        <v>43190</v>
      </c>
      <c r="I4" s="114">
        <f>'Data Sheet'!H16</f>
        <v>43555</v>
      </c>
      <c r="J4" s="114">
        <f>'Data Sheet'!I16</f>
        <v>43921</v>
      </c>
      <c r="K4" s="114">
        <f>'Data Sheet'!J16</f>
        <v>44286</v>
      </c>
      <c r="L4" s="114">
        <f>'Data Sheet'!K16</f>
        <v>44651</v>
      </c>
      <c r="M4" s="11"/>
    </row>
    <row r="6" spans="2:13" x14ac:dyDescent="0.3">
      <c r="B6" s="117" t="str">
        <f>'Data Sheet'!A17</f>
        <v>Sales</v>
      </c>
      <c r="C6" s="118">
        <f>'Data Sheet'!B17/'Data Sheet'!B$17</f>
        <v>1</v>
      </c>
      <c r="D6" s="118">
        <f>'Data Sheet'!C17/'Data Sheet'!C$17</f>
        <v>1</v>
      </c>
      <c r="E6" s="118">
        <f>'Data Sheet'!D17/'Data Sheet'!D$17</f>
        <v>1</v>
      </c>
      <c r="F6" s="118">
        <f>'Data Sheet'!E17/'Data Sheet'!E$17</f>
        <v>1</v>
      </c>
      <c r="G6" s="118">
        <f>'Data Sheet'!F17/'Data Sheet'!F$17</f>
        <v>1</v>
      </c>
      <c r="H6" s="118">
        <f>'Data Sheet'!G17/'Data Sheet'!G$17</f>
        <v>1</v>
      </c>
      <c r="I6" s="118">
        <f>'Data Sheet'!H17/'Data Sheet'!H$17</f>
        <v>1</v>
      </c>
      <c r="J6" s="118">
        <f>'Data Sheet'!I17/'Data Sheet'!I$17</f>
        <v>1</v>
      </c>
      <c r="K6" s="118">
        <f>'Data Sheet'!J17/'Data Sheet'!J$17</f>
        <v>1</v>
      </c>
      <c r="L6" s="118">
        <f>'Data Sheet'!K17/'Data Sheet'!K$17</f>
        <v>1</v>
      </c>
    </row>
    <row r="7" spans="2:13" x14ac:dyDescent="0.3">
      <c r="B7" s="115" t="str">
        <f>'Data Sheet'!A18</f>
        <v>Raw Material Cost</v>
      </c>
      <c r="C7" s="17">
        <f>'Data Sheet'!B18/'Data Sheet'!B$17</f>
        <v>0.65212980439020174</v>
      </c>
      <c r="D7" s="17">
        <f>'Data Sheet'!C18/'Data Sheet'!C$17</f>
        <v>0.62889098595108628</v>
      </c>
      <c r="E7" s="17">
        <f>'Data Sheet'!D18/'Data Sheet'!D$17</f>
        <v>0.62034880968150885</v>
      </c>
      <c r="F7" s="17">
        <f>'Data Sheet'!E18/'Data Sheet'!E$17</f>
        <v>0.60844785632875986</v>
      </c>
      <c r="G7" s="17">
        <f>'Data Sheet'!F18/'Data Sheet'!F$17</f>
        <v>0.64256170851760019</v>
      </c>
      <c r="H7" s="17">
        <f>'Data Sheet'!G18/'Data Sheet'!G$17</f>
        <v>0.6444735745247272</v>
      </c>
      <c r="I7" s="17">
        <f>'Data Sheet'!H18/'Data Sheet'!H$17</f>
        <v>0.64340246222408271</v>
      </c>
      <c r="J7" s="17">
        <f>'Data Sheet'!I18/'Data Sheet'!I$17</f>
        <v>0.63163558516963991</v>
      </c>
      <c r="K7" s="17">
        <f>'Data Sheet'!J18/'Data Sheet'!J$17</f>
        <v>0.6149343010611712</v>
      </c>
      <c r="L7" s="17">
        <f>'Data Sheet'!K18/'Data Sheet'!K$17</f>
        <v>0.64389656704768283</v>
      </c>
    </row>
    <row r="8" spans="2:13" x14ac:dyDescent="0.3">
      <c r="B8" s="115" t="str">
        <f>'Data Sheet'!A19</f>
        <v>Change in Inventory</v>
      </c>
      <c r="C8" s="17">
        <f>'Data Sheet'!B19/'Data Sheet'!B$17</f>
        <v>1.6045589477007821E-2</v>
      </c>
      <c r="D8" s="17">
        <f>'Data Sheet'!C19/'Data Sheet'!C$17</f>
        <v>1.220004014883415E-2</v>
      </c>
      <c r="E8" s="17">
        <f>'Data Sheet'!D19/'Data Sheet'!D$17</f>
        <v>1.2655277809634314E-2</v>
      </c>
      <c r="F8" s="17">
        <f>'Data Sheet'!E19/'Data Sheet'!E$17</f>
        <v>1.0075203555743071E-2</v>
      </c>
      <c r="G8" s="17">
        <f>'Data Sheet'!F19/'Data Sheet'!F$17</f>
        <v>2.7438359337454348E-2</v>
      </c>
      <c r="H8" s="17">
        <f>'Data Sheet'!G19/'Data Sheet'!G$17</f>
        <v>7.0196420187680708E-3</v>
      </c>
      <c r="I8" s="17">
        <f>'Data Sheet'!H19/'Data Sheet'!H$17</f>
        <v>-6.8003274840166073E-3</v>
      </c>
      <c r="J8" s="17">
        <f>'Data Sheet'!I19/'Data Sheet'!I$17</f>
        <v>-8.5463950250197294E-3</v>
      </c>
      <c r="K8" s="17">
        <f>'Data Sheet'!J19/'Data Sheet'!J$17</f>
        <v>-1.8752035421080705E-2</v>
      </c>
      <c r="L8" s="17">
        <f>'Data Sheet'!K19/'Data Sheet'!K$17</f>
        <v>-5.7118668451859233E-3</v>
      </c>
    </row>
    <row r="9" spans="2:13" x14ac:dyDescent="0.3">
      <c r="B9" s="115" t="str">
        <f>'Data Sheet'!A20</f>
        <v>Power and Fuel</v>
      </c>
      <c r="C9" s="17">
        <f>'Data Sheet'!B20/'Data Sheet'!B$17</f>
        <v>5.708748574958066E-3</v>
      </c>
      <c r="D9" s="17">
        <f>'Data Sheet'!C20/'Data Sheet'!C$17</f>
        <v>4.847623835831984E-3</v>
      </c>
      <c r="E9" s="17">
        <f>'Data Sheet'!D20/'Data Sheet'!D$17</f>
        <v>4.2626324209038965E-3</v>
      </c>
      <c r="F9" s="17">
        <f>'Data Sheet'!E20/'Data Sheet'!E$17</f>
        <v>4.1884212746881849E-3</v>
      </c>
      <c r="G9" s="17">
        <f>'Data Sheet'!F20/'Data Sheet'!F$17</f>
        <v>4.3005272931013168E-3</v>
      </c>
      <c r="H9" s="17">
        <f>'Data Sheet'!G20/'Data Sheet'!G$17</f>
        <v>4.4866329837632236E-3</v>
      </c>
      <c r="I9" s="17">
        <f>'Data Sheet'!H20/'Data Sheet'!H$17</f>
        <v>5.252495210943689E-3</v>
      </c>
      <c r="J9" s="17">
        <f>'Data Sheet'!I20/'Data Sheet'!I$17</f>
        <v>4.8452899066859867E-3</v>
      </c>
      <c r="K9" s="17">
        <f>'Data Sheet'!J20/'Data Sheet'!J$17</f>
        <v>4.4551376680254488E-3</v>
      </c>
      <c r="L9" s="17">
        <f>'Data Sheet'!K20/'Data Sheet'!K$17</f>
        <v>7.8228108508698862E-3</v>
      </c>
    </row>
    <row r="10" spans="2:13" x14ac:dyDescent="0.3">
      <c r="B10" s="115" t="str">
        <f>'Data Sheet'!A21</f>
        <v>Other Mfr. Exp</v>
      </c>
      <c r="C10" s="17">
        <f>'Data Sheet'!B21/'Data Sheet'!B$17</f>
        <v>2.3521726397351506E-2</v>
      </c>
      <c r="D10" s="17">
        <f>'Data Sheet'!C21/'Data Sheet'!C$17</f>
        <v>5.9295722104785023E-2</v>
      </c>
      <c r="E10" s="17">
        <f>'Data Sheet'!D21/'Data Sheet'!D$17</f>
        <v>6.1457792548063536E-2</v>
      </c>
      <c r="F10" s="17">
        <f>'Data Sheet'!E21/'Data Sheet'!E$17</f>
        <v>4.4320545725695638E-2</v>
      </c>
      <c r="G10" s="17">
        <f>'Data Sheet'!F21/'Data Sheet'!F$17</f>
        <v>3.7329067833585743E-2</v>
      </c>
      <c r="H10" s="17">
        <f>'Data Sheet'!G21/'Data Sheet'!G$17</f>
        <v>3.7632110912662539E-2</v>
      </c>
      <c r="I10" s="17">
        <f>'Data Sheet'!H21/'Data Sheet'!H$17</f>
        <v>3.8731542592793759E-2</v>
      </c>
      <c r="J10" s="17">
        <f>'Data Sheet'!I21/'Data Sheet'!I$17</f>
        <v>4.4208831899217663E-2</v>
      </c>
      <c r="K10" s="17">
        <f>'Data Sheet'!J21/'Data Sheet'!J$17</f>
        <v>3.3119871414431248E-2</v>
      </c>
      <c r="L10" s="17">
        <f>'Data Sheet'!K21/'Data Sheet'!K$17</f>
        <v>3.3856194794666339E-2</v>
      </c>
    </row>
    <row r="11" spans="2:13" x14ac:dyDescent="0.3">
      <c r="B11" s="115" t="str">
        <f>'Data Sheet'!A22</f>
        <v>Employee Cost</v>
      </c>
      <c r="C11" s="17">
        <f>'Data Sheet'!B22/'Data Sheet'!B$17</f>
        <v>8.809763767866223E-2</v>
      </c>
      <c r="D11" s="17">
        <f>'Data Sheet'!C22/'Data Sheet'!C$17</f>
        <v>9.2812697270660938E-2</v>
      </c>
      <c r="E11" s="17">
        <f>'Data Sheet'!D22/'Data Sheet'!D$17</f>
        <v>9.7439008161530352E-2</v>
      </c>
      <c r="F11" s="17">
        <f>'Data Sheet'!E22/'Data Sheet'!E$17</f>
        <v>0.10577313825968997</v>
      </c>
      <c r="G11" s="17">
        <f>'Data Sheet'!F22/'Data Sheet'!F$17</f>
        <v>0.10505627316086753</v>
      </c>
      <c r="H11" s="17">
        <f>'Data Sheet'!G22/'Data Sheet'!G$17</f>
        <v>0.10392742279141506</v>
      </c>
      <c r="I11" s="17">
        <f>'Data Sheet'!H22/'Data Sheet'!H$17</f>
        <v>0.11010149752399827</v>
      </c>
      <c r="J11" s="17">
        <f>'Data Sheet'!I22/'Data Sheet'!I$17</f>
        <v>0.11659262528451882</v>
      </c>
      <c r="K11" s="17">
        <f>'Data Sheet'!J22/'Data Sheet'!J$17</f>
        <v>0.11068479221440802</v>
      </c>
      <c r="L11" s="17">
        <f>'Data Sheet'!K22/'Data Sheet'!K$17</f>
        <v>0.11064147774412127</v>
      </c>
    </row>
    <row r="12" spans="2:13" x14ac:dyDescent="0.3">
      <c r="B12" s="115" t="str">
        <f>'Data Sheet'!A23</f>
        <v>Selling and admin</v>
      </c>
      <c r="C12" s="17">
        <f>'Data Sheet'!B23/'Data Sheet'!B$17</f>
        <v>8.8101451385644222E-2</v>
      </c>
      <c r="D12" s="17">
        <f>'Data Sheet'!C23/'Data Sheet'!C$17</f>
        <v>9.6024732850052696E-2</v>
      </c>
      <c r="E12" s="17">
        <f>'Data Sheet'!D23/'Data Sheet'!D$17</f>
        <v>8.96910681140351E-2</v>
      </c>
      <c r="F12" s="17">
        <f>'Data Sheet'!E23/'Data Sheet'!E$17</f>
        <v>8.0542956927341092E-2</v>
      </c>
      <c r="G12" s="17">
        <f>'Data Sheet'!F23/'Data Sheet'!F$17</f>
        <v>0.1113838126242364</v>
      </c>
      <c r="H12" s="17">
        <f>'Data Sheet'!G23/'Data Sheet'!G$17</f>
        <v>0.10634377964323709</v>
      </c>
      <c r="I12" s="17">
        <f>'Data Sheet'!H23/'Data Sheet'!H$17</f>
        <v>0.1083658123643763</v>
      </c>
      <c r="J12" s="17">
        <f>'Data Sheet'!I23/'Data Sheet'!I$17</f>
        <v>0.11203335284677013</v>
      </c>
      <c r="K12" s="17">
        <f>'Data Sheet'!J23/'Data Sheet'!J$17</f>
        <v>9.2138805959692913E-2</v>
      </c>
      <c r="L12" s="17">
        <f>'Data Sheet'!K23/'Data Sheet'!K$17</f>
        <v>0.10488425325553319</v>
      </c>
    </row>
    <row r="13" spans="2:13" x14ac:dyDescent="0.3">
      <c r="B13" s="115" t="str">
        <f>'Data Sheet'!A24</f>
        <v>Other Expenses</v>
      </c>
      <c r="C13" s="17">
        <f>'Data Sheet'!B24/'Data Sheet'!B$17</f>
        <v>2.8205859029817312E-2</v>
      </c>
      <c r="D13" s="17">
        <f>'Data Sheet'!C24/'Data Sheet'!C$17</f>
        <v>-1.9363823941950662E-2</v>
      </c>
      <c r="E13" s="17">
        <f>'Data Sheet'!D24/'Data Sheet'!D$17</f>
        <v>-9.6502882022114541E-3</v>
      </c>
      <c r="F13" s="17">
        <f>'Data Sheet'!E24/'Data Sheet'!E$17</f>
        <v>2.6183831565130516E-2</v>
      </c>
      <c r="G13" s="17">
        <f>'Data Sheet'!F24/'Data Sheet'!F$17</f>
        <v>1.7094282670289951E-2</v>
      </c>
      <c r="H13" s="17">
        <f>'Data Sheet'!G24/'Data Sheet'!G$17</f>
        <v>2.2582367211331639E-3</v>
      </c>
      <c r="I13" s="17">
        <f>'Data Sheet'!H24/'Data Sheet'!H$17</f>
        <v>5.6592338039812094E-3</v>
      </c>
      <c r="J13" s="17">
        <f>'Data Sheet'!I24/'Data Sheet'!I$17</f>
        <v>1.3239885383105405E-2</v>
      </c>
      <c r="K13" s="17">
        <f>'Data Sheet'!J24/'Data Sheet'!J$17</f>
        <v>-3.3407827826645677E-3</v>
      </c>
      <c r="L13" s="17">
        <f>'Data Sheet'!K24/'Data Sheet'!K$17</f>
        <v>4.4105011096641517E-3</v>
      </c>
    </row>
    <row r="14" spans="2:13" x14ac:dyDescent="0.3">
      <c r="B14" s="115" t="str">
        <f>'Data Sheet'!A25</f>
        <v>Other Income</v>
      </c>
      <c r="C14" s="17">
        <f>'Data Sheet'!B25/'Data Sheet'!B$17</f>
        <v>1.1275860310057556E-3</v>
      </c>
      <c r="D14" s="17">
        <f>'Data Sheet'!C25/'Data Sheet'!C$17</f>
        <v>-6.7339919838050905E-4</v>
      </c>
      <c r="E14" s="17">
        <f>'Data Sheet'!D25/'Data Sheet'!D$17</f>
        <v>2.7133028103392101E-3</v>
      </c>
      <c r="F14" s="17">
        <f>'Data Sheet'!E25/'Data Sheet'!E$17</f>
        <v>-9.7771947249836663E-3</v>
      </c>
      <c r="G14" s="17">
        <f>'Data Sheet'!F25/'Data Sheet'!F$17</f>
        <v>6.9304853887117582E-3</v>
      </c>
      <c r="H14" s="17">
        <f>'Data Sheet'!G25/'Data Sheet'!G$17</f>
        <v>2.034889464081829E-2</v>
      </c>
      <c r="I14" s="17">
        <f>'Data Sheet'!H25/'Data Sheet'!H$17</f>
        <v>-8.8383094035074702E-2</v>
      </c>
      <c r="J14" s="17">
        <f>'Data Sheet'!I25/'Data Sheet'!I$17</f>
        <v>3.8959202846676288E-4</v>
      </c>
      <c r="K14" s="17">
        <f>'Data Sheet'!J25/'Data Sheet'!J$17</f>
        <v>-4.4507860953843105E-2</v>
      </c>
      <c r="L14" s="17">
        <f>'Data Sheet'!K25/'Data Sheet'!K$17</f>
        <v>8.7053994844814731E-3</v>
      </c>
    </row>
    <row r="15" spans="2:13" x14ac:dyDescent="0.3">
      <c r="B15" s="115" t="str">
        <f>'Data Sheet'!A26</f>
        <v>Depreciation</v>
      </c>
      <c r="C15" s="17">
        <f>'Data Sheet'!B26/'Data Sheet'!B$17</f>
        <v>4.0262575844435503E-2</v>
      </c>
      <c r="D15" s="17">
        <f>'Data Sheet'!C26/'Data Sheet'!C$17</f>
        <v>4.757971849946438E-2</v>
      </c>
      <c r="E15" s="17">
        <f>'Data Sheet'!D26/'Data Sheet'!D$17</f>
        <v>5.0876584184966822E-2</v>
      </c>
      <c r="F15" s="17">
        <f>'Data Sheet'!E26/'Data Sheet'!E$17</f>
        <v>6.1201425695927715E-2</v>
      </c>
      <c r="G15" s="17">
        <f>'Data Sheet'!F26/'Data Sheet'!F$17</f>
        <v>6.63903865924938E-2</v>
      </c>
      <c r="H15" s="17">
        <f>'Data Sheet'!G26/'Data Sheet'!G$17</f>
        <v>7.3927472182518786E-2</v>
      </c>
      <c r="I15" s="17">
        <f>'Data Sheet'!H26/'Data Sheet'!H$17</f>
        <v>7.8130605447998658E-2</v>
      </c>
      <c r="J15" s="17">
        <f>'Data Sheet'!I26/'Data Sheet'!I$17</f>
        <v>8.206839774331566E-2</v>
      </c>
      <c r="K15" s="17">
        <f>'Data Sheet'!J26/'Data Sheet'!J$17</f>
        <v>9.4264230933596482E-2</v>
      </c>
      <c r="L15" s="17">
        <f>'Data Sheet'!K26/'Data Sheet'!K$17</f>
        <v>8.9191478279219347E-2</v>
      </c>
    </row>
    <row r="16" spans="2:13" x14ac:dyDescent="0.3">
      <c r="B16" s="115" t="str">
        <f>'Data Sheet'!A27</f>
        <v>Interest</v>
      </c>
      <c r="C16" s="17">
        <f>'Data Sheet'!B27/'Data Sheet'!B$17</f>
        <v>1.8857986503608801E-2</v>
      </c>
      <c r="D16" s="17">
        <f>'Data Sheet'!C27/'Data Sheet'!C$17</f>
        <v>2.0398425210512945E-2</v>
      </c>
      <c r="E16" s="17">
        <f>'Data Sheet'!D27/'Data Sheet'!D$17</f>
        <v>1.8473585814932098E-2</v>
      </c>
      <c r="F16" s="17">
        <f>'Data Sheet'!E27/'Data Sheet'!E$17</f>
        <v>1.7905727101993223E-2</v>
      </c>
      <c r="G16" s="17">
        <f>'Data Sheet'!F27/'Data Sheet'!F$17</f>
        <v>1.5714229512714312E-2</v>
      </c>
      <c r="H16" s="17">
        <f>'Data Sheet'!G27/'Data Sheet'!G$17</f>
        <v>1.605824830060304E-2</v>
      </c>
      <c r="I16" s="17">
        <f>'Data Sheet'!H27/'Data Sheet'!H$17</f>
        <v>1.9072102124141878E-2</v>
      </c>
      <c r="J16" s="17">
        <f>'Data Sheet'!I27/'Data Sheet'!I$17</f>
        <v>2.7744996829752802E-2</v>
      </c>
      <c r="K16" s="17">
        <f>'Data Sheet'!J27/'Data Sheet'!J$17</f>
        <v>3.2415292955516477E-2</v>
      </c>
      <c r="L16" s="17">
        <f>'Data Sheet'!K27/'Data Sheet'!K$17</f>
        <v>3.3441332168710897E-2</v>
      </c>
    </row>
    <row r="17" spans="2:12" x14ac:dyDescent="0.3">
      <c r="B17" s="115" t="str">
        <f>'Data Sheet'!A28</f>
        <v>Profit before tax</v>
      </c>
      <c r="C17" s="17">
        <f>'Data Sheet'!B28/'Data Sheet'!B$17</f>
        <v>7.2287385703334164E-2</v>
      </c>
      <c r="D17" s="17">
        <f>'Data Sheet'!C28/'Data Sheet'!C$17</f>
        <v>8.1040559170010046E-2</v>
      </c>
      <c r="E17" s="17">
        <f>'Data Sheet'!D28/'Data Sheet'!D$17</f>
        <v>8.246938789624432E-2</v>
      </c>
      <c r="F17" s="17">
        <f>'Data Sheet'!E28/'Data Sheet'!E$17</f>
        <v>5.1734105951533375E-2</v>
      </c>
      <c r="G17" s="17">
        <f>'Data Sheet'!F28/'Data Sheet'!F$17</f>
        <v>3.453855652127677E-2</v>
      </c>
      <c r="H17" s="17">
        <f>'Data Sheet'!G28/'Data Sheet'!G$17</f>
        <v>3.8261058599526235E-2</v>
      </c>
      <c r="I17" s="17">
        <f>'Data Sheet'!H28/'Data Sheet'!H$17</f>
        <v>-0.10389917281140788</v>
      </c>
      <c r="J17" s="17">
        <f>'Data Sheet'!I28/'Data Sheet'!I$17</f>
        <v>-4.0525768059559354E-2</v>
      </c>
      <c r="K17" s="17">
        <f>'Data Sheet'!J28/'Data Sheet'!J$17</f>
        <v>-4.1931545799101064E-2</v>
      </c>
      <c r="L17" s="17">
        <f>'Data Sheet'!K28/'Data Sheet'!K$17</f>
        <v>-2.5151082611172375E-2</v>
      </c>
    </row>
    <row r="18" spans="2:12" x14ac:dyDescent="0.3">
      <c r="B18" s="115" t="str">
        <f>'Data Sheet'!A29</f>
        <v>Tax</v>
      </c>
      <c r="C18" s="17">
        <f>'Data Sheet'!B29/'Data Sheet'!B$17</f>
        <v>2.0004270292456768E-2</v>
      </c>
      <c r="D18" s="17">
        <f>'Data Sheet'!C29/'Data Sheet'!C$17</f>
        <v>2.0464352104416519E-2</v>
      </c>
      <c r="E18" s="17">
        <f>'Data Sheet'!D29/'Data Sheet'!D$17</f>
        <v>2.9042938226922752E-2</v>
      </c>
      <c r="F18" s="17">
        <f>'Data Sheet'!E29/'Data Sheet'!E$17</f>
        <v>1.1078918686109574E-2</v>
      </c>
      <c r="G18" s="17">
        <f>'Data Sheet'!F29/'Data Sheet'!F$17</f>
        <v>1.2055321818169885E-2</v>
      </c>
      <c r="H18" s="17">
        <f>'Data Sheet'!G29/'Data Sheet'!G$17</f>
        <v>1.4892549653836963E-2</v>
      </c>
      <c r="I18" s="17">
        <f>'Data Sheet'!H29/'Data Sheet'!H$17</f>
        <v>-8.0726731015332912E-3</v>
      </c>
      <c r="J18" s="17">
        <f>'Data Sheet'!I29/'Data Sheet'!I$17</f>
        <v>1.5139735448971392E-3</v>
      </c>
      <c r="K18" s="17">
        <f>'Data Sheet'!J29/'Data Sheet'!J$17</f>
        <v>1.0175794327142584E-2</v>
      </c>
      <c r="L18" s="17">
        <f>'Data Sheet'!K29/'Data Sheet'!K$17</f>
        <v>1.5195672442685429E-2</v>
      </c>
    </row>
    <row r="19" spans="2:12" x14ac:dyDescent="0.3">
      <c r="B19" s="115" t="str">
        <f>'Data Sheet'!A30</f>
        <v>Net profit</v>
      </c>
      <c r="C19" s="17">
        <f>'Data Sheet'!B30/'Data Sheet'!B$17</f>
        <v>5.2399327537522772E-2</v>
      </c>
      <c r="D19" s="17">
        <f>'Data Sheet'!C30/'Data Sheet'!C$17</f>
        <v>6.0090194862718736E-2</v>
      </c>
      <c r="E19" s="17">
        <f>'Data Sheet'!D30/'Data Sheet'!D$17</f>
        <v>5.3147682818956064E-2</v>
      </c>
      <c r="F19" s="17">
        <f>'Data Sheet'!E30/'Data Sheet'!E$17</f>
        <v>4.2407971415763523E-2</v>
      </c>
      <c r="G19" s="17">
        <f>'Data Sheet'!F30/'Data Sheet'!F$17</f>
        <v>2.764021885516954E-2</v>
      </c>
      <c r="H19" s="17">
        <f>'Data Sheet'!G30/'Data Sheet'!G$17</f>
        <v>3.0831401821049997E-2</v>
      </c>
      <c r="I19" s="17">
        <f>'Data Sheet'!H30/'Data Sheet'!H$17</f>
        <v>-9.5470566181711222E-2</v>
      </c>
      <c r="J19" s="17">
        <f>'Data Sheet'!I30/'Data Sheet'!I$17</f>
        <v>-4.6236426475450051E-2</v>
      </c>
      <c r="K19" s="17">
        <f>'Data Sheet'!J30/'Data Sheet'!J$17</f>
        <v>-5.3849770661713266E-2</v>
      </c>
      <c r="L19" s="17">
        <f>'Data Sheet'!K30/'Data Sheet'!K$17</f>
        <v>-4.1089320368684734E-2</v>
      </c>
    </row>
    <row r="20" spans="2:12" x14ac:dyDescent="0.3">
      <c r="B20" s="115" t="str">
        <f>'Data Sheet'!A31</f>
        <v>Dividend Amount</v>
      </c>
      <c r="C20" s="17">
        <f>'Data Sheet'!B31/'Data Sheet'!B$17</f>
        <v>3.3797389083231985E-3</v>
      </c>
      <c r="D20" s="17">
        <f>'Data Sheet'!C31/'Data Sheet'!C$17</f>
        <v>2.7649782252274005E-3</v>
      </c>
      <c r="E20" s="17">
        <f>'Data Sheet'!D31/'Data Sheet'!D$17</f>
        <v>0</v>
      </c>
      <c r="F20" s="17">
        <f>'Data Sheet'!E31/'Data Sheet'!E$17</f>
        <v>2.487496593975512E-4</v>
      </c>
      <c r="G20" s="17">
        <f>'Data Sheet'!F31/'Data Sheet'!F$17</f>
        <v>0</v>
      </c>
      <c r="H20" s="17">
        <f>'Data Sheet'!G31/'Data Sheet'!G$17</f>
        <v>0</v>
      </c>
      <c r="I20" s="17">
        <f>'Data Sheet'!H31/'Data Sheet'!H$17</f>
        <v>0</v>
      </c>
      <c r="J20" s="17">
        <f>'Data Sheet'!I31/'Data Sheet'!I$17</f>
        <v>0</v>
      </c>
      <c r="K20" s="17">
        <f>'Data Sheet'!J31/'Data Sheet'!J$17</f>
        <v>0</v>
      </c>
      <c r="L20" s="17">
        <f>'Data Sheet'!K31/'Data Sheet'!K$17</f>
        <v>0</v>
      </c>
    </row>
    <row r="21" spans="2:12" x14ac:dyDescent="0.3">
      <c r="B21" s="115" t="str">
        <f>'Data Sheet'!A34</f>
        <v>EBITDA</v>
      </c>
      <c r="C21" s="17">
        <f>'Data Sheet'!B34/'Data Sheet'!B$17</f>
        <v>0.13152416017802385</v>
      </c>
      <c r="D21" s="17">
        <f>'Data Sheet'!C34/'Data Sheet'!C$17</f>
        <v>0.14853269067711258</v>
      </c>
      <c r="E21" s="17">
        <f>'Data Sheet'!D34/'Data Sheet'!D$17</f>
        <v>0.15154079104577772</v>
      </c>
      <c r="F21" s="17">
        <f>'Data Sheet'!E34/'Data Sheet'!E$17</f>
        <v>0.13259404289979404</v>
      </c>
      <c r="G21" s="17">
        <f>'Data Sheet'!F34/'Data Sheet'!F$17</f>
        <v>0.12180015677854755</v>
      </c>
      <c r="H21" s="17">
        <f>'Data Sheet'!G34/'Data Sheet'!G$17</f>
        <v>0.13570967195800879</v>
      </c>
      <c r="I21" s="17">
        <f>'Data Sheet'!H34/'Data Sheet'!H$17</f>
        <v>-6.340531711103989E-3</v>
      </c>
      <c r="J21" s="17">
        <f>'Data Sheet'!I34/'Data Sheet'!I$17</f>
        <v>6.5090941642515554E-2</v>
      </c>
      <c r="K21" s="17">
        <f>'Data Sheet'!J34/'Data Sheet'!J$17</f>
        <v>8.3005547554542272E-2</v>
      </c>
      <c r="L21" s="17">
        <f>'Data Sheet'!K34/'Data Sheet'!K$17</f>
        <v>9.6739162521930933E-2</v>
      </c>
    </row>
    <row r="22" spans="2:12" x14ac:dyDescent="0.3">
      <c r="B22" s="115"/>
    </row>
    <row r="23" spans="2:12" x14ac:dyDescent="0.3">
      <c r="B23" s="152" t="str">
        <f>"Common Size Balance Sheet"&amp;" - "&amp;'Data Sheet'!B1</f>
        <v>Common Size Balance Sheet - TATA MOTORS LTD</v>
      </c>
      <c r="C23" s="152"/>
      <c r="D23" s="152"/>
      <c r="E23" s="152"/>
      <c r="F23" s="152"/>
      <c r="G23" s="152"/>
      <c r="H23" s="152"/>
      <c r="I23" s="152"/>
      <c r="J23" s="152"/>
      <c r="K23" s="152"/>
      <c r="L23" s="152"/>
    </row>
    <row r="25" spans="2:12" s="15" customFormat="1" x14ac:dyDescent="0.3">
      <c r="B25" s="64" t="s">
        <v>256</v>
      </c>
      <c r="C25" s="114">
        <f>'Data Sheet'!B16</f>
        <v>41364</v>
      </c>
      <c r="D25" s="114">
        <f>'Data Sheet'!C16</f>
        <v>41729</v>
      </c>
      <c r="E25" s="114">
        <f>'Data Sheet'!D16</f>
        <v>42094</v>
      </c>
      <c r="F25" s="114">
        <f>'Data Sheet'!E16</f>
        <v>42460</v>
      </c>
      <c r="G25" s="114">
        <f>'Data Sheet'!F16</f>
        <v>42825</v>
      </c>
      <c r="H25" s="114">
        <f>'Data Sheet'!G16</f>
        <v>43190</v>
      </c>
      <c r="I25" s="114">
        <f>'Data Sheet'!H16</f>
        <v>43555</v>
      </c>
      <c r="J25" s="114">
        <f>'Data Sheet'!I16</f>
        <v>43921</v>
      </c>
      <c r="K25" s="114">
        <f>'Data Sheet'!J16</f>
        <v>44286</v>
      </c>
      <c r="L25" s="114">
        <f>'Data Sheet'!K16</f>
        <v>44651</v>
      </c>
    </row>
    <row r="26" spans="2:12" s="15" customFormat="1" x14ac:dyDescent="0.3">
      <c r="C26" s="116"/>
      <c r="D26" s="116"/>
      <c r="E26" s="116"/>
      <c r="F26" s="116"/>
      <c r="G26" s="116"/>
      <c r="H26" s="116"/>
      <c r="I26" s="116"/>
      <c r="J26" s="116"/>
      <c r="K26" s="116"/>
      <c r="L26" s="116"/>
    </row>
    <row r="27" spans="2:12" x14ac:dyDescent="0.3">
      <c r="B27" s="115" t="str">
        <f>'Data Sheet'!A57</f>
        <v>Equity Share Capital</v>
      </c>
      <c r="C27" s="17">
        <f>'Data Sheet'!B57/'Data Sheet'!B$61</f>
        <v>3.790589237107604E-3</v>
      </c>
      <c r="D27" s="17">
        <f>'Data Sheet'!C57/'Data Sheet'!C$61</f>
        <v>2.9473598814866307E-3</v>
      </c>
      <c r="E27" s="17">
        <f>'Data Sheet'!D57/'Data Sheet'!D$61</f>
        <v>2.7127681338360746E-3</v>
      </c>
      <c r="F27" s="17">
        <f>'Data Sheet'!E57/'Data Sheet'!E$61</f>
        <v>2.5806268250531225E-3</v>
      </c>
      <c r="G27" s="17">
        <f>'Data Sheet'!F57/'Data Sheet'!F$61</f>
        <v>2.491815624573979E-3</v>
      </c>
      <c r="H27" s="17">
        <f>'Data Sheet'!G57/'Data Sheet'!G$61</f>
        <v>2.0759077068585549E-3</v>
      </c>
      <c r="I27" s="17">
        <f>'Data Sheet'!H57/'Data Sheet'!H$61</f>
        <v>2.2218261230841693E-3</v>
      </c>
      <c r="J27" s="17">
        <f>'Data Sheet'!I57/'Data Sheet'!I$61</f>
        <v>2.2473026761653833E-3</v>
      </c>
      <c r="K27" s="17">
        <f>'Data Sheet'!J57/'Data Sheet'!J$61</f>
        <v>2.2420300429859294E-3</v>
      </c>
      <c r="L27" s="17">
        <f>'Data Sheet'!K57/'Data Sheet'!K$61</f>
        <v>2.3274677325505334E-3</v>
      </c>
    </row>
    <row r="28" spans="2:12" x14ac:dyDescent="0.3">
      <c r="B28" s="115" t="str">
        <f>'Data Sheet'!A58</f>
        <v>Reserves</v>
      </c>
      <c r="C28" s="17">
        <f>'Data Sheet'!B58/'Data Sheet'!B$61</f>
        <v>0.21980171927730308</v>
      </c>
      <c r="D28" s="17">
        <f>'Data Sheet'!C58/'Data Sheet'!C$61</f>
        <v>0.29739899542174447</v>
      </c>
      <c r="E28" s="17">
        <f>'Data Sheet'!D58/'Data Sheet'!D$61</f>
        <v>0.23436440687072221</v>
      </c>
      <c r="F28" s="17">
        <f>'Data Sheet'!E58/'Data Sheet'!E$61</f>
        <v>0.2974086354450261</v>
      </c>
      <c r="G28" s="17">
        <f>'Data Sheet'!F58/'Data Sheet'!F$61</f>
        <v>0.21051652437468349</v>
      </c>
      <c r="H28" s="17">
        <f>'Data Sheet'!G58/'Data Sheet'!G$61</f>
        <v>0.28958148432871839</v>
      </c>
      <c r="I28" s="17">
        <f>'Data Sheet'!H58/'Data Sheet'!H$61</f>
        <v>0.19463415350606564</v>
      </c>
      <c r="J28" s="17">
        <f>'Data Sheet'!I58/'Data Sheet'!I$61</f>
        <v>0.19205324240264182</v>
      </c>
      <c r="K28" s="17">
        <f>'Data Sheet'!J58/'Data Sheet'!J$61</f>
        <v>0.15950149121742019</v>
      </c>
      <c r="L28" s="17">
        <f>'Data Sheet'!K58/'Data Sheet'!K$61</f>
        <v>0.13309172094249011</v>
      </c>
    </row>
    <row r="29" spans="2:12" x14ac:dyDescent="0.3">
      <c r="B29" s="115" t="str">
        <f>'Data Sheet'!A59</f>
        <v>Borrowings</v>
      </c>
      <c r="C29" s="17">
        <f>'Data Sheet'!B59/'Data Sheet'!B$61</f>
        <v>0.31910948985157311</v>
      </c>
      <c r="D29" s="17">
        <f>'Data Sheet'!C59/'Data Sheet'!C$61</f>
        <v>0.27763307837130552</v>
      </c>
      <c r="E29" s="17">
        <f>'Data Sheet'!D59/'Data Sheet'!D$61</f>
        <v>0.31018037266029647</v>
      </c>
      <c r="F29" s="17">
        <f>'Data Sheet'!E59/'Data Sheet'!E$61</f>
        <v>0.2635415844998551</v>
      </c>
      <c r="G29" s="17">
        <f>'Data Sheet'!F59/'Data Sheet'!F$61</f>
        <v>0.2883699324485447</v>
      </c>
      <c r="H29" s="17">
        <f>'Data Sheet'!G59/'Data Sheet'!G$61</f>
        <v>0.27186031948660327</v>
      </c>
      <c r="I29" s="17">
        <f>'Data Sheet'!H59/'Data Sheet'!H$61</f>
        <v>0.34731477877468786</v>
      </c>
      <c r="J29" s="17">
        <f>'Data Sheet'!I59/'Data Sheet'!I$61</f>
        <v>0.38974288757311953</v>
      </c>
      <c r="K29" s="17">
        <f>'Data Sheet'!J59/'Data Sheet'!J$61</f>
        <v>0.41610975041683274</v>
      </c>
      <c r="L29" s="17">
        <f>'Data Sheet'!K59/'Data Sheet'!K$61</f>
        <v>0.445050649956031</v>
      </c>
    </row>
    <row r="30" spans="2:12" x14ac:dyDescent="0.3">
      <c r="B30" s="115" t="str">
        <f>'Data Sheet'!A60</f>
        <v>Other Liabilities</v>
      </c>
      <c r="C30" s="17">
        <f>'Data Sheet'!B60/'Data Sheet'!B$61</f>
        <v>0.45729820163401624</v>
      </c>
      <c r="D30" s="17">
        <f>'Data Sheet'!C60/'Data Sheet'!C$61</f>
        <v>0.42202056632546336</v>
      </c>
      <c r="E30" s="17">
        <f>'Data Sheet'!D60/'Data Sheet'!D$61</f>
        <v>0.45274245233514521</v>
      </c>
      <c r="F30" s="17">
        <f>'Data Sheet'!E60/'Data Sheet'!E$61</f>
        <v>0.43646915323006569</v>
      </c>
      <c r="G30" s="17">
        <f>'Data Sheet'!F60/'Data Sheet'!F$61</f>
        <v>0.4986217275521978</v>
      </c>
      <c r="H30" s="17">
        <f>'Data Sheet'!G60/'Data Sheet'!G$61</f>
        <v>0.43648228847781978</v>
      </c>
      <c r="I30" s="17">
        <f>'Data Sheet'!H60/'Data Sheet'!H$61</f>
        <v>0.45582924159616234</v>
      </c>
      <c r="J30" s="17">
        <f>'Data Sheet'!I60/'Data Sheet'!I$61</f>
        <v>0.41595656734807318</v>
      </c>
      <c r="K30" s="17">
        <f>'Data Sheet'!J60/'Data Sheet'!J$61</f>
        <v>0.42214672832276123</v>
      </c>
      <c r="L30" s="17">
        <f>'Data Sheet'!K60/'Data Sheet'!K$61</f>
        <v>0.41953016136892834</v>
      </c>
    </row>
    <row r="31" spans="2:12" x14ac:dyDescent="0.3">
      <c r="B31" s="117" t="s">
        <v>82</v>
      </c>
      <c r="C31" s="118">
        <f>'Data Sheet'!B61/'Data Sheet'!B$61</f>
        <v>1</v>
      </c>
      <c r="D31" s="118">
        <f>'Data Sheet'!C61/'Data Sheet'!C$61</f>
        <v>1</v>
      </c>
      <c r="E31" s="118">
        <f>'Data Sheet'!D61/'Data Sheet'!D$61</f>
        <v>1</v>
      </c>
      <c r="F31" s="118">
        <f>'Data Sheet'!E61/'Data Sheet'!E$61</f>
        <v>1</v>
      </c>
      <c r="G31" s="118">
        <f>'Data Sheet'!F61/'Data Sheet'!F$61</f>
        <v>1</v>
      </c>
      <c r="H31" s="118">
        <f>'Data Sheet'!G61/'Data Sheet'!G$61</f>
        <v>1</v>
      </c>
      <c r="I31" s="118">
        <f>'Data Sheet'!H61/'Data Sheet'!H$61</f>
        <v>1</v>
      </c>
      <c r="J31" s="118">
        <f>'Data Sheet'!I61/'Data Sheet'!I$61</f>
        <v>1</v>
      </c>
      <c r="K31" s="118">
        <f>'Data Sheet'!J61/'Data Sheet'!J$61</f>
        <v>1</v>
      </c>
      <c r="L31" s="118">
        <f>'Data Sheet'!K61/'Data Sheet'!K$61</f>
        <v>1</v>
      </c>
    </row>
    <row r="32" spans="2:12" x14ac:dyDescent="0.3">
      <c r="B32" s="115"/>
    </row>
    <row r="33" spans="2:12" x14ac:dyDescent="0.3">
      <c r="B33" s="115" t="str">
        <f>'Data Sheet'!A62</f>
        <v>Net Block</v>
      </c>
      <c r="C33" s="17">
        <f>'Data Sheet'!B62/'Data Sheet'!B$74</f>
        <v>0.32977912497253165</v>
      </c>
      <c r="D33" s="17">
        <f>'Data Sheet'!C62/'Data Sheet'!C$74</f>
        <v>0.31631615816414521</v>
      </c>
      <c r="E33" s="17">
        <f>'Data Sheet'!D62/'Data Sheet'!D$74</f>
        <v>0.37283597031605153</v>
      </c>
      <c r="F33" s="17">
        <f>'Data Sheet'!E62/'Data Sheet'!E$74</f>
        <v>0.40744008415097382</v>
      </c>
      <c r="G33" s="17">
        <f>'Data Sheet'!F62/'Data Sheet'!F$74</f>
        <v>0.35198456704657666</v>
      </c>
      <c r="H33" s="17">
        <f>'Data Sheet'!G62/'Data Sheet'!G$74</f>
        <v>0.37107854258332446</v>
      </c>
      <c r="I33" s="17">
        <f>'Data Sheet'!H62/'Data Sheet'!H$74</f>
        <v>0.36386391925064382</v>
      </c>
      <c r="J33" s="17">
        <f>'Data Sheet'!I62/'Data Sheet'!I$74</f>
        <v>0.39698726392101624</v>
      </c>
      <c r="K33" s="17">
        <f>'Data Sheet'!J62/'Data Sheet'!J$74</f>
        <v>0.40608849298230043</v>
      </c>
      <c r="L33" s="17">
        <f>'Data Sheet'!K62/'Data Sheet'!K$74</f>
        <v>0.42197417266906562</v>
      </c>
    </row>
    <row r="34" spans="2:12" x14ac:dyDescent="0.3">
      <c r="B34" s="115" t="str">
        <f>'Data Sheet'!A63</f>
        <v>Capital Work in Progress</v>
      </c>
      <c r="C34" s="17">
        <f>'Data Sheet'!B63/'Data Sheet'!B$74</f>
        <v>0.10962720080308902</v>
      </c>
      <c r="D34" s="17">
        <f>'Data Sheet'!C63/'Data Sheet'!C$74</f>
        <v>0.15228297694793555</v>
      </c>
      <c r="E34" s="17">
        <f>'Data Sheet'!D63/'Data Sheet'!D$74</f>
        <v>0.12068396579918175</v>
      </c>
      <c r="F34" s="17">
        <f>'Data Sheet'!E63/'Data Sheet'!E$74</f>
        <v>9.8482157662096018E-2</v>
      </c>
      <c r="G34" s="17">
        <f>'Data Sheet'!F63/'Data Sheet'!F$74</f>
        <v>0.12362900980833688</v>
      </c>
      <c r="H34" s="17">
        <f>'Data Sheet'!G63/'Data Sheet'!G$74</f>
        <v>0.12235483522646853</v>
      </c>
      <c r="I34" s="17">
        <f>'Data Sheet'!H63/'Data Sheet'!H$74</f>
        <v>0.1042966176146697</v>
      </c>
      <c r="J34" s="17">
        <f>'Data Sheet'!I63/'Data Sheet'!I$74</f>
        <v>0.11125728611076434</v>
      </c>
      <c r="K34" s="17">
        <f>'Data Sheet'!J63/'Data Sheet'!J$74</f>
        <v>6.137522476731045E-2</v>
      </c>
      <c r="L34" s="17">
        <f>'Data Sheet'!K63/'Data Sheet'!K$74</f>
        <v>3.1152505873598278E-2</v>
      </c>
    </row>
    <row r="35" spans="2:12" x14ac:dyDescent="0.3">
      <c r="B35" s="115" t="str">
        <f>'Data Sheet'!A64</f>
        <v>Investments</v>
      </c>
      <c r="C35" s="17">
        <f>'Data Sheet'!B64/'Data Sheet'!B$74</f>
        <v>5.2068724754578848E-2</v>
      </c>
      <c r="D35" s="17">
        <f>'Data Sheet'!C64/'Data Sheet'!C$74</f>
        <v>4.8925816932316527E-2</v>
      </c>
      <c r="E35" s="17">
        <f>'Data Sheet'!D64/'Data Sheet'!D$74</f>
        <v>6.4626144877021785E-2</v>
      </c>
      <c r="F35" s="17">
        <f>'Data Sheet'!E64/'Data Sheet'!E$74</f>
        <v>9.0305676497502971E-2</v>
      </c>
      <c r="G35" s="17">
        <f>'Data Sheet'!F64/'Data Sheet'!F$74</f>
        <v>7.4612565630187005E-2</v>
      </c>
      <c r="H35" s="17">
        <f>'Data Sheet'!G64/'Data Sheet'!G$74</f>
        <v>6.3610241344366172E-2</v>
      </c>
      <c r="I35" s="17">
        <f>'Data Sheet'!H64/'Data Sheet'!H$74</f>
        <v>5.1588289031309388E-2</v>
      </c>
      <c r="J35" s="17">
        <f>'Data Sheet'!I64/'Data Sheet'!I$74</f>
        <v>5.0935445907370862E-2</v>
      </c>
      <c r="K35" s="17">
        <f>'Data Sheet'!J64/'Data Sheet'!J$74</f>
        <v>7.207976838475029E-2</v>
      </c>
      <c r="L35" s="17">
        <f>'Data Sheet'!K64/'Data Sheet'!K$74</f>
        <v>8.928279635517361E-2</v>
      </c>
    </row>
    <row r="36" spans="2:12" x14ac:dyDescent="0.3">
      <c r="B36" s="115" t="str">
        <f>'Data Sheet'!A65</f>
        <v>Other Assets</v>
      </c>
      <c r="C36" s="17">
        <f>'Data Sheet'!B65/'Data Sheet'!B$74</f>
        <v>0.50852494946980054</v>
      </c>
      <c r="D36" s="17">
        <f>'Data Sheet'!C65/'Data Sheet'!C$74</f>
        <v>0.4824750479556027</v>
      </c>
      <c r="E36" s="17">
        <f>'Data Sheet'!D65/'Data Sheet'!D$74</f>
        <v>0.44185391900774496</v>
      </c>
      <c r="F36" s="17">
        <f>'Data Sheet'!E65/'Data Sheet'!E$74</f>
        <v>0.40377208168942713</v>
      </c>
      <c r="G36" s="17">
        <f>'Data Sheet'!F65/'Data Sheet'!F$74</f>
        <v>0.44977385751489951</v>
      </c>
      <c r="H36" s="17">
        <f>'Data Sheet'!G65/'Data Sheet'!G$74</f>
        <v>0.44295638084584088</v>
      </c>
      <c r="I36" s="17">
        <f>'Data Sheet'!H65/'Data Sheet'!H$74</f>
        <v>0.48025117410337709</v>
      </c>
      <c r="J36" s="17">
        <f>'Data Sheet'!I65/'Data Sheet'!I$74</f>
        <v>0.44082000406084854</v>
      </c>
      <c r="K36" s="17">
        <f>'Data Sheet'!J65/'Data Sheet'!J$74</f>
        <v>0.46045651386563885</v>
      </c>
      <c r="L36" s="17">
        <f>'Data Sheet'!K65/'Data Sheet'!K$74</f>
        <v>0.45759052510216258</v>
      </c>
    </row>
    <row r="37" spans="2:12" x14ac:dyDescent="0.3">
      <c r="B37" s="115" t="str">
        <f>'Data Sheet'!A66</f>
        <v>Total</v>
      </c>
      <c r="C37" s="17">
        <f>'Data Sheet'!B76/'Data Sheet'!B$74</f>
        <v>0.19300644097788142</v>
      </c>
      <c r="D37" s="17">
        <f>'Data Sheet'!C76/'Data Sheet'!C$74</f>
        <v>0.17318534300794514</v>
      </c>
      <c r="E37" s="17">
        <f>'Data Sheet'!D76/'Data Sheet'!D$74</f>
        <v>0.13016959457099153</v>
      </c>
      <c r="F37" s="17">
        <f>'Data Sheet'!E76/'Data Sheet'!E$74</f>
        <v>0.11239036762552386</v>
      </c>
      <c r="G37" s="17">
        <f>'Data Sheet'!F76/'Data Sheet'!F$74</f>
        <v>0.13706335995740859</v>
      </c>
      <c r="H37" s="17">
        <f>'Data Sheet'!G76/'Data Sheet'!G$74</f>
        <v>0.14757967199729119</v>
      </c>
      <c r="I37" s="17">
        <f>'Data Sheet'!H76/'Data Sheet'!H$74</f>
        <v>0.1836934867835496</v>
      </c>
      <c r="J37" s="17">
        <f>'Data Sheet'!I76/'Data Sheet'!I$74</f>
        <v>0.1836000124805035</v>
      </c>
      <c r="K37" s="17">
        <f>'Data Sheet'!J76/'Data Sheet'!J$74</f>
        <v>0.18068910109792749</v>
      </c>
      <c r="L37" s="17">
        <f>'Data Sheet'!K76/'Data Sheet'!K$74</f>
        <v>0.18909465826584576</v>
      </c>
    </row>
    <row r="38" spans="2:12" x14ac:dyDescent="0.3">
      <c r="B38" s="115" t="str">
        <f>'Data Sheet'!A67</f>
        <v>Receivables</v>
      </c>
      <c r="C38" s="17">
        <f>'Data Sheet'!B67/'Data Sheet'!B$74</f>
        <v>6.5107812313703037E-2</v>
      </c>
      <c r="D38" s="17">
        <f>'Data Sheet'!C67/'Data Sheet'!C$74</f>
        <v>4.8411043026518961E-2</v>
      </c>
      <c r="E38" s="17">
        <f>'Data Sheet'!D67/'Data Sheet'!D$74</f>
        <v>5.3006388687363314E-2</v>
      </c>
      <c r="F38" s="17">
        <f>'Data Sheet'!E67/'Data Sheet'!E$74</f>
        <v>5.1564319306195219E-2</v>
      </c>
      <c r="G38" s="17">
        <f>'Data Sheet'!F67/'Data Sheet'!F$74</f>
        <v>5.1638166447501938E-2</v>
      </c>
      <c r="H38" s="17">
        <f>'Data Sheet'!G67/'Data Sheet'!G$74</f>
        <v>6.0800115993123419E-2</v>
      </c>
      <c r="I38" s="17">
        <f>'Data Sheet'!H67/'Data Sheet'!H$74</f>
        <v>6.2139198999658127E-2</v>
      </c>
      <c r="J38" s="17">
        <f>'Data Sheet'!I67/'Data Sheet'!I$74</f>
        <v>3.4895094278241959E-2</v>
      </c>
      <c r="K38" s="17">
        <f>'Data Sheet'!J67/'Data Sheet'!J$74</f>
        <v>3.7120014464974392E-2</v>
      </c>
      <c r="L38" s="17">
        <f>'Data Sheet'!K67/'Data Sheet'!K$74</f>
        <v>3.7810927070195913E-2</v>
      </c>
    </row>
    <row r="39" spans="2:12" x14ac:dyDescent="0.3">
      <c r="B39" s="115" t="str">
        <f>'Data Sheet'!A68</f>
        <v>Inventory</v>
      </c>
      <c r="C39" s="17">
        <f>'Data Sheet'!B68/'Data Sheet'!B$74</f>
        <v>0.12497366037420655</v>
      </c>
      <c r="D39" s="17">
        <f>'Data Sheet'!C68/'Data Sheet'!C$74</f>
        <v>0.12485185485481834</v>
      </c>
      <c r="E39" s="17">
        <f>'Data Sheet'!D68/'Data Sheet'!D$74</f>
        <v>0.1233481486762793</v>
      </c>
      <c r="F39" s="17">
        <f>'Data Sheet'!E68/'Data Sheet'!E$74</f>
        <v>0.12407940874244236</v>
      </c>
      <c r="G39" s="17">
        <f>'Data Sheet'!F68/'Data Sheet'!F$74</f>
        <v>0.12871547311772571</v>
      </c>
      <c r="H39" s="17">
        <f>'Data Sheet'!G68/'Data Sheet'!G$74</f>
        <v>0.12878571135383859</v>
      </c>
      <c r="I39" s="17">
        <f>'Data Sheet'!H68/'Data Sheet'!H$74</f>
        <v>0.12761951131143451</v>
      </c>
      <c r="J39" s="17">
        <f>'Data Sheet'!I68/'Data Sheet'!I$74</f>
        <v>0.11698716772494318</v>
      </c>
      <c r="K39" s="17">
        <f>'Data Sheet'!J68/'Data Sheet'!J$74</f>
        <v>0.1056550619461767</v>
      </c>
      <c r="L39" s="17">
        <f>'Data Sheet'!K68/'Data Sheet'!K$74</f>
        <v>0.1070934797019244</v>
      </c>
    </row>
    <row r="40" spans="2:12" x14ac:dyDescent="0.3">
      <c r="B40" s="115" t="str">
        <f>'Data Sheet'!A69</f>
        <v>Cash &amp; Bank</v>
      </c>
      <c r="C40" s="17">
        <f>'Data Sheet'!B69/'Data Sheet'!B$74</f>
        <v>0.12543703580400953</v>
      </c>
      <c r="D40" s="17">
        <f>'Data Sheet'!C69/'Data Sheet'!C$74</f>
        <v>0.13602680706632028</v>
      </c>
      <c r="E40" s="17">
        <f>'Data Sheet'!D69/'Data Sheet'!D$74</f>
        <v>0.13532978707311077</v>
      </c>
      <c r="F40" s="17">
        <f>'Data Sheet'!E69/'Data Sheet'!E$74</f>
        <v>0.11573798601526566</v>
      </c>
      <c r="G40" s="17">
        <f>'Data Sheet'!F69/'Data Sheet'!F$74</f>
        <v>0.13235685799226327</v>
      </c>
      <c r="H40" s="17">
        <f>'Data Sheet'!G69/'Data Sheet'!G$74</f>
        <v>0.10579088150158772</v>
      </c>
      <c r="I40" s="17">
        <f>'Data Sheet'!H69/'Data Sheet'!H$74</f>
        <v>0.10679897700873484</v>
      </c>
      <c r="J40" s="17">
        <f>'Data Sheet'!I69/'Data Sheet'!I$74</f>
        <v>0.10533772957715985</v>
      </c>
      <c r="K40" s="17">
        <f>'Data Sheet'!J69/'Data Sheet'!J$74</f>
        <v>0.13699233635656022</v>
      </c>
      <c r="L40" s="17">
        <f>'Data Sheet'!K69/'Data Sheet'!K$74</f>
        <v>0.12359146006419652</v>
      </c>
    </row>
    <row r="41" spans="2:12" x14ac:dyDescent="0.3">
      <c r="B41" s="117" t="s">
        <v>86</v>
      </c>
      <c r="C41" s="118">
        <f>'Data Sheet'!B74/'Data Sheet'!B$74</f>
        <v>1</v>
      </c>
      <c r="D41" s="118">
        <f>'Data Sheet'!C74/'Data Sheet'!C$74</f>
        <v>1</v>
      </c>
      <c r="E41" s="118">
        <f>'Data Sheet'!D74/'Data Sheet'!D$74</f>
        <v>1</v>
      </c>
      <c r="F41" s="118">
        <f>'Data Sheet'!E74/'Data Sheet'!E$74</f>
        <v>1</v>
      </c>
      <c r="G41" s="118">
        <f>'Data Sheet'!F74/'Data Sheet'!F$74</f>
        <v>1</v>
      </c>
      <c r="H41" s="118">
        <f>'Data Sheet'!G74/'Data Sheet'!G$74</f>
        <v>1</v>
      </c>
      <c r="I41" s="118">
        <f>'Data Sheet'!H74/'Data Sheet'!H$74</f>
        <v>1</v>
      </c>
      <c r="J41" s="118">
        <f>'Data Sheet'!I74/'Data Sheet'!I$74</f>
        <v>1</v>
      </c>
      <c r="K41" s="118">
        <f>'Data Sheet'!J74/'Data Sheet'!J$74</f>
        <v>1</v>
      </c>
      <c r="L41" s="118">
        <f>'Data Sheet'!K74/'Data Sheet'!K$74</f>
        <v>1</v>
      </c>
    </row>
    <row r="42" spans="2:12" x14ac:dyDescent="0.3">
      <c r="B42" s="115"/>
    </row>
    <row r="43" spans="2:12" x14ac:dyDescent="0.3">
      <c r="B43" s="115"/>
    </row>
    <row r="44" spans="2:12" x14ac:dyDescent="0.3">
      <c r="B44" s="115"/>
    </row>
    <row r="45" spans="2:12" x14ac:dyDescent="0.3">
      <c r="B45" s="115"/>
    </row>
    <row r="46" spans="2:12" x14ac:dyDescent="0.3">
      <c r="B46" s="115"/>
    </row>
    <row r="47" spans="2:12" x14ac:dyDescent="0.3">
      <c r="B47" s="115"/>
    </row>
    <row r="48" spans="2:12" x14ac:dyDescent="0.3">
      <c r="B48" s="115"/>
    </row>
    <row r="49" spans="2:2" x14ac:dyDescent="0.3">
      <c r="B49" s="115"/>
    </row>
    <row r="50" spans="2:2" x14ac:dyDescent="0.3">
      <c r="B50" s="115"/>
    </row>
    <row r="51" spans="2:2" x14ac:dyDescent="0.3">
      <c r="B51" s="115"/>
    </row>
  </sheetData>
  <mergeCells count="2">
    <mergeCell ref="B2:L2"/>
    <mergeCell ref="B23:L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2AC2-57FB-4BC6-8DEE-0EEC7AF0C3A1}">
  <sheetPr>
    <tabColor theme="8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dimension ref="A1:L93"/>
  <sheetViews>
    <sheetView workbookViewId="0">
      <pane xSplit="1" ySplit="1" topLeftCell="B2" activePane="bottomRight" state="frozen"/>
      <selection activeCell="B16" sqref="B16:K16"/>
      <selection pane="topRight" activeCell="B16" sqref="B16:K16"/>
      <selection pane="bottomLeft" activeCell="B16" sqref="B16:K16"/>
      <selection pane="bottomRight" activeCell="B77" sqref="B77"/>
    </sheetView>
  </sheetViews>
  <sheetFormatPr defaultColWidth="10.44140625" defaultRowHeight="13.2" x14ac:dyDescent="0.25"/>
  <cols>
    <col min="1" max="1" width="26.6640625" style="2" bestFit="1" customWidth="1"/>
    <col min="2" max="11" width="11.77734375" style="2" bestFit="1" customWidth="1"/>
    <col min="12" max="16384" width="10.44140625" style="2"/>
  </cols>
  <sheetData>
    <row r="1" spans="1:11" s="1" customFormat="1" x14ac:dyDescent="0.25">
      <c r="A1" s="1" t="s">
        <v>0</v>
      </c>
      <c r="B1" s="1" t="s">
        <v>1</v>
      </c>
      <c r="E1" s="154" t="str">
        <f>IF(B2&lt;&gt;B3, "A NEW VERSION OF THE WORKSHEET IS AVAILABLE", "")</f>
        <v/>
      </c>
      <c r="F1" s="154"/>
      <c r="G1" s="154"/>
      <c r="H1" s="154"/>
      <c r="I1" s="154"/>
      <c r="J1" s="154"/>
      <c r="K1" s="154"/>
    </row>
    <row r="2" spans="1:11" x14ac:dyDescent="0.25">
      <c r="A2" s="1" t="s">
        <v>2</v>
      </c>
      <c r="B2" s="2">
        <v>2.1</v>
      </c>
      <c r="E2" s="155" t="s">
        <v>3</v>
      </c>
      <c r="F2" s="155"/>
      <c r="G2" s="155"/>
      <c r="H2" s="155"/>
      <c r="I2" s="155"/>
      <c r="J2" s="155"/>
      <c r="K2" s="155"/>
    </row>
    <row r="3" spans="1:11" x14ac:dyDescent="0.25">
      <c r="A3" s="1" t="s">
        <v>4</v>
      </c>
      <c r="B3" s="2">
        <v>2.1</v>
      </c>
    </row>
    <row r="4" spans="1:11" x14ac:dyDescent="0.25">
      <c r="A4" s="1"/>
    </row>
    <row r="5" spans="1:11" x14ac:dyDescent="0.25">
      <c r="A5" s="1" t="s">
        <v>5</v>
      </c>
    </row>
    <row r="6" spans="1:11" x14ac:dyDescent="0.25">
      <c r="A6" s="2" t="s">
        <v>6</v>
      </c>
      <c r="B6" s="2">
        <f>IF(B9&gt;0, B9/B8, 0)</f>
        <v>358.58908869987852</v>
      </c>
    </row>
    <row r="7" spans="1:11" x14ac:dyDescent="0.25">
      <c r="A7" s="2" t="s">
        <v>7</v>
      </c>
      <c r="B7" s="3">
        <v>2</v>
      </c>
    </row>
    <row r="8" spans="1:11" x14ac:dyDescent="0.25">
      <c r="A8" s="2" t="s">
        <v>8</v>
      </c>
      <c r="B8" s="3">
        <v>411.5</v>
      </c>
    </row>
    <row r="9" spans="1:11" x14ac:dyDescent="0.25">
      <c r="A9" s="2" t="s">
        <v>9</v>
      </c>
      <c r="B9" s="3">
        <v>147559.41</v>
      </c>
    </row>
    <row r="15" spans="1:11" x14ac:dyDescent="0.25">
      <c r="A15" s="1" t="s">
        <v>10</v>
      </c>
      <c r="B15" s="2">
        <f>B26+B34</f>
        <v>32432.079999999998</v>
      </c>
      <c r="K15" s="2">
        <f>K17-K18-K20-K21-K22-K23-K19</f>
        <v>29129.190000000006</v>
      </c>
    </row>
    <row r="16" spans="1:11" s="6" customFormat="1" x14ac:dyDescent="0.25">
      <c r="A16" s="4" t="s">
        <v>11</v>
      </c>
      <c r="B16" s="5">
        <v>41364</v>
      </c>
      <c r="C16" s="5">
        <v>41729</v>
      </c>
      <c r="D16" s="5">
        <v>42094</v>
      </c>
      <c r="E16" s="5">
        <v>42460</v>
      </c>
      <c r="F16" s="5">
        <v>42825</v>
      </c>
      <c r="G16" s="5">
        <v>43190</v>
      </c>
      <c r="H16" s="5">
        <v>43555</v>
      </c>
      <c r="I16" s="5">
        <v>43921</v>
      </c>
      <c r="J16" s="5">
        <v>44286</v>
      </c>
      <c r="K16" s="5">
        <v>44651</v>
      </c>
    </row>
    <row r="17" spans="1:11" x14ac:dyDescent="0.25">
      <c r="A17" s="2" t="s">
        <v>12</v>
      </c>
      <c r="B17" s="3">
        <v>188792.69</v>
      </c>
      <c r="C17" s="3">
        <v>232833.66</v>
      </c>
      <c r="D17" s="3">
        <v>263158.98</v>
      </c>
      <c r="E17" s="3">
        <v>273045.59999999998</v>
      </c>
      <c r="F17" s="3">
        <v>269692.51</v>
      </c>
      <c r="G17" s="3">
        <v>291550.48</v>
      </c>
      <c r="H17" s="3">
        <v>301938.40000000002</v>
      </c>
      <c r="I17" s="3">
        <v>261067.97</v>
      </c>
      <c r="J17" s="3">
        <v>249794.75</v>
      </c>
      <c r="K17" s="3">
        <v>278453.62</v>
      </c>
    </row>
    <row r="18" spans="1:11" ht="14.4" x14ac:dyDescent="0.3">
      <c r="A18" s="2" t="s">
        <v>13</v>
      </c>
      <c r="B18" s="7">
        <v>123117.34</v>
      </c>
      <c r="C18" s="7">
        <v>146426.99</v>
      </c>
      <c r="D18" s="7">
        <v>163250.35999999999</v>
      </c>
      <c r="E18" s="7">
        <v>166134.01</v>
      </c>
      <c r="F18" s="7">
        <v>173294.07999999999</v>
      </c>
      <c r="G18" s="7">
        <v>187896.58</v>
      </c>
      <c r="H18" s="7">
        <v>194267.91</v>
      </c>
      <c r="I18" s="7">
        <v>164899.82</v>
      </c>
      <c r="J18" s="7">
        <v>153607.35999999999</v>
      </c>
      <c r="K18" s="7">
        <v>179295.33</v>
      </c>
    </row>
    <row r="19" spans="1:11" ht="14.4" x14ac:dyDescent="0.3">
      <c r="A19" s="2" t="s">
        <v>14</v>
      </c>
      <c r="B19" s="7">
        <v>3029.29</v>
      </c>
      <c r="C19" s="7">
        <v>2840.58</v>
      </c>
      <c r="D19" s="7">
        <v>3330.35</v>
      </c>
      <c r="E19" s="7">
        <v>2750.99</v>
      </c>
      <c r="F19" s="7">
        <v>7399.92</v>
      </c>
      <c r="G19" s="7">
        <v>2046.58</v>
      </c>
      <c r="H19" s="7">
        <v>-2053.2800000000002</v>
      </c>
      <c r="I19" s="7">
        <v>-2231.19</v>
      </c>
      <c r="J19" s="7">
        <v>-4684.16</v>
      </c>
      <c r="K19" s="7">
        <v>-1590.49</v>
      </c>
    </row>
    <row r="20" spans="1:11" x14ac:dyDescent="0.25">
      <c r="A20" s="2" t="s">
        <v>15</v>
      </c>
      <c r="B20" s="3">
        <v>1077.77</v>
      </c>
      <c r="C20" s="3">
        <v>1128.69</v>
      </c>
      <c r="D20" s="3">
        <v>1121.75</v>
      </c>
      <c r="E20" s="3">
        <v>1143.6300000000001</v>
      </c>
      <c r="F20" s="3">
        <v>1159.82</v>
      </c>
      <c r="G20" s="3">
        <v>1308.08</v>
      </c>
      <c r="H20" s="3">
        <v>1585.93</v>
      </c>
      <c r="I20" s="3">
        <v>1264.95</v>
      </c>
      <c r="J20" s="3">
        <v>1112.8699999999999</v>
      </c>
      <c r="K20" s="3">
        <v>2178.29</v>
      </c>
    </row>
    <row r="21" spans="1:11" x14ac:dyDescent="0.25">
      <c r="A21" s="2" t="s">
        <v>16</v>
      </c>
      <c r="B21" s="3">
        <v>4440.7299999999996</v>
      </c>
      <c r="C21" s="3">
        <v>13806.04</v>
      </c>
      <c r="D21" s="3">
        <v>16173.17</v>
      </c>
      <c r="E21" s="3">
        <v>12101.53</v>
      </c>
      <c r="F21" s="3">
        <v>10067.370000000001</v>
      </c>
      <c r="G21" s="3">
        <v>10971.66</v>
      </c>
      <c r="H21" s="3">
        <v>11694.54</v>
      </c>
      <c r="I21" s="3">
        <v>11541.51</v>
      </c>
      <c r="J21" s="3">
        <v>8273.17</v>
      </c>
      <c r="K21" s="3">
        <v>9427.3799999999992</v>
      </c>
    </row>
    <row r="22" spans="1:11" x14ac:dyDescent="0.25">
      <c r="A22" s="2" t="s">
        <v>17</v>
      </c>
      <c r="B22" s="3">
        <v>16632.189999999999</v>
      </c>
      <c r="C22" s="3">
        <v>21609.919999999998</v>
      </c>
      <c r="D22" s="3">
        <v>25641.95</v>
      </c>
      <c r="E22" s="3">
        <v>28880.89</v>
      </c>
      <c r="F22" s="3">
        <v>28332.89</v>
      </c>
      <c r="G22" s="3">
        <v>30300.09</v>
      </c>
      <c r="H22" s="3">
        <v>33243.870000000003</v>
      </c>
      <c r="I22" s="3">
        <v>30438.6</v>
      </c>
      <c r="J22" s="3">
        <v>27648.48</v>
      </c>
      <c r="K22" s="3">
        <v>30808.52</v>
      </c>
    </row>
    <row r="23" spans="1:11" x14ac:dyDescent="0.25">
      <c r="A23" s="2" t="s">
        <v>18</v>
      </c>
      <c r="B23" s="3">
        <v>16632.91</v>
      </c>
      <c r="C23" s="3">
        <v>22357.79</v>
      </c>
      <c r="D23" s="3">
        <v>23603.01</v>
      </c>
      <c r="E23" s="3">
        <v>21991.9</v>
      </c>
      <c r="F23" s="3">
        <v>30039.38</v>
      </c>
      <c r="G23" s="3">
        <v>31004.58</v>
      </c>
      <c r="H23" s="3">
        <v>32719.8</v>
      </c>
      <c r="I23" s="3">
        <v>29248.32</v>
      </c>
      <c r="J23" s="3">
        <v>23015.79</v>
      </c>
      <c r="K23" s="3">
        <v>29205.4</v>
      </c>
    </row>
    <row r="24" spans="1:11" x14ac:dyDescent="0.25">
      <c r="A24" s="2" t="s">
        <v>19</v>
      </c>
      <c r="B24" s="3">
        <v>5325.06</v>
      </c>
      <c r="C24" s="3">
        <v>-4508.55</v>
      </c>
      <c r="D24" s="3">
        <v>-2539.56</v>
      </c>
      <c r="E24" s="3">
        <v>7149.38</v>
      </c>
      <c r="F24" s="3">
        <v>4610.2</v>
      </c>
      <c r="G24" s="3">
        <v>658.39</v>
      </c>
      <c r="H24" s="3">
        <v>1708.74</v>
      </c>
      <c r="I24" s="3">
        <v>3456.51</v>
      </c>
      <c r="J24" s="3">
        <v>-834.51</v>
      </c>
      <c r="K24" s="3">
        <v>1228.1199999999999</v>
      </c>
    </row>
    <row r="25" spans="1:11" x14ac:dyDescent="0.25">
      <c r="A25" s="2" t="s">
        <v>20</v>
      </c>
      <c r="B25" s="3">
        <v>212.88</v>
      </c>
      <c r="C25" s="3">
        <v>-156.79</v>
      </c>
      <c r="D25" s="3">
        <v>714.03</v>
      </c>
      <c r="E25" s="3">
        <v>-2669.62</v>
      </c>
      <c r="F25" s="3">
        <v>1869.1</v>
      </c>
      <c r="G25" s="3">
        <v>5932.73</v>
      </c>
      <c r="H25" s="3">
        <v>-26686.25</v>
      </c>
      <c r="I25" s="3">
        <v>101.71</v>
      </c>
      <c r="J25" s="3">
        <v>-11117.83</v>
      </c>
      <c r="K25" s="3">
        <v>2424.0500000000002</v>
      </c>
    </row>
    <row r="26" spans="1:11" x14ac:dyDescent="0.25">
      <c r="A26" s="2" t="s">
        <v>21</v>
      </c>
      <c r="B26" s="3">
        <v>7601.28</v>
      </c>
      <c r="C26" s="3">
        <v>11078.16</v>
      </c>
      <c r="D26" s="3">
        <v>13388.63</v>
      </c>
      <c r="E26" s="3">
        <v>16710.78</v>
      </c>
      <c r="F26" s="3">
        <v>17904.990000000002</v>
      </c>
      <c r="G26" s="3">
        <v>21553.59</v>
      </c>
      <c r="H26" s="3">
        <v>23590.63</v>
      </c>
      <c r="I26" s="3">
        <v>21425.43</v>
      </c>
      <c r="J26" s="3">
        <v>23546.71</v>
      </c>
      <c r="K26" s="3">
        <v>24835.69</v>
      </c>
    </row>
    <row r="27" spans="1:11" ht="14.4" x14ac:dyDescent="0.3">
      <c r="A27" s="2" t="s">
        <v>22</v>
      </c>
      <c r="B27" s="3">
        <v>3560.25</v>
      </c>
      <c r="C27" s="3">
        <v>4749.4399999999996</v>
      </c>
      <c r="D27" s="3">
        <v>4861.49</v>
      </c>
      <c r="E27" s="3">
        <v>4889.08</v>
      </c>
      <c r="F27" s="3">
        <v>4238.01</v>
      </c>
      <c r="G27" s="3">
        <v>4681.79</v>
      </c>
      <c r="H27" s="3">
        <v>5758.6</v>
      </c>
      <c r="I27" s="3">
        <v>7243.33</v>
      </c>
      <c r="J27" s="7">
        <v>8097.17</v>
      </c>
      <c r="K27" s="7">
        <v>9311.86</v>
      </c>
    </row>
    <row r="28" spans="1:11" x14ac:dyDescent="0.25">
      <c r="A28" s="2" t="s">
        <v>23</v>
      </c>
      <c r="B28" s="3">
        <v>13647.33</v>
      </c>
      <c r="C28" s="3">
        <v>18868.97</v>
      </c>
      <c r="D28" s="3">
        <v>21702.560000000001</v>
      </c>
      <c r="E28" s="3">
        <v>14125.77</v>
      </c>
      <c r="F28" s="3">
        <v>9314.7900000000009</v>
      </c>
      <c r="G28" s="3">
        <v>11155.03</v>
      </c>
      <c r="H28" s="3">
        <v>-31371.15</v>
      </c>
      <c r="I28" s="3">
        <v>-10579.98</v>
      </c>
      <c r="J28" s="3">
        <v>-10474.280000000001</v>
      </c>
      <c r="K28" s="3">
        <v>-7003.41</v>
      </c>
    </row>
    <row r="29" spans="1:11" x14ac:dyDescent="0.25">
      <c r="A29" s="2" t="s">
        <v>24</v>
      </c>
      <c r="B29" s="3">
        <v>3776.66</v>
      </c>
      <c r="C29" s="3">
        <v>4764.79</v>
      </c>
      <c r="D29" s="3">
        <v>7642.91</v>
      </c>
      <c r="E29" s="3">
        <v>3025.05</v>
      </c>
      <c r="F29" s="3">
        <v>3251.23</v>
      </c>
      <c r="G29" s="3">
        <v>4341.93</v>
      </c>
      <c r="H29" s="3">
        <v>-2437.4499999999998</v>
      </c>
      <c r="I29" s="3">
        <v>395.25</v>
      </c>
      <c r="J29" s="3">
        <v>2541.86</v>
      </c>
      <c r="K29" s="3">
        <v>4231.29</v>
      </c>
    </row>
    <row r="30" spans="1:11" x14ac:dyDescent="0.25">
      <c r="A30" s="2" t="s">
        <v>25</v>
      </c>
      <c r="B30" s="3">
        <v>9892.61</v>
      </c>
      <c r="C30" s="3">
        <v>13991.02</v>
      </c>
      <c r="D30" s="3">
        <v>13986.29</v>
      </c>
      <c r="E30" s="3">
        <v>11579.31</v>
      </c>
      <c r="F30" s="3">
        <v>7454.36</v>
      </c>
      <c r="G30" s="3">
        <v>8988.91</v>
      </c>
      <c r="H30" s="3">
        <v>-28826.23</v>
      </c>
      <c r="I30" s="3">
        <v>-12070.85</v>
      </c>
      <c r="J30" s="3">
        <v>-13451.39</v>
      </c>
      <c r="K30" s="3">
        <v>-11441.47</v>
      </c>
    </row>
    <row r="31" spans="1:11" x14ac:dyDescent="0.25">
      <c r="A31" s="2" t="s">
        <v>26</v>
      </c>
      <c r="B31" s="3">
        <v>638.07000000000005</v>
      </c>
      <c r="C31" s="3">
        <v>643.78</v>
      </c>
      <c r="D31" s="3"/>
      <c r="E31" s="3">
        <v>67.92</v>
      </c>
      <c r="F31" s="3"/>
      <c r="G31" s="3"/>
      <c r="H31" s="3"/>
      <c r="I31" s="3"/>
      <c r="J31" s="3"/>
      <c r="K31" s="3"/>
    </row>
    <row r="32" spans="1:11" x14ac:dyDescent="0.25">
      <c r="A32" s="2" t="s">
        <v>27</v>
      </c>
      <c r="B32" s="8">
        <f>B29/B28</f>
        <v>0.27673251837538915</v>
      </c>
      <c r="C32" s="8">
        <f t="shared" ref="C32:K32" si="0">C29/C28</f>
        <v>0.252519877873567</v>
      </c>
      <c r="D32" s="8">
        <f t="shared" si="0"/>
        <v>0.3521662882166896</v>
      </c>
      <c r="E32" s="8">
        <f t="shared" si="0"/>
        <v>0.21415115777759372</v>
      </c>
      <c r="F32" s="8">
        <f t="shared" si="0"/>
        <v>0.34903953819678163</v>
      </c>
      <c r="G32" s="8">
        <f t="shared" si="0"/>
        <v>0.38923517014297587</v>
      </c>
      <c r="H32" s="8">
        <f t="shared" si="0"/>
        <v>7.7697183558779317E-2</v>
      </c>
      <c r="I32" s="8">
        <f t="shared" si="0"/>
        <v>-3.735829368297483E-2</v>
      </c>
      <c r="J32" s="8">
        <f t="shared" si="0"/>
        <v>-0.24267634625005249</v>
      </c>
      <c r="K32" s="8">
        <f t="shared" si="0"/>
        <v>-0.60417568013296385</v>
      </c>
    </row>
    <row r="34" spans="1:11" x14ac:dyDescent="0.25">
      <c r="A34" s="2" t="s">
        <v>28</v>
      </c>
      <c r="B34" s="2">
        <f>+B30+B29+B27+B26</f>
        <v>24830.799999999999</v>
      </c>
      <c r="C34" s="2">
        <f t="shared" ref="C34:K34" si="1">+C30+C29+C27+C26</f>
        <v>34583.410000000003</v>
      </c>
      <c r="D34" s="2">
        <f t="shared" si="1"/>
        <v>39879.32</v>
      </c>
      <c r="E34" s="2">
        <f t="shared" si="1"/>
        <v>36204.22</v>
      </c>
      <c r="F34" s="2">
        <f t="shared" si="1"/>
        <v>32848.590000000004</v>
      </c>
      <c r="G34" s="2">
        <f t="shared" si="1"/>
        <v>39566.22</v>
      </c>
      <c r="H34" s="2">
        <f t="shared" si="1"/>
        <v>-1914.4500000000007</v>
      </c>
      <c r="I34" s="2">
        <f t="shared" si="1"/>
        <v>16993.16</v>
      </c>
      <c r="J34" s="2">
        <f t="shared" si="1"/>
        <v>20734.349999999999</v>
      </c>
      <c r="K34" s="2">
        <f t="shared" si="1"/>
        <v>26937.37</v>
      </c>
    </row>
    <row r="40" spans="1:11" x14ac:dyDescent="0.25">
      <c r="A40" s="1" t="s">
        <v>29</v>
      </c>
    </row>
    <row r="41" spans="1:11" s="6" customFormat="1" x14ac:dyDescent="0.25">
      <c r="A41" s="4" t="s">
        <v>11</v>
      </c>
      <c r="B41" s="5">
        <v>44012</v>
      </c>
      <c r="C41" s="5">
        <v>44104</v>
      </c>
      <c r="D41" s="5">
        <v>44196</v>
      </c>
      <c r="E41" s="5">
        <v>44286</v>
      </c>
      <c r="F41" s="5">
        <v>44377</v>
      </c>
      <c r="G41" s="5">
        <v>44469</v>
      </c>
      <c r="H41" s="5">
        <v>44561</v>
      </c>
      <c r="I41" s="5">
        <v>44651</v>
      </c>
      <c r="J41" s="5">
        <v>44742</v>
      </c>
      <c r="K41" s="5">
        <v>44834</v>
      </c>
    </row>
    <row r="42" spans="1:11" x14ac:dyDescent="0.25">
      <c r="A42" s="2" t="s">
        <v>12</v>
      </c>
      <c r="B42" s="3">
        <v>31983.06</v>
      </c>
      <c r="C42" s="3">
        <v>53530</v>
      </c>
      <c r="D42" s="3">
        <v>75653.789999999994</v>
      </c>
      <c r="E42" s="3">
        <v>88627.9</v>
      </c>
      <c r="F42" s="3">
        <v>66406.45</v>
      </c>
      <c r="G42" s="3">
        <v>61378.82</v>
      </c>
      <c r="H42" s="3">
        <v>72229.289999999994</v>
      </c>
      <c r="I42" s="3">
        <v>78439.06</v>
      </c>
      <c r="J42" s="3">
        <v>71934.66</v>
      </c>
      <c r="K42" s="3">
        <v>79611.37</v>
      </c>
    </row>
    <row r="43" spans="1:11" x14ac:dyDescent="0.25">
      <c r="A43" s="2" t="s">
        <v>30</v>
      </c>
      <c r="B43" s="3">
        <v>31300.36</v>
      </c>
      <c r="C43" s="3">
        <v>47431.7</v>
      </c>
      <c r="D43" s="3">
        <v>63521.09</v>
      </c>
      <c r="E43" s="3">
        <v>75254.17</v>
      </c>
      <c r="F43" s="3">
        <v>61163.78</v>
      </c>
      <c r="G43" s="3">
        <v>57262.21</v>
      </c>
      <c r="H43" s="3">
        <v>65151.27</v>
      </c>
      <c r="I43" s="3">
        <v>70156.27</v>
      </c>
      <c r="J43" s="3">
        <v>69521.929999999993</v>
      </c>
      <c r="K43" s="3">
        <v>74039.06</v>
      </c>
    </row>
    <row r="44" spans="1:11" x14ac:dyDescent="0.25">
      <c r="A44" s="2" t="s">
        <v>20</v>
      </c>
      <c r="B44" s="3">
        <v>609.75</v>
      </c>
      <c r="C44" s="3">
        <v>638.1</v>
      </c>
      <c r="D44" s="3">
        <v>289.37</v>
      </c>
      <c r="E44" s="3">
        <v>-12655.05</v>
      </c>
      <c r="F44" s="3">
        <v>584.12</v>
      </c>
      <c r="G44" s="3">
        <v>862.46</v>
      </c>
      <c r="H44" s="3">
        <v>788.73</v>
      </c>
      <c r="I44" s="3">
        <v>188.74</v>
      </c>
      <c r="J44" s="3">
        <v>2380.98</v>
      </c>
      <c r="K44" s="3">
        <v>1351.14</v>
      </c>
    </row>
    <row r="45" spans="1:11" x14ac:dyDescent="0.25">
      <c r="A45" s="2" t="s">
        <v>21</v>
      </c>
      <c r="B45" s="3">
        <v>5599.37</v>
      </c>
      <c r="C45" s="3">
        <v>5601.47</v>
      </c>
      <c r="D45" s="3">
        <v>6128.75</v>
      </c>
      <c r="E45" s="3">
        <v>6217.12</v>
      </c>
      <c r="F45" s="3">
        <v>6202.13</v>
      </c>
      <c r="G45" s="3">
        <v>6123.32</v>
      </c>
      <c r="H45" s="3">
        <v>6078.13</v>
      </c>
      <c r="I45" s="3">
        <v>6432.11</v>
      </c>
      <c r="J45" s="3">
        <v>5841.04</v>
      </c>
      <c r="K45" s="3">
        <v>5897.34</v>
      </c>
    </row>
    <row r="46" spans="1:11" ht="14.4" x14ac:dyDescent="0.3">
      <c r="A46" s="2" t="s">
        <v>22</v>
      </c>
      <c r="B46" s="7">
        <v>1876.81</v>
      </c>
      <c r="C46" s="7">
        <v>1949.6</v>
      </c>
      <c r="D46" s="7">
        <v>2125.9299999999998</v>
      </c>
      <c r="E46" s="7">
        <v>2144.83</v>
      </c>
      <c r="F46" s="7">
        <v>2203.3000000000002</v>
      </c>
      <c r="G46" s="7">
        <v>2327.3000000000002</v>
      </c>
      <c r="H46" s="7">
        <v>2400.7399999999998</v>
      </c>
      <c r="I46" s="7">
        <v>2380.52</v>
      </c>
      <c r="J46" s="7">
        <v>2420.7199999999998</v>
      </c>
      <c r="K46" s="7">
        <v>2487.2600000000002</v>
      </c>
    </row>
    <row r="47" spans="1:11" x14ac:dyDescent="0.25">
      <c r="A47" s="2" t="s">
        <v>23</v>
      </c>
      <c r="B47" s="3">
        <v>-6183.73</v>
      </c>
      <c r="C47" s="3">
        <v>-814.67</v>
      </c>
      <c r="D47" s="3">
        <v>4167.3900000000003</v>
      </c>
      <c r="E47" s="3">
        <v>-7643.27</v>
      </c>
      <c r="F47" s="3">
        <v>-2578.64</v>
      </c>
      <c r="G47" s="3">
        <v>-3471.55</v>
      </c>
      <c r="H47" s="3">
        <v>-612.12</v>
      </c>
      <c r="I47" s="3">
        <v>-341.1</v>
      </c>
      <c r="J47" s="3">
        <v>-3468.05</v>
      </c>
      <c r="K47" s="3">
        <v>-1461.15</v>
      </c>
    </row>
    <row r="48" spans="1:11" x14ac:dyDescent="0.25">
      <c r="A48" s="2" t="s">
        <v>24</v>
      </c>
      <c r="B48" s="3">
        <v>2200.4899999999998</v>
      </c>
      <c r="C48" s="3">
        <v>-471.39</v>
      </c>
      <c r="D48" s="3">
        <v>945.18</v>
      </c>
      <c r="E48" s="3">
        <v>-132.41999999999999</v>
      </c>
      <c r="F48" s="3">
        <v>1741.96</v>
      </c>
      <c r="G48" s="3">
        <v>1005.06</v>
      </c>
      <c r="H48" s="3">
        <v>726.05</v>
      </c>
      <c r="I48" s="3">
        <v>758.22</v>
      </c>
      <c r="J48" s="3">
        <v>1518.96</v>
      </c>
      <c r="K48" s="3">
        <v>-457.08</v>
      </c>
    </row>
    <row r="49" spans="1:11" x14ac:dyDescent="0.25">
      <c r="A49" s="2" t="s">
        <v>25</v>
      </c>
      <c r="B49" s="3">
        <v>-8437.99</v>
      </c>
      <c r="C49" s="3">
        <v>-314.45</v>
      </c>
      <c r="D49" s="3">
        <v>2906.45</v>
      </c>
      <c r="E49" s="3">
        <v>-7605.4</v>
      </c>
      <c r="F49" s="3">
        <v>-4450.92</v>
      </c>
      <c r="G49" s="3">
        <v>-4441.57</v>
      </c>
      <c r="H49" s="3">
        <v>-1516.14</v>
      </c>
      <c r="I49" s="3">
        <v>-1032.8399999999999</v>
      </c>
      <c r="J49" s="3">
        <v>-5006.6000000000004</v>
      </c>
      <c r="K49" s="3">
        <v>-944.61</v>
      </c>
    </row>
    <row r="50" spans="1:11" x14ac:dyDescent="0.25">
      <c r="A50" s="2" t="s">
        <v>31</v>
      </c>
      <c r="B50" s="3">
        <v>682.7</v>
      </c>
      <c r="C50" s="3">
        <v>6098.3</v>
      </c>
      <c r="D50" s="3">
        <v>12132.7</v>
      </c>
      <c r="E50" s="3">
        <v>13373.73</v>
      </c>
      <c r="F50" s="3">
        <v>5242.67</v>
      </c>
      <c r="G50" s="3">
        <v>4116.6099999999997</v>
      </c>
      <c r="H50" s="3">
        <v>7078.02</v>
      </c>
      <c r="I50" s="3">
        <v>8282.7900000000009</v>
      </c>
      <c r="J50" s="3">
        <v>2412.73</v>
      </c>
      <c r="K50" s="3">
        <v>5572.31</v>
      </c>
    </row>
    <row r="51" spans="1:11" x14ac:dyDescent="0.25">
      <c r="A51" s="2" t="s">
        <v>28</v>
      </c>
      <c r="B51" s="2">
        <f>B49+B48+B46+B45</f>
        <v>1238.6799999999994</v>
      </c>
      <c r="C51" s="2">
        <f t="shared" ref="C51:K51" si="2">C49+C48+C46+C45</f>
        <v>6765.2300000000005</v>
      </c>
      <c r="D51" s="2">
        <f t="shared" si="2"/>
        <v>12106.31</v>
      </c>
      <c r="E51" s="2">
        <f t="shared" si="2"/>
        <v>624.13000000000011</v>
      </c>
      <c r="F51" s="2">
        <f t="shared" si="2"/>
        <v>5696.47</v>
      </c>
      <c r="G51" s="2">
        <f t="shared" si="2"/>
        <v>5014.1100000000006</v>
      </c>
      <c r="H51" s="2">
        <f t="shared" si="2"/>
        <v>7688.78</v>
      </c>
      <c r="I51" s="2">
        <f t="shared" si="2"/>
        <v>8538.01</v>
      </c>
      <c r="J51" s="2">
        <f t="shared" si="2"/>
        <v>4774.119999999999</v>
      </c>
      <c r="K51" s="2">
        <f t="shared" si="2"/>
        <v>6982.91</v>
      </c>
    </row>
    <row r="55" spans="1:11" x14ac:dyDescent="0.25">
      <c r="A55" s="1" t="s">
        <v>32</v>
      </c>
    </row>
    <row r="56" spans="1:11" s="6" customFormat="1" x14ac:dyDescent="0.25">
      <c r="A56" s="4" t="s">
        <v>11</v>
      </c>
      <c r="B56" s="5">
        <v>41364</v>
      </c>
      <c r="C56" s="5">
        <v>41729</v>
      </c>
      <c r="D56" s="5">
        <v>42094</v>
      </c>
      <c r="E56" s="5">
        <v>42460</v>
      </c>
      <c r="F56" s="5">
        <v>42825</v>
      </c>
      <c r="G56" s="5">
        <v>43190</v>
      </c>
      <c r="H56" s="5">
        <v>43555</v>
      </c>
      <c r="I56" s="5">
        <v>43921</v>
      </c>
      <c r="J56" s="5">
        <v>44286</v>
      </c>
      <c r="K56" s="5">
        <v>44651</v>
      </c>
    </row>
    <row r="57" spans="1:11" x14ac:dyDescent="0.25">
      <c r="A57" s="2" t="s">
        <v>33</v>
      </c>
      <c r="B57" s="3">
        <v>638.07000000000005</v>
      </c>
      <c r="C57" s="3">
        <v>643.78</v>
      </c>
      <c r="D57" s="3">
        <v>643.78</v>
      </c>
      <c r="E57" s="3">
        <v>679.18</v>
      </c>
      <c r="F57" s="3">
        <v>679.22</v>
      </c>
      <c r="G57" s="3">
        <v>679.22</v>
      </c>
      <c r="H57" s="3">
        <v>679.22</v>
      </c>
      <c r="I57" s="3">
        <v>719.54</v>
      </c>
      <c r="J57" s="3">
        <v>765.81</v>
      </c>
      <c r="K57" s="3">
        <v>765.88</v>
      </c>
    </row>
    <row r="58" spans="1:11" x14ac:dyDescent="0.25">
      <c r="A58" s="2" t="s">
        <v>34</v>
      </c>
      <c r="B58" s="3">
        <v>36999.230000000003</v>
      </c>
      <c r="C58" s="3">
        <v>64959.67</v>
      </c>
      <c r="D58" s="3">
        <v>55618.14</v>
      </c>
      <c r="E58" s="3">
        <v>78273.23</v>
      </c>
      <c r="F58" s="3">
        <v>57382.67</v>
      </c>
      <c r="G58" s="3">
        <v>94748.69</v>
      </c>
      <c r="H58" s="3">
        <v>59500.34</v>
      </c>
      <c r="I58" s="3">
        <v>61491.49</v>
      </c>
      <c r="J58" s="3">
        <v>54480.91</v>
      </c>
      <c r="K58" s="3">
        <v>43795.360000000001</v>
      </c>
    </row>
    <row r="59" spans="1:11" ht="14.4" x14ac:dyDescent="0.3">
      <c r="A59" s="2" t="s">
        <v>35</v>
      </c>
      <c r="B59" s="7">
        <v>53715.71</v>
      </c>
      <c r="C59" s="7">
        <v>60642.28</v>
      </c>
      <c r="D59" s="7">
        <v>73610.39</v>
      </c>
      <c r="E59" s="7">
        <v>69359.960000000006</v>
      </c>
      <c r="F59" s="7">
        <v>78603.98</v>
      </c>
      <c r="G59" s="7">
        <v>88950.47</v>
      </c>
      <c r="H59" s="7">
        <v>106175.34</v>
      </c>
      <c r="I59" s="7">
        <v>124787.64</v>
      </c>
      <c r="J59" s="7">
        <v>142130.57</v>
      </c>
      <c r="K59" s="7">
        <v>146449.03</v>
      </c>
    </row>
    <row r="60" spans="1:11" x14ac:dyDescent="0.25">
      <c r="A60" s="2" t="s">
        <v>36</v>
      </c>
      <c r="B60" s="3">
        <v>76977.02</v>
      </c>
      <c r="C60" s="3">
        <v>92180.26</v>
      </c>
      <c r="D60" s="3">
        <v>107442.48</v>
      </c>
      <c r="E60" s="3">
        <v>114871.75</v>
      </c>
      <c r="F60" s="3">
        <v>135914.49</v>
      </c>
      <c r="G60" s="3">
        <v>142813.43</v>
      </c>
      <c r="H60" s="3">
        <v>139348.59</v>
      </c>
      <c r="I60" s="3">
        <v>133180.72</v>
      </c>
      <c r="J60" s="3">
        <v>144192.62</v>
      </c>
      <c r="K60" s="3">
        <v>138051.22</v>
      </c>
    </row>
    <row r="61" spans="1:11" s="1" customFormat="1" x14ac:dyDescent="0.25">
      <c r="A61" s="1" t="s">
        <v>37</v>
      </c>
      <c r="B61" s="3">
        <v>168330.03</v>
      </c>
      <c r="C61" s="3">
        <v>218425.99</v>
      </c>
      <c r="D61" s="3">
        <v>237314.79</v>
      </c>
      <c r="E61" s="3">
        <v>263184.12</v>
      </c>
      <c r="F61" s="3">
        <v>272580.36</v>
      </c>
      <c r="G61" s="3">
        <v>327191.81</v>
      </c>
      <c r="H61" s="3">
        <v>305703.49</v>
      </c>
      <c r="I61" s="3">
        <v>320179.39</v>
      </c>
      <c r="J61" s="3">
        <v>341569.91</v>
      </c>
      <c r="K61" s="3">
        <v>329061.49</v>
      </c>
    </row>
    <row r="62" spans="1:11" x14ac:dyDescent="0.25">
      <c r="A62" s="2" t="s">
        <v>38</v>
      </c>
      <c r="B62" s="3">
        <v>55511.73</v>
      </c>
      <c r="C62" s="3">
        <v>69091.67</v>
      </c>
      <c r="D62" s="3">
        <v>88479.49</v>
      </c>
      <c r="E62" s="3">
        <v>107231.76</v>
      </c>
      <c r="F62" s="3">
        <v>95944.08</v>
      </c>
      <c r="G62" s="3">
        <v>121413.86</v>
      </c>
      <c r="H62" s="3">
        <v>111234.47</v>
      </c>
      <c r="I62" s="3">
        <v>127107.14</v>
      </c>
      <c r="J62" s="3">
        <v>138707.60999999999</v>
      </c>
      <c r="K62" s="3">
        <v>138855.45000000001</v>
      </c>
    </row>
    <row r="63" spans="1:11" x14ac:dyDescent="0.25">
      <c r="A63" s="2" t="s">
        <v>39</v>
      </c>
      <c r="B63" s="3">
        <v>18453.55</v>
      </c>
      <c r="C63" s="3">
        <v>33262.559999999998</v>
      </c>
      <c r="D63" s="3">
        <v>28640.09</v>
      </c>
      <c r="E63" s="3">
        <v>25918.94</v>
      </c>
      <c r="F63" s="3">
        <v>33698.839999999997</v>
      </c>
      <c r="G63" s="3">
        <v>40033.5</v>
      </c>
      <c r="H63" s="3">
        <v>31883.84</v>
      </c>
      <c r="I63" s="3">
        <v>35622.29</v>
      </c>
      <c r="J63" s="3">
        <v>20963.93</v>
      </c>
      <c r="K63" s="3">
        <v>10251.09</v>
      </c>
    </row>
    <row r="64" spans="1:11" ht="14.4" x14ac:dyDescent="0.3">
      <c r="A64" s="2" t="s">
        <v>40</v>
      </c>
      <c r="B64" s="3">
        <v>8764.73</v>
      </c>
      <c r="C64" s="7">
        <v>10686.67</v>
      </c>
      <c r="D64" s="3">
        <v>15336.74</v>
      </c>
      <c r="E64" s="3">
        <v>23767.02</v>
      </c>
      <c r="F64" s="3">
        <v>20337.919999999998</v>
      </c>
      <c r="G64" s="3">
        <v>20812.75</v>
      </c>
      <c r="H64" s="3">
        <v>15770.72</v>
      </c>
      <c r="I64" s="3">
        <v>16308.48</v>
      </c>
      <c r="J64" s="3">
        <v>24620.28</v>
      </c>
      <c r="K64" s="3">
        <v>29379.53</v>
      </c>
    </row>
    <row r="65" spans="1:11" x14ac:dyDescent="0.25">
      <c r="A65" s="2" t="s">
        <v>41</v>
      </c>
      <c r="B65" s="3">
        <v>85600.02</v>
      </c>
      <c r="C65" s="3">
        <v>105385.09</v>
      </c>
      <c r="D65" s="3">
        <v>104858.47</v>
      </c>
      <c r="E65" s="3">
        <v>106266.4</v>
      </c>
      <c r="F65" s="3">
        <v>122599.52</v>
      </c>
      <c r="G65" s="3">
        <v>144931.70000000001</v>
      </c>
      <c r="H65" s="3">
        <v>146814.46</v>
      </c>
      <c r="I65" s="3">
        <v>141141.48000000001</v>
      </c>
      <c r="J65" s="3">
        <v>157278.09</v>
      </c>
      <c r="K65" s="3">
        <v>150575.42000000001</v>
      </c>
    </row>
    <row r="66" spans="1:11" s="1" customFormat="1" x14ac:dyDescent="0.25">
      <c r="A66" s="1" t="s">
        <v>37</v>
      </c>
      <c r="B66" s="3">
        <v>168330.03</v>
      </c>
      <c r="C66" s="3">
        <v>218425.99</v>
      </c>
      <c r="D66" s="3">
        <v>237314.79</v>
      </c>
      <c r="E66" s="3">
        <v>263184.12</v>
      </c>
      <c r="F66" s="3">
        <v>272580.36</v>
      </c>
      <c r="G66" s="3">
        <v>327191.81</v>
      </c>
      <c r="H66" s="3">
        <v>305703.49</v>
      </c>
      <c r="I66" s="3">
        <v>320179.39</v>
      </c>
      <c r="J66" s="3">
        <v>341569.91</v>
      </c>
      <c r="K66" s="3">
        <v>329061.49</v>
      </c>
    </row>
    <row r="67" spans="1:11" x14ac:dyDescent="0.25">
      <c r="A67" s="2" t="s">
        <v>42</v>
      </c>
      <c r="B67" s="3">
        <v>10959.6</v>
      </c>
      <c r="C67" s="3">
        <v>10574.23</v>
      </c>
      <c r="D67" s="3">
        <v>12579.2</v>
      </c>
      <c r="E67" s="3">
        <v>13570.91</v>
      </c>
      <c r="F67" s="3">
        <v>14075.55</v>
      </c>
      <c r="G67" s="3">
        <v>19893.3</v>
      </c>
      <c r="H67" s="3">
        <v>18996.169999999998</v>
      </c>
      <c r="I67" s="3">
        <v>11172.69</v>
      </c>
      <c r="J67" s="3">
        <v>12679.08</v>
      </c>
      <c r="K67" s="3">
        <v>12442.12</v>
      </c>
    </row>
    <row r="68" spans="1:11" ht="14.4" x14ac:dyDescent="0.3">
      <c r="A68" s="2" t="s">
        <v>43</v>
      </c>
      <c r="B68" s="7">
        <v>21036.82</v>
      </c>
      <c r="C68" s="7">
        <v>27270.89</v>
      </c>
      <c r="D68" s="7">
        <v>29272.34</v>
      </c>
      <c r="E68" s="7">
        <v>32655.73</v>
      </c>
      <c r="F68" s="7">
        <v>35085.31</v>
      </c>
      <c r="G68" s="7">
        <v>42137.63</v>
      </c>
      <c r="H68" s="7">
        <v>39013.730000000003</v>
      </c>
      <c r="I68" s="7">
        <v>37456.879999999997</v>
      </c>
      <c r="J68" s="7">
        <v>36088.589999999997</v>
      </c>
      <c r="K68" s="7">
        <v>35240.339999999997</v>
      </c>
    </row>
    <row r="69" spans="1:11" x14ac:dyDescent="0.25">
      <c r="A69" s="2" t="s">
        <v>44</v>
      </c>
      <c r="B69" s="3">
        <v>21114.82</v>
      </c>
      <c r="C69" s="3">
        <v>29711.79</v>
      </c>
      <c r="D69" s="3">
        <v>32115.759999999998</v>
      </c>
      <c r="E69" s="3">
        <v>30460.400000000001</v>
      </c>
      <c r="F69" s="3">
        <v>36077.879999999997</v>
      </c>
      <c r="G69" s="3">
        <v>34613.910000000003</v>
      </c>
      <c r="H69" s="3">
        <v>32648.82</v>
      </c>
      <c r="I69" s="3">
        <v>33726.97</v>
      </c>
      <c r="J69" s="3">
        <v>46792.46</v>
      </c>
      <c r="K69" s="3">
        <v>40669.19</v>
      </c>
    </row>
    <row r="70" spans="1:11" x14ac:dyDescent="0.25">
      <c r="A70" s="2" t="s">
        <v>45</v>
      </c>
      <c r="B70" s="3">
        <v>3190115771</v>
      </c>
      <c r="C70" s="3">
        <v>3218930000</v>
      </c>
      <c r="D70" s="3">
        <v>3218930067</v>
      </c>
      <c r="E70" s="3">
        <v>3395930306</v>
      </c>
      <c r="F70" s="3">
        <v>3396100719</v>
      </c>
      <c r="G70" s="3">
        <v>3396100719</v>
      </c>
      <c r="H70" s="3">
        <v>3396100719</v>
      </c>
      <c r="I70" s="3">
        <v>3597726185</v>
      </c>
      <c r="J70" s="3">
        <v>3829060661</v>
      </c>
      <c r="K70" s="3">
        <v>3829414903</v>
      </c>
    </row>
    <row r="71" spans="1:11" ht="13.8" x14ac:dyDescent="0.25">
      <c r="A71" s="2" t="s">
        <v>46</v>
      </c>
      <c r="B71" s="9"/>
      <c r="C71" s="9"/>
      <c r="G71" s="9"/>
      <c r="H71" s="9"/>
    </row>
    <row r="72" spans="1:11" x14ac:dyDescent="0.25">
      <c r="A72" s="2" t="s">
        <v>47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3" spans="1:11" x14ac:dyDescent="0.25">
      <c r="H73" s="2">
        <f>H62-G62+H45</f>
        <v>-4101.2599999999993</v>
      </c>
      <c r="I73" s="2">
        <f t="shared" ref="I73:K73" si="3">I62-H62+I45</f>
        <v>22304.78</v>
      </c>
      <c r="J73" s="2">
        <f t="shared" si="3"/>
        <v>17441.509999999987</v>
      </c>
      <c r="K73" s="2">
        <f t="shared" si="3"/>
        <v>6045.1800000000258</v>
      </c>
    </row>
    <row r="74" spans="1:11" x14ac:dyDescent="0.25">
      <c r="A74" s="2" t="s">
        <v>86</v>
      </c>
      <c r="B74" s="2">
        <f>B61</f>
        <v>168330.03</v>
      </c>
      <c r="C74" s="2">
        <f t="shared" ref="C74:K74" si="4">C61</f>
        <v>218425.99</v>
      </c>
      <c r="D74" s="2">
        <f t="shared" si="4"/>
        <v>237314.79</v>
      </c>
      <c r="E74" s="2">
        <f t="shared" si="4"/>
        <v>263184.12</v>
      </c>
      <c r="F74" s="2">
        <f t="shared" si="4"/>
        <v>272580.36</v>
      </c>
      <c r="G74" s="2">
        <f t="shared" si="4"/>
        <v>327191.81</v>
      </c>
      <c r="H74" s="2">
        <f t="shared" si="4"/>
        <v>305703.49</v>
      </c>
      <c r="I74" s="2">
        <f t="shared" si="4"/>
        <v>320179.39</v>
      </c>
      <c r="J74" s="2">
        <f t="shared" si="4"/>
        <v>341569.91</v>
      </c>
      <c r="K74" s="2">
        <f t="shared" si="4"/>
        <v>329061.49</v>
      </c>
    </row>
    <row r="76" spans="1:11" x14ac:dyDescent="0.25">
      <c r="A76" s="2" t="s">
        <v>257</v>
      </c>
      <c r="B76" s="2">
        <f>B65-SUM(B67:B69)</f>
        <v>32488.780000000006</v>
      </c>
      <c r="C76" s="2">
        <f t="shared" ref="C76:K76" si="5">C65-SUM(C67:C69)</f>
        <v>37828.179999999993</v>
      </c>
      <c r="D76" s="2">
        <f t="shared" si="5"/>
        <v>30891.17</v>
      </c>
      <c r="E76" s="2">
        <f t="shared" si="5"/>
        <v>29579.359999999986</v>
      </c>
      <c r="F76" s="2">
        <f t="shared" si="5"/>
        <v>37360.780000000013</v>
      </c>
      <c r="G76" s="2">
        <f t="shared" si="5"/>
        <v>48286.860000000015</v>
      </c>
      <c r="H76" s="2">
        <f t="shared" si="5"/>
        <v>56155.739999999991</v>
      </c>
      <c r="I76" s="2">
        <f t="shared" si="5"/>
        <v>58784.94</v>
      </c>
      <c r="J76" s="2">
        <f t="shared" si="5"/>
        <v>61717.959999999992</v>
      </c>
      <c r="K76" s="2">
        <f t="shared" si="5"/>
        <v>62223.770000000019</v>
      </c>
    </row>
    <row r="80" spans="1:11" x14ac:dyDescent="0.25">
      <c r="A80" s="1" t="s">
        <v>48</v>
      </c>
    </row>
    <row r="81" spans="1:12" s="6" customFormat="1" x14ac:dyDescent="0.25">
      <c r="A81" s="4" t="s">
        <v>11</v>
      </c>
      <c r="B81" s="5">
        <v>41364</v>
      </c>
      <c r="C81" s="5">
        <v>41729</v>
      </c>
      <c r="D81" s="5">
        <v>42094</v>
      </c>
      <c r="E81" s="5">
        <v>42460</v>
      </c>
      <c r="F81" s="5">
        <v>42825</v>
      </c>
      <c r="G81" s="5">
        <v>43190</v>
      </c>
      <c r="H81" s="5">
        <v>43555</v>
      </c>
      <c r="I81" s="5">
        <v>43921</v>
      </c>
      <c r="J81" s="5">
        <v>44286</v>
      </c>
      <c r="K81" s="5">
        <v>44651</v>
      </c>
      <c r="L81" s="5"/>
    </row>
    <row r="82" spans="1:12" s="1" customFormat="1" x14ac:dyDescent="0.25">
      <c r="A82" s="2" t="s">
        <v>49</v>
      </c>
      <c r="B82" s="3">
        <v>22162.61</v>
      </c>
      <c r="C82" s="3">
        <v>36151.160000000003</v>
      </c>
      <c r="D82" s="3">
        <v>35531.26</v>
      </c>
      <c r="E82" s="3">
        <v>37899.54</v>
      </c>
      <c r="F82" s="3">
        <v>30199.25</v>
      </c>
      <c r="G82" s="3">
        <v>23857.42</v>
      </c>
      <c r="H82" s="3">
        <v>18890.75</v>
      </c>
      <c r="I82" s="3">
        <v>26632.94</v>
      </c>
      <c r="J82" s="3">
        <v>29000.51</v>
      </c>
      <c r="K82" s="3">
        <v>14282.83</v>
      </c>
    </row>
    <row r="83" spans="1:12" x14ac:dyDescent="0.25">
      <c r="A83" s="2" t="s">
        <v>50</v>
      </c>
      <c r="B83" s="3">
        <v>-22969.45</v>
      </c>
      <c r="C83" s="3">
        <v>-27990.91</v>
      </c>
      <c r="D83" s="3">
        <v>-36232.35</v>
      </c>
      <c r="E83" s="3">
        <v>-36693.9</v>
      </c>
      <c r="F83" s="3">
        <v>-39571.4</v>
      </c>
      <c r="G83" s="3">
        <v>-25139.14</v>
      </c>
      <c r="H83" s="3">
        <v>-20878.07</v>
      </c>
      <c r="I83" s="3">
        <v>-33114.550000000003</v>
      </c>
      <c r="J83" s="3">
        <v>-25672.5</v>
      </c>
      <c r="K83" s="3">
        <v>-4443.66</v>
      </c>
    </row>
    <row r="84" spans="1:12" x14ac:dyDescent="0.25">
      <c r="A84" s="2" t="s">
        <v>51</v>
      </c>
      <c r="B84" s="3">
        <v>-1692.08</v>
      </c>
      <c r="C84" s="3">
        <v>-3883.24</v>
      </c>
      <c r="D84" s="3">
        <v>5201.4399999999996</v>
      </c>
      <c r="E84" s="3">
        <v>-3795.12</v>
      </c>
      <c r="F84" s="3">
        <v>6205.3</v>
      </c>
      <c r="G84" s="3">
        <v>2011.71</v>
      </c>
      <c r="H84" s="3">
        <v>8830.3700000000008</v>
      </c>
      <c r="I84" s="3">
        <v>3389.61</v>
      </c>
      <c r="J84" s="3">
        <v>9904.2000000000007</v>
      </c>
      <c r="K84" s="3">
        <v>-3380.17</v>
      </c>
    </row>
    <row r="85" spans="1:12" s="1" customFormat="1" x14ac:dyDescent="0.25">
      <c r="A85" s="2" t="s">
        <v>52</v>
      </c>
      <c r="B85" s="3">
        <v>-2498.92</v>
      </c>
      <c r="C85" s="3">
        <v>4277.01</v>
      </c>
      <c r="D85" s="3">
        <v>4500.3500000000004</v>
      </c>
      <c r="E85" s="3">
        <v>-2589.48</v>
      </c>
      <c r="F85" s="3">
        <v>-3166.85</v>
      </c>
      <c r="G85" s="3">
        <v>729.99</v>
      </c>
      <c r="H85" s="3">
        <v>6843.05</v>
      </c>
      <c r="I85" s="3">
        <v>-3092</v>
      </c>
      <c r="J85" s="3">
        <v>13232.21</v>
      </c>
      <c r="K85" s="3">
        <v>6459</v>
      </c>
    </row>
    <row r="90" spans="1:12" s="1" customFormat="1" x14ac:dyDescent="0.25">
      <c r="A90" s="1" t="s">
        <v>53</v>
      </c>
      <c r="B90" s="3">
        <v>266.3</v>
      </c>
      <c r="C90" s="3">
        <v>394.42</v>
      </c>
      <c r="D90" s="3">
        <v>544.37</v>
      </c>
      <c r="E90" s="3">
        <v>386.6</v>
      </c>
      <c r="F90" s="3">
        <v>465.85</v>
      </c>
      <c r="G90" s="3">
        <v>326.85000000000002</v>
      </c>
      <c r="H90" s="3">
        <v>174.25</v>
      </c>
      <c r="I90" s="3">
        <v>71.05</v>
      </c>
      <c r="J90" s="3">
        <v>301.8</v>
      </c>
      <c r="K90" s="3">
        <v>433.75</v>
      </c>
    </row>
    <row r="92" spans="1:12" s="1" customFormat="1" x14ac:dyDescent="0.25">
      <c r="A92" s="1" t="s">
        <v>54</v>
      </c>
    </row>
    <row r="93" spans="1:12" x14ac:dyDescent="0.25">
      <c r="A93" s="2" t="s">
        <v>55</v>
      </c>
      <c r="B93" s="10">
        <v>285.72000000000003</v>
      </c>
      <c r="C93" s="10">
        <v>288.74</v>
      </c>
      <c r="D93" s="10">
        <v>288.74</v>
      </c>
      <c r="E93" s="10">
        <v>288.72000000000003</v>
      </c>
      <c r="F93" s="10">
        <v>288.73</v>
      </c>
      <c r="G93" s="10">
        <v>288.73</v>
      </c>
      <c r="H93" s="10">
        <v>288.73</v>
      </c>
      <c r="I93" s="10">
        <v>308.89999999999998</v>
      </c>
      <c r="J93" s="10">
        <v>332.03</v>
      </c>
      <c r="K93" s="10">
        <v>332.07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24D-5D39-4924-B2EE-A1525C70A31F}">
  <dimension ref="B2:O7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40" sqref="N40"/>
    </sheetView>
  </sheetViews>
  <sheetFormatPr defaultRowHeight="14.4" x14ac:dyDescent="0.3"/>
  <cols>
    <col min="1" max="1" width="1.88671875" customWidth="1"/>
    <col min="2" max="2" width="25.77734375" bestFit="1" customWidth="1"/>
    <col min="3" max="14" width="9.6640625" bestFit="1" customWidth="1"/>
  </cols>
  <sheetData>
    <row r="2" spans="2:15" x14ac:dyDescent="0.3">
      <c r="B2" s="12" t="s">
        <v>256</v>
      </c>
      <c r="C2" s="13">
        <v>40969</v>
      </c>
      <c r="D2" s="13">
        <v>41334</v>
      </c>
      <c r="E2" s="13">
        <v>41699</v>
      </c>
      <c r="F2" s="13">
        <v>42064</v>
      </c>
      <c r="G2" s="13">
        <v>42430</v>
      </c>
      <c r="H2" s="13">
        <v>42795</v>
      </c>
      <c r="I2" s="13">
        <v>43160</v>
      </c>
      <c r="J2" s="13">
        <v>43525</v>
      </c>
      <c r="K2" s="13">
        <v>43891</v>
      </c>
      <c r="L2" s="13">
        <v>44256</v>
      </c>
      <c r="M2" s="13">
        <v>44621</v>
      </c>
      <c r="N2" s="13">
        <v>44986</v>
      </c>
      <c r="O2" s="116"/>
    </row>
    <row r="3" spans="2:15" s="96" customFormat="1" x14ac:dyDescent="0.3"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1"/>
    </row>
    <row r="4" spans="2:15" x14ac:dyDescent="0.3">
      <c r="B4" t="s">
        <v>258</v>
      </c>
      <c r="C4" s="123">
        <v>635</v>
      </c>
      <c r="D4" s="123">
        <v>638</v>
      </c>
      <c r="E4" s="123">
        <v>644</v>
      </c>
      <c r="F4" s="123">
        <v>644</v>
      </c>
      <c r="G4" s="123">
        <v>679</v>
      </c>
      <c r="H4" s="123">
        <v>679</v>
      </c>
      <c r="I4" s="123">
        <v>679</v>
      </c>
      <c r="J4" s="123">
        <v>679</v>
      </c>
      <c r="K4" s="123">
        <v>720</v>
      </c>
      <c r="L4" s="123">
        <v>766</v>
      </c>
      <c r="M4" s="123">
        <v>766</v>
      </c>
      <c r="N4" s="123">
        <v>766</v>
      </c>
    </row>
    <row r="5" spans="2:15" x14ac:dyDescent="0.3">
      <c r="B5" t="s">
        <v>34</v>
      </c>
      <c r="C5" s="123">
        <v>32064</v>
      </c>
      <c r="D5" s="123">
        <v>36999</v>
      </c>
      <c r="E5" s="123">
        <v>64960</v>
      </c>
      <c r="F5" s="123">
        <v>55618</v>
      </c>
      <c r="G5" s="123">
        <v>78273</v>
      </c>
      <c r="H5" s="123">
        <v>57383</v>
      </c>
      <c r="I5" s="123">
        <v>94749</v>
      </c>
      <c r="J5" s="123">
        <v>59500</v>
      </c>
      <c r="K5" s="123">
        <v>61491</v>
      </c>
      <c r="L5" s="123">
        <v>54481</v>
      </c>
      <c r="M5" s="123">
        <v>43795</v>
      </c>
      <c r="N5" s="123">
        <v>44556</v>
      </c>
      <c r="O5" s="29"/>
    </row>
    <row r="6" spans="2:15" x14ac:dyDescent="0.3"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29"/>
    </row>
    <row r="7" spans="2:15" x14ac:dyDescent="0.3">
      <c r="B7" s="15" t="s">
        <v>259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29"/>
    </row>
    <row r="8" spans="2:15" x14ac:dyDescent="0.3">
      <c r="B8" t="s">
        <v>260</v>
      </c>
      <c r="C8" s="123">
        <v>27962</v>
      </c>
      <c r="D8" s="123">
        <v>32155</v>
      </c>
      <c r="E8" s="123">
        <v>45259</v>
      </c>
      <c r="F8" s="123">
        <v>56071</v>
      </c>
      <c r="G8" s="123">
        <v>50510</v>
      </c>
      <c r="H8" s="123">
        <v>60629</v>
      </c>
      <c r="I8" s="123">
        <v>61200</v>
      </c>
      <c r="J8" s="123">
        <v>70818</v>
      </c>
      <c r="K8" s="123">
        <v>83316</v>
      </c>
      <c r="L8" s="123">
        <v>0</v>
      </c>
      <c r="M8" s="123">
        <v>97759</v>
      </c>
      <c r="N8" s="123">
        <v>88696</v>
      </c>
      <c r="O8" s="29"/>
    </row>
    <row r="9" spans="2:15" x14ac:dyDescent="0.3">
      <c r="B9" t="s">
        <v>261</v>
      </c>
      <c r="C9" s="123">
        <v>10742</v>
      </c>
      <c r="D9" s="123">
        <v>11620</v>
      </c>
      <c r="E9" s="123">
        <v>9696</v>
      </c>
      <c r="F9" s="123">
        <v>13140</v>
      </c>
      <c r="G9" s="123">
        <v>11451</v>
      </c>
      <c r="H9" s="123">
        <v>13860</v>
      </c>
      <c r="I9" s="123">
        <v>16795</v>
      </c>
      <c r="J9" s="123">
        <v>20150</v>
      </c>
      <c r="K9" s="123">
        <v>16363</v>
      </c>
      <c r="L9" s="123">
        <v>0</v>
      </c>
      <c r="M9" s="123">
        <v>41918</v>
      </c>
      <c r="N9" s="123">
        <v>36965</v>
      </c>
      <c r="O9" s="29"/>
    </row>
    <row r="10" spans="2:15" x14ac:dyDescent="0.3">
      <c r="B10" t="s">
        <v>262</v>
      </c>
      <c r="C10" s="123">
        <v>0</v>
      </c>
      <c r="D10" s="123">
        <v>0</v>
      </c>
      <c r="E10" s="123">
        <v>0</v>
      </c>
      <c r="F10" s="123">
        <v>0</v>
      </c>
      <c r="G10" s="123">
        <v>0</v>
      </c>
      <c r="H10" s="123">
        <v>0</v>
      </c>
      <c r="I10" s="123">
        <v>0</v>
      </c>
      <c r="J10" s="123">
        <v>173</v>
      </c>
      <c r="K10" s="123">
        <v>5977</v>
      </c>
      <c r="L10" s="123">
        <v>0</v>
      </c>
      <c r="M10" s="123">
        <v>6772</v>
      </c>
      <c r="N10" s="123">
        <v>8453</v>
      </c>
      <c r="O10" s="29"/>
    </row>
    <row r="11" spans="2:15" x14ac:dyDescent="0.3">
      <c r="B11" t="s">
        <v>263</v>
      </c>
      <c r="C11" s="123">
        <v>8445</v>
      </c>
      <c r="D11" s="123">
        <v>9940</v>
      </c>
      <c r="E11" s="123">
        <v>5688</v>
      </c>
      <c r="F11" s="123">
        <v>4399</v>
      </c>
      <c r="G11" s="123">
        <v>7399</v>
      </c>
      <c r="H11" s="123">
        <v>4115</v>
      </c>
      <c r="I11" s="123">
        <v>10956</v>
      </c>
      <c r="J11" s="123">
        <v>15034</v>
      </c>
      <c r="K11" s="123">
        <v>19132</v>
      </c>
      <c r="L11" s="123">
        <v>142131</v>
      </c>
      <c r="M11" s="123">
        <v>0</v>
      </c>
      <c r="N11" s="123">
        <v>0</v>
      </c>
    </row>
    <row r="12" spans="2:15" x14ac:dyDescent="0.3"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</row>
    <row r="13" spans="2:15" x14ac:dyDescent="0.3">
      <c r="B13" s="15" t="s">
        <v>264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29"/>
    </row>
    <row r="14" spans="2:15" x14ac:dyDescent="0.3">
      <c r="B14" t="s">
        <v>265</v>
      </c>
      <c r="C14" s="123">
        <v>307</v>
      </c>
      <c r="D14" s="123">
        <v>370</v>
      </c>
      <c r="E14" s="123">
        <v>421</v>
      </c>
      <c r="F14" s="123">
        <v>433</v>
      </c>
      <c r="G14" s="123">
        <v>433</v>
      </c>
      <c r="H14" s="123">
        <v>453</v>
      </c>
      <c r="I14" s="123">
        <v>525</v>
      </c>
      <c r="J14" s="123">
        <v>523</v>
      </c>
      <c r="K14" s="123">
        <v>814</v>
      </c>
      <c r="L14" s="123">
        <v>1573</v>
      </c>
      <c r="M14" s="123">
        <v>4271</v>
      </c>
      <c r="N14" s="123">
        <v>7278</v>
      </c>
      <c r="O14" s="29"/>
    </row>
    <row r="15" spans="2:15" x14ac:dyDescent="0.3">
      <c r="B15" t="s">
        <v>266</v>
      </c>
      <c r="C15" s="123">
        <v>36686</v>
      </c>
      <c r="D15" s="123">
        <v>44912</v>
      </c>
      <c r="E15" s="123">
        <v>57316</v>
      </c>
      <c r="F15" s="123">
        <v>57407</v>
      </c>
      <c r="G15" s="123">
        <v>61562</v>
      </c>
      <c r="H15" s="123">
        <v>62533</v>
      </c>
      <c r="I15" s="123">
        <v>76940</v>
      </c>
      <c r="J15" s="123">
        <v>71691</v>
      </c>
      <c r="K15" s="123">
        <v>66398</v>
      </c>
      <c r="L15" s="123">
        <v>76040</v>
      </c>
      <c r="M15" s="123">
        <v>69750</v>
      </c>
      <c r="N15" s="123">
        <v>79252</v>
      </c>
      <c r="O15" s="29"/>
    </row>
    <row r="16" spans="2:15" x14ac:dyDescent="0.3">
      <c r="B16" t="s">
        <v>267</v>
      </c>
      <c r="C16" s="123">
        <v>2369</v>
      </c>
      <c r="D16" s="123">
        <v>2067</v>
      </c>
      <c r="E16" s="123">
        <v>3119</v>
      </c>
      <c r="F16" s="123">
        <v>2289</v>
      </c>
      <c r="G16" s="123">
        <v>2165</v>
      </c>
      <c r="H16" s="123">
        <v>1711</v>
      </c>
      <c r="I16" s="123">
        <v>0</v>
      </c>
      <c r="J16" s="123">
        <v>0</v>
      </c>
      <c r="K16" s="123">
        <v>0</v>
      </c>
      <c r="L16" s="123">
        <v>0</v>
      </c>
      <c r="M16" s="123">
        <v>0</v>
      </c>
      <c r="N16" s="123">
        <v>0</v>
      </c>
    </row>
    <row r="17" spans="2:15" x14ac:dyDescent="0.3">
      <c r="B17" t="s">
        <v>268</v>
      </c>
      <c r="C17" s="123">
        <v>23556</v>
      </c>
      <c r="D17" s="123">
        <v>29627</v>
      </c>
      <c r="E17" s="123">
        <v>31325</v>
      </c>
      <c r="F17" s="123">
        <v>47313</v>
      </c>
      <c r="G17" s="123">
        <v>50712</v>
      </c>
      <c r="H17" s="123">
        <v>71218</v>
      </c>
      <c r="I17" s="123">
        <v>65349</v>
      </c>
      <c r="J17" s="123">
        <v>67135</v>
      </c>
      <c r="K17" s="123">
        <v>65969</v>
      </c>
      <c r="L17" s="123">
        <v>66579</v>
      </c>
      <c r="M17" s="123">
        <v>64030</v>
      </c>
      <c r="N17" s="123">
        <v>68710</v>
      </c>
      <c r="O17" s="29"/>
    </row>
    <row r="18" spans="2:15" x14ac:dyDescent="0.3">
      <c r="B18" s="122" t="s">
        <v>82</v>
      </c>
      <c r="C18" s="124">
        <v>142766</v>
      </c>
      <c r="D18" s="124">
        <v>168330</v>
      </c>
      <c r="E18" s="124">
        <v>218426</v>
      </c>
      <c r="F18" s="124">
        <v>237315</v>
      </c>
      <c r="G18" s="124">
        <v>263184</v>
      </c>
      <c r="H18" s="124">
        <v>272580</v>
      </c>
      <c r="I18" s="124">
        <v>327192</v>
      </c>
      <c r="J18" s="124">
        <v>305703</v>
      </c>
      <c r="K18" s="124">
        <v>320179</v>
      </c>
      <c r="L18" s="124">
        <v>341570</v>
      </c>
      <c r="M18" s="124">
        <v>329061</v>
      </c>
      <c r="N18" s="124">
        <v>334674</v>
      </c>
      <c r="O18" s="29"/>
    </row>
    <row r="19" spans="2:15" x14ac:dyDescent="0.3"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29"/>
    </row>
    <row r="20" spans="2:15" x14ac:dyDescent="0.3">
      <c r="B20" s="15" t="s">
        <v>269</v>
      </c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29"/>
    </row>
    <row r="21" spans="2:15" x14ac:dyDescent="0.3">
      <c r="B21" t="s">
        <v>270</v>
      </c>
      <c r="C21" s="123">
        <v>1963</v>
      </c>
      <c r="D21" s="123">
        <v>1959</v>
      </c>
      <c r="E21" s="123">
        <v>2296</v>
      </c>
      <c r="F21" s="123">
        <v>2513</v>
      </c>
      <c r="G21" s="123">
        <v>7185</v>
      </c>
      <c r="H21" s="123">
        <v>6762</v>
      </c>
      <c r="I21" s="123">
        <v>7339</v>
      </c>
      <c r="J21" s="123">
        <v>7286</v>
      </c>
      <c r="K21" s="123">
        <v>7675</v>
      </c>
      <c r="L21" s="123">
        <v>7819</v>
      </c>
      <c r="M21" s="123">
        <v>7760</v>
      </c>
      <c r="N21" s="123">
        <v>8045</v>
      </c>
    </row>
    <row r="22" spans="2:15" x14ac:dyDescent="0.3">
      <c r="B22" t="s">
        <v>271</v>
      </c>
      <c r="C22" s="123">
        <v>9014</v>
      </c>
      <c r="D22" s="123">
        <v>8323</v>
      </c>
      <c r="E22" s="123">
        <v>11010</v>
      </c>
      <c r="F22" s="123">
        <v>13396</v>
      </c>
      <c r="G22" s="123">
        <v>12343</v>
      </c>
      <c r="H22" s="123">
        <v>12164</v>
      </c>
      <c r="I22" s="123">
        <v>16552</v>
      </c>
      <c r="J22" s="123">
        <v>22938</v>
      </c>
      <c r="K22" s="123">
        <v>32665</v>
      </c>
      <c r="L22" s="123">
        <v>35537</v>
      </c>
      <c r="M22" s="123">
        <v>36466</v>
      </c>
      <c r="N22" s="123">
        <v>38781</v>
      </c>
    </row>
    <row r="23" spans="2:15" x14ac:dyDescent="0.3">
      <c r="B23" t="s">
        <v>272</v>
      </c>
      <c r="C23" s="123">
        <v>57315</v>
      </c>
      <c r="D23" s="123">
        <v>63478</v>
      </c>
      <c r="E23" s="123">
        <v>79505</v>
      </c>
      <c r="F23" s="123">
        <v>88943</v>
      </c>
      <c r="G23" s="123">
        <v>80063</v>
      </c>
      <c r="H23" s="123">
        <v>79976</v>
      </c>
      <c r="I23" s="123">
        <v>100226</v>
      </c>
      <c r="J23" s="123">
        <v>109415</v>
      </c>
      <c r="K23" s="123">
        <v>124158</v>
      </c>
      <c r="L23" s="123">
        <v>138868</v>
      </c>
      <c r="M23" s="123">
        <v>148585</v>
      </c>
      <c r="N23" s="123">
        <v>153672</v>
      </c>
    </row>
    <row r="24" spans="2:15" x14ac:dyDescent="0.3">
      <c r="B24" t="s">
        <v>273</v>
      </c>
      <c r="C24" s="123">
        <v>0</v>
      </c>
      <c r="D24" s="123">
        <v>0</v>
      </c>
      <c r="E24" s="123">
        <v>0</v>
      </c>
      <c r="F24" s="123">
        <v>482</v>
      </c>
      <c r="G24" s="123">
        <v>498</v>
      </c>
      <c r="H24" s="123">
        <v>0</v>
      </c>
      <c r="I24" s="123">
        <v>0</v>
      </c>
      <c r="J24" s="123">
        <v>0</v>
      </c>
      <c r="K24" s="123">
        <v>0</v>
      </c>
      <c r="L24" s="123">
        <v>0</v>
      </c>
      <c r="M24" s="123">
        <v>0</v>
      </c>
      <c r="N24" s="123">
        <v>0</v>
      </c>
    </row>
    <row r="25" spans="2:15" x14ac:dyDescent="0.3">
      <c r="B25" t="s">
        <v>298</v>
      </c>
      <c r="C25" s="123">
        <v>1431</v>
      </c>
      <c r="D25" s="123">
        <v>928</v>
      </c>
      <c r="E25" s="123">
        <v>1126</v>
      </c>
      <c r="F25" s="123">
        <v>1364</v>
      </c>
      <c r="G25" s="123">
        <v>1634</v>
      </c>
      <c r="H25" s="123">
        <v>1767</v>
      </c>
      <c r="I25" s="123">
        <v>1943</v>
      </c>
      <c r="J25" s="123">
        <v>2335</v>
      </c>
      <c r="K25" s="123">
        <v>3054</v>
      </c>
      <c r="L25" s="123">
        <v>3172</v>
      </c>
      <c r="M25" s="123">
        <v>3383</v>
      </c>
      <c r="N25" s="123">
        <v>3499</v>
      </c>
    </row>
    <row r="26" spans="2:15" x14ac:dyDescent="0.3">
      <c r="B26" t="s">
        <v>274</v>
      </c>
      <c r="C26" s="123">
        <v>604</v>
      </c>
      <c r="D26" s="123">
        <v>710</v>
      </c>
      <c r="E26" s="123">
        <v>1011</v>
      </c>
      <c r="F26" s="123">
        <v>1149</v>
      </c>
      <c r="G26" s="123">
        <v>1241</v>
      </c>
      <c r="H26" s="123">
        <v>1401</v>
      </c>
      <c r="I26" s="123">
        <v>1430</v>
      </c>
      <c r="J26" s="123">
        <v>1626</v>
      </c>
      <c r="K26" s="123">
        <v>1890</v>
      </c>
      <c r="L26" s="123">
        <v>1956</v>
      </c>
      <c r="M26" s="123">
        <v>1984</v>
      </c>
      <c r="N26" s="123">
        <v>2084</v>
      </c>
    </row>
    <row r="27" spans="2:15" x14ac:dyDescent="0.3">
      <c r="B27" t="s">
        <v>275</v>
      </c>
      <c r="C27" s="123">
        <v>358</v>
      </c>
      <c r="D27" s="123">
        <v>251</v>
      </c>
      <c r="E27" s="123">
        <v>270</v>
      </c>
      <c r="F27" s="123">
        <v>280</v>
      </c>
      <c r="G27" s="123">
        <v>280</v>
      </c>
      <c r="H27" s="123">
        <v>291</v>
      </c>
      <c r="I27" s="123">
        <v>353</v>
      </c>
      <c r="J27" s="123">
        <v>387</v>
      </c>
      <c r="K27" s="123">
        <v>601</v>
      </c>
      <c r="L27" s="123">
        <v>845</v>
      </c>
      <c r="M27" s="123">
        <v>725</v>
      </c>
      <c r="N27" s="123">
        <v>788</v>
      </c>
    </row>
    <row r="28" spans="2:15" x14ac:dyDescent="0.3">
      <c r="B28" t="s">
        <v>276</v>
      </c>
      <c r="C28" s="123">
        <v>7373</v>
      </c>
      <c r="D28" s="123">
        <v>7423</v>
      </c>
      <c r="E28" s="123">
        <v>8994</v>
      </c>
      <c r="F28" s="123">
        <v>9580</v>
      </c>
      <c r="G28" s="123">
        <v>58951</v>
      </c>
      <c r="H28" s="123">
        <v>54932</v>
      </c>
      <c r="I28" s="123">
        <v>77870</v>
      </c>
      <c r="J28" s="123">
        <v>80480</v>
      </c>
      <c r="K28" s="123">
        <v>91157</v>
      </c>
      <c r="L28" s="123">
        <v>114809</v>
      </c>
      <c r="M28" s="123">
        <v>114323</v>
      </c>
      <c r="N28" s="123">
        <v>112538</v>
      </c>
      <c r="O28" s="29"/>
    </row>
    <row r="29" spans="2:15" x14ac:dyDescent="0.3">
      <c r="B29" t="s">
        <v>277</v>
      </c>
      <c r="C29" s="123">
        <v>15816</v>
      </c>
      <c r="D29" s="123">
        <v>24161</v>
      </c>
      <c r="E29" s="123">
        <v>33694</v>
      </c>
      <c r="F29" s="123">
        <v>45196</v>
      </c>
      <c r="G29" s="123">
        <v>6746</v>
      </c>
      <c r="H29" s="123">
        <v>6219</v>
      </c>
      <c r="I29" s="123">
        <v>7497</v>
      </c>
      <c r="J29" s="123">
        <v>8049</v>
      </c>
      <c r="K29" s="123">
        <v>9380</v>
      </c>
      <c r="L29" s="123">
        <v>10686</v>
      </c>
      <c r="M29" s="123">
        <v>10870</v>
      </c>
      <c r="N29" s="123">
        <v>11735</v>
      </c>
    </row>
    <row r="30" spans="2:15" x14ac:dyDescent="0.3">
      <c r="B30" s="15" t="s">
        <v>278</v>
      </c>
      <c r="C30" s="123">
        <v>93873</v>
      </c>
      <c r="D30" s="123">
        <v>107234</v>
      </c>
      <c r="E30" s="123">
        <v>137907</v>
      </c>
      <c r="F30" s="123">
        <v>162904</v>
      </c>
      <c r="G30" s="123">
        <v>168941</v>
      </c>
      <c r="H30" s="123">
        <v>163512</v>
      </c>
      <c r="I30" s="123">
        <v>213209</v>
      </c>
      <c r="J30" s="123">
        <v>232517</v>
      </c>
      <c r="K30" s="123">
        <v>270579</v>
      </c>
      <c r="L30" s="123">
        <v>313692</v>
      </c>
      <c r="M30" s="123">
        <v>324096</v>
      </c>
      <c r="N30" s="123">
        <v>331141</v>
      </c>
    </row>
    <row r="31" spans="2:15" x14ac:dyDescent="0.3">
      <c r="B31" s="15" t="s">
        <v>279</v>
      </c>
      <c r="C31" s="123">
        <v>49512</v>
      </c>
      <c r="D31" s="123">
        <v>51723</v>
      </c>
      <c r="E31" s="123">
        <v>68815</v>
      </c>
      <c r="F31" s="123">
        <v>74424</v>
      </c>
      <c r="G31" s="123">
        <v>61709</v>
      </c>
      <c r="H31" s="123">
        <v>67568</v>
      </c>
      <c r="I31" s="123">
        <v>91795</v>
      </c>
      <c r="J31" s="123">
        <v>121283</v>
      </c>
      <c r="K31" s="123">
        <v>143471</v>
      </c>
      <c r="L31" s="123">
        <v>174985</v>
      </c>
      <c r="M31" s="123">
        <v>185241</v>
      </c>
      <c r="N31" s="123">
        <v>199062</v>
      </c>
    </row>
    <row r="32" spans="2:15" x14ac:dyDescent="0.3">
      <c r="B32" s="126" t="s">
        <v>38</v>
      </c>
      <c r="C32" s="127">
        <f>C30-C31</f>
        <v>44361</v>
      </c>
      <c r="D32" s="127">
        <f t="shared" ref="D32:N32" si="0">D30-D31</f>
        <v>55511</v>
      </c>
      <c r="E32" s="127">
        <f t="shared" si="0"/>
        <v>69092</v>
      </c>
      <c r="F32" s="127">
        <f t="shared" si="0"/>
        <v>88480</v>
      </c>
      <c r="G32" s="127">
        <f t="shared" si="0"/>
        <v>107232</v>
      </c>
      <c r="H32" s="127">
        <f t="shared" si="0"/>
        <v>95944</v>
      </c>
      <c r="I32" s="127">
        <f t="shared" si="0"/>
        <v>121414</v>
      </c>
      <c r="J32" s="127">
        <f t="shared" si="0"/>
        <v>111234</v>
      </c>
      <c r="K32" s="127">
        <f t="shared" si="0"/>
        <v>127108</v>
      </c>
      <c r="L32" s="127">
        <f t="shared" si="0"/>
        <v>138707</v>
      </c>
      <c r="M32" s="127">
        <f t="shared" si="0"/>
        <v>138855</v>
      </c>
      <c r="N32" s="127">
        <f t="shared" si="0"/>
        <v>132079</v>
      </c>
    </row>
    <row r="33" spans="2:15" x14ac:dyDescent="0.3">
      <c r="B33" s="15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</row>
    <row r="34" spans="2:15" x14ac:dyDescent="0.3">
      <c r="B34" s="15" t="s">
        <v>280</v>
      </c>
      <c r="C34" s="123">
        <v>15946</v>
      </c>
      <c r="D34" s="123">
        <v>18454</v>
      </c>
      <c r="E34" s="123">
        <v>33263</v>
      </c>
      <c r="F34" s="123">
        <v>28640</v>
      </c>
      <c r="G34" s="123">
        <v>25919</v>
      </c>
      <c r="H34" s="123">
        <v>33699</v>
      </c>
      <c r="I34" s="123">
        <v>40034</v>
      </c>
      <c r="J34" s="123">
        <v>31884</v>
      </c>
      <c r="K34" s="123">
        <v>35622</v>
      </c>
      <c r="L34" s="123">
        <v>20964</v>
      </c>
      <c r="M34" s="123">
        <v>10251</v>
      </c>
      <c r="N34" s="123">
        <v>14274</v>
      </c>
      <c r="O34" s="29"/>
    </row>
    <row r="35" spans="2:15" x14ac:dyDescent="0.3">
      <c r="B35" s="15" t="s">
        <v>40</v>
      </c>
      <c r="C35" s="123">
        <v>8918</v>
      </c>
      <c r="D35" s="123">
        <v>8765</v>
      </c>
      <c r="E35" s="123">
        <v>10687</v>
      </c>
      <c r="F35" s="123">
        <v>15337</v>
      </c>
      <c r="G35" s="123">
        <v>23767</v>
      </c>
      <c r="H35" s="123">
        <v>20338</v>
      </c>
      <c r="I35" s="123">
        <v>20813</v>
      </c>
      <c r="J35" s="123">
        <v>15771</v>
      </c>
      <c r="K35" s="123">
        <v>16308</v>
      </c>
      <c r="L35" s="123">
        <v>24620</v>
      </c>
      <c r="M35" s="123">
        <v>29380</v>
      </c>
      <c r="N35" s="123">
        <v>26379</v>
      </c>
      <c r="O35" s="29"/>
    </row>
    <row r="36" spans="2:15" x14ac:dyDescent="0.3">
      <c r="B36" s="15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29"/>
    </row>
    <row r="37" spans="2:15" x14ac:dyDescent="0.3">
      <c r="B37" s="15" t="s">
        <v>281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29"/>
    </row>
    <row r="38" spans="2:15" x14ac:dyDescent="0.3">
      <c r="B38" t="s">
        <v>282</v>
      </c>
      <c r="C38" s="123">
        <v>18216</v>
      </c>
      <c r="D38" s="123">
        <v>21037</v>
      </c>
      <c r="E38" s="123">
        <v>27271</v>
      </c>
      <c r="F38" s="123">
        <v>29272</v>
      </c>
      <c r="G38" s="123">
        <v>32656</v>
      </c>
      <c r="H38" s="123">
        <v>35085</v>
      </c>
      <c r="I38" s="123">
        <v>42138</v>
      </c>
      <c r="J38" s="123">
        <v>39014</v>
      </c>
      <c r="K38" s="123">
        <v>37457</v>
      </c>
      <c r="L38" s="123">
        <v>36089</v>
      </c>
      <c r="M38" s="123">
        <v>35240</v>
      </c>
      <c r="N38" s="123">
        <v>40755</v>
      </c>
      <c r="O38" s="29"/>
    </row>
    <row r="39" spans="2:15" x14ac:dyDescent="0.3">
      <c r="B39" t="s">
        <v>283</v>
      </c>
      <c r="C39" s="123">
        <v>8237</v>
      </c>
      <c r="D39" s="123">
        <v>10960</v>
      </c>
      <c r="E39" s="123">
        <v>10574</v>
      </c>
      <c r="F39" s="123">
        <v>12579</v>
      </c>
      <c r="G39" s="123">
        <v>13571</v>
      </c>
      <c r="H39" s="123">
        <v>14076</v>
      </c>
      <c r="I39" s="123">
        <v>19893</v>
      </c>
      <c r="J39" s="123">
        <v>18996</v>
      </c>
      <c r="K39" s="123">
        <v>11173</v>
      </c>
      <c r="L39" s="123">
        <v>12679</v>
      </c>
      <c r="M39" s="123">
        <v>12442</v>
      </c>
      <c r="N39" s="123">
        <v>15738</v>
      </c>
      <c r="O39" s="29"/>
    </row>
    <row r="40" spans="2:15" x14ac:dyDescent="0.3">
      <c r="B40" t="s">
        <v>284</v>
      </c>
      <c r="C40" s="123">
        <v>18238</v>
      </c>
      <c r="D40" s="123">
        <v>21115</v>
      </c>
      <c r="E40" s="123">
        <v>29712</v>
      </c>
      <c r="F40" s="123">
        <v>32116</v>
      </c>
      <c r="G40" s="123">
        <v>30460</v>
      </c>
      <c r="H40" s="123">
        <v>36078</v>
      </c>
      <c r="I40" s="123">
        <v>34614</v>
      </c>
      <c r="J40" s="123">
        <v>32649</v>
      </c>
      <c r="K40" s="123">
        <v>33727</v>
      </c>
      <c r="L40" s="123">
        <v>46792</v>
      </c>
      <c r="M40" s="123">
        <v>40669</v>
      </c>
      <c r="N40" s="123">
        <v>37016</v>
      </c>
      <c r="O40" s="29"/>
    </row>
    <row r="41" spans="2:15" x14ac:dyDescent="0.3">
      <c r="B41" t="s">
        <v>285</v>
      </c>
      <c r="C41" s="123">
        <v>5408</v>
      </c>
      <c r="D41" s="123">
        <v>7041</v>
      </c>
      <c r="E41" s="123">
        <v>9344</v>
      </c>
      <c r="F41" s="123">
        <v>6190</v>
      </c>
      <c r="G41" s="123">
        <v>0</v>
      </c>
      <c r="H41" s="123">
        <v>0</v>
      </c>
      <c r="I41" s="123">
        <v>966</v>
      </c>
      <c r="J41" s="123">
        <v>974</v>
      </c>
      <c r="K41" s="123">
        <v>39</v>
      </c>
      <c r="L41" s="123">
        <v>142</v>
      </c>
      <c r="M41" s="123">
        <v>47</v>
      </c>
      <c r="N41" s="123">
        <v>50</v>
      </c>
      <c r="O41" s="29"/>
    </row>
    <row r="42" spans="2:15" x14ac:dyDescent="0.3">
      <c r="B42" t="s">
        <v>286</v>
      </c>
      <c r="C42" s="123">
        <v>23443</v>
      </c>
      <c r="D42" s="123">
        <v>25448</v>
      </c>
      <c r="E42" s="123">
        <v>28484</v>
      </c>
      <c r="F42" s="123">
        <v>24701</v>
      </c>
      <c r="G42" s="123">
        <v>29579</v>
      </c>
      <c r="H42" s="123">
        <v>37361</v>
      </c>
      <c r="I42" s="123">
        <v>47321</v>
      </c>
      <c r="J42" s="123">
        <v>55182</v>
      </c>
      <c r="K42" s="123">
        <v>58746</v>
      </c>
      <c r="L42" s="123">
        <v>61576</v>
      </c>
      <c r="M42" s="123">
        <v>62177</v>
      </c>
      <c r="N42" s="123">
        <v>68382</v>
      </c>
      <c r="O42" s="29"/>
    </row>
    <row r="43" spans="2:15" x14ac:dyDescent="0.3">
      <c r="B43" s="15" t="s">
        <v>86</v>
      </c>
      <c r="C43" s="125">
        <v>142766</v>
      </c>
      <c r="D43" s="125">
        <v>168330</v>
      </c>
      <c r="E43" s="125">
        <v>218426</v>
      </c>
      <c r="F43" s="125">
        <v>237315</v>
      </c>
      <c r="G43" s="125">
        <v>263184</v>
      </c>
      <c r="H43" s="125">
        <v>272580</v>
      </c>
      <c r="I43" s="125">
        <v>327192</v>
      </c>
      <c r="J43" s="125">
        <v>305703</v>
      </c>
      <c r="K43" s="125">
        <v>320179</v>
      </c>
      <c r="L43" s="125">
        <v>341570</v>
      </c>
      <c r="M43" s="125">
        <v>329061</v>
      </c>
      <c r="N43" s="125">
        <v>334674</v>
      </c>
      <c r="O43" s="29"/>
    </row>
    <row r="47" spans="2:15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2:15" x14ac:dyDescent="0.3">
      <c r="B48" t="s">
        <v>115</v>
      </c>
      <c r="C48" s="123">
        <v>18384</v>
      </c>
      <c r="D48" s="123">
        <v>22163</v>
      </c>
      <c r="E48" s="123">
        <v>36151</v>
      </c>
      <c r="F48" s="123">
        <v>35531</v>
      </c>
      <c r="G48" s="123">
        <v>37900</v>
      </c>
      <c r="H48" s="123">
        <v>30199</v>
      </c>
      <c r="I48" s="123">
        <v>23857</v>
      </c>
      <c r="J48" s="123">
        <v>18891</v>
      </c>
      <c r="K48" s="123">
        <v>26633</v>
      </c>
      <c r="L48" s="123">
        <v>29001</v>
      </c>
      <c r="M48" s="123">
        <v>14283</v>
      </c>
      <c r="N48" s="123">
        <v>35388</v>
      </c>
    </row>
    <row r="49" spans="2:14" x14ac:dyDescent="0.3">
      <c r="B49" t="s">
        <v>88</v>
      </c>
      <c r="C49" s="123">
        <v>22432</v>
      </c>
      <c r="D49" s="123">
        <v>24406</v>
      </c>
      <c r="E49" s="123">
        <v>36303</v>
      </c>
      <c r="F49" s="123">
        <v>43397</v>
      </c>
      <c r="G49" s="123">
        <v>38626</v>
      </c>
      <c r="H49" s="123">
        <v>28840</v>
      </c>
      <c r="I49" s="123">
        <v>33312</v>
      </c>
      <c r="J49" s="123">
        <v>28771</v>
      </c>
      <c r="K49" s="123">
        <v>23352</v>
      </c>
      <c r="L49" s="123">
        <v>31198</v>
      </c>
      <c r="M49" s="123">
        <v>26943</v>
      </c>
      <c r="N49" s="123">
        <v>41694</v>
      </c>
    </row>
    <row r="50" spans="2:14" x14ac:dyDescent="0.3">
      <c r="B50" t="s">
        <v>42</v>
      </c>
      <c r="C50" s="123">
        <v>-6659</v>
      </c>
      <c r="D50" s="123">
        <v>-5177</v>
      </c>
      <c r="E50" s="123">
        <v>445</v>
      </c>
      <c r="F50" s="123">
        <v>-3179</v>
      </c>
      <c r="G50" s="123">
        <v>-2223</v>
      </c>
      <c r="H50" s="123">
        <v>-4152</v>
      </c>
      <c r="I50" s="123">
        <v>-10688</v>
      </c>
      <c r="J50" s="123">
        <v>-9109</v>
      </c>
      <c r="K50" s="123">
        <v>9950</v>
      </c>
      <c r="L50" s="123">
        <v>-5505</v>
      </c>
      <c r="M50" s="123">
        <v>185</v>
      </c>
      <c r="N50" s="123">
        <v>-2213</v>
      </c>
    </row>
    <row r="51" spans="2:14" x14ac:dyDescent="0.3">
      <c r="B51" t="s">
        <v>43</v>
      </c>
      <c r="C51" s="123">
        <v>-2719</v>
      </c>
      <c r="D51" s="123">
        <v>-2656</v>
      </c>
      <c r="E51" s="123">
        <v>-2853</v>
      </c>
      <c r="F51" s="123">
        <v>-3692</v>
      </c>
      <c r="G51" s="123">
        <v>-5743</v>
      </c>
      <c r="H51" s="123">
        <v>-6621</v>
      </c>
      <c r="I51" s="123">
        <v>-3560</v>
      </c>
      <c r="J51" s="123">
        <v>2069</v>
      </c>
      <c r="K51" s="123">
        <v>2326</v>
      </c>
      <c r="L51" s="123">
        <v>3814</v>
      </c>
      <c r="M51" s="123">
        <v>472</v>
      </c>
      <c r="N51" s="123">
        <v>-5665</v>
      </c>
    </row>
    <row r="52" spans="2:14" x14ac:dyDescent="0.3">
      <c r="B52" t="s">
        <v>89</v>
      </c>
      <c r="C52" s="123">
        <v>5867</v>
      </c>
      <c r="D52" s="123">
        <v>8132</v>
      </c>
      <c r="E52" s="123">
        <v>4694</v>
      </c>
      <c r="F52" s="123">
        <v>3598</v>
      </c>
      <c r="G52" s="123">
        <v>3947</v>
      </c>
      <c r="H52" s="123">
        <v>9301</v>
      </c>
      <c r="I52" s="123">
        <v>7320</v>
      </c>
      <c r="J52" s="123">
        <v>-4692</v>
      </c>
      <c r="K52" s="123">
        <v>-8085</v>
      </c>
      <c r="L52" s="123">
        <v>5748</v>
      </c>
      <c r="M52" s="123">
        <v>-7012</v>
      </c>
      <c r="N52" s="123">
        <v>6945</v>
      </c>
    </row>
    <row r="53" spans="2:14" x14ac:dyDescent="0.3">
      <c r="B53" t="s">
        <v>90</v>
      </c>
      <c r="C53" s="123">
        <v>0</v>
      </c>
      <c r="D53" s="123">
        <v>0</v>
      </c>
      <c r="E53" s="123">
        <v>0</v>
      </c>
      <c r="F53" s="123">
        <v>0</v>
      </c>
      <c r="G53" s="123">
        <v>-520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</row>
    <row r="54" spans="2:14" x14ac:dyDescent="0.3">
      <c r="B54" t="s">
        <v>91</v>
      </c>
      <c r="C54" s="123">
        <v>1231</v>
      </c>
      <c r="D54" s="123">
        <v>-303</v>
      </c>
      <c r="E54" s="123">
        <v>1870</v>
      </c>
      <c r="F54" s="123">
        <v>-398</v>
      </c>
      <c r="G54" s="123">
        <v>5852</v>
      </c>
      <c r="H54" s="123">
        <v>4727</v>
      </c>
      <c r="I54" s="123">
        <v>494</v>
      </c>
      <c r="J54" s="123">
        <v>4512</v>
      </c>
      <c r="K54" s="123">
        <v>875</v>
      </c>
      <c r="L54" s="123">
        <v>-4150</v>
      </c>
      <c r="M54" s="123">
        <v>-4396</v>
      </c>
      <c r="N54" s="123">
        <v>-2194</v>
      </c>
    </row>
    <row r="55" spans="2:14" x14ac:dyDescent="0.3">
      <c r="B55" t="s">
        <v>92</v>
      </c>
      <c r="C55" s="123">
        <v>-2280</v>
      </c>
      <c r="D55" s="123">
        <v>-3</v>
      </c>
      <c r="E55" s="123">
        <v>4157</v>
      </c>
      <c r="F55" s="123">
        <v>-3672</v>
      </c>
      <c r="G55" s="123">
        <v>1313</v>
      </c>
      <c r="H55" s="123">
        <v>3254</v>
      </c>
      <c r="I55" s="123">
        <v>-6434</v>
      </c>
      <c r="J55" s="123">
        <v>-7221</v>
      </c>
      <c r="K55" s="123">
        <v>5065</v>
      </c>
      <c r="L55" s="123">
        <v>-93</v>
      </c>
      <c r="M55" s="123">
        <v>-10750</v>
      </c>
      <c r="N55" s="123">
        <v>-3127</v>
      </c>
    </row>
    <row r="56" spans="2:14" x14ac:dyDescent="0.3">
      <c r="B56" t="s">
        <v>93</v>
      </c>
      <c r="C56" s="123">
        <v>-1768</v>
      </c>
      <c r="D56" s="123">
        <v>-2240</v>
      </c>
      <c r="E56" s="123">
        <v>-4308</v>
      </c>
      <c r="F56" s="123">
        <v>-4194</v>
      </c>
      <c r="G56" s="123">
        <v>-2040</v>
      </c>
      <c r="H56" s="123">
        <v>-1895</v>
      </c>
      <c r="I56" s="123">
        <v>-3021</v>
      </c>
      <c r="J56" s="123">
        <v>-2659</v>
      </c>
      <c r="K56" s="123">
        <v>-1785</v>
      </c>
      <c r="L56" s="123">
        <v>-2105</v>
      </c>
      <c r="M56" s="123">
        <v>-1910</v>
      </c>
      <c r="N56" s="123">
        <v>-3179</v>
      </c>
    </row>
    <row r="57" spans="2:14" x14ac:dyDescent="0.3">
      <c r="B57" t="s">
        <v>116</v>
      </c>
      <c r="C57" s="123">
        <v>-19464</v>
      </c>
      <c r="D57" s="123">
        <v>-22969</v>
      </c>
      <c r="E57" s="123">
        <v>-27991</v>
      </c>
      <c r="F57" s="123">
        <v>-36232</v>
      </c>
      <c r="G57" s="123">
        <v>-36694</v>
      </c>
      <c r="H57" s="123">
        <v>-39571</v>
      </c>
      <c r="I57" s="123">
        <v>-25139</v>
      </c>
      <c r="J57" s="123">
        <v>-20878</v>
      </c>
      <c r="K57" s="123">
        <v>-33115</v>
      </c>
      <c r="L57" s="123">
        <v>-25672</v>
      </c>
      <c r="M57" s="123">
        <v>-4444</v>
      </c>
      <c r="N57" s="123">
        <v>-15417</v>
      </c>
    </row>
    <row r="58" spans="2:14" x14ac:dyDescent="0.3">
      <c r="B58" t="s">
        <v>94</v>
      </c>
      <c r="C58" s="123">
        <v>-13876</v>
      </c>
      <c r="D58" s="123">
        <v>-18863</v>
      </c>
      <c r="E58" s="123">
        <v>-26975</v>
      </c>
      <c r="F58" s="123">
        <v>-31962</v>
      </c>
      <c r="G58" s="123">
        <v>-31503</v>
      </c>
      <c r="H58" s="123">
        <v>-16072</v>
      </c>
      <c r="I58" s="123">
        <v>-35079</v>
      </c>
      <c r="J58" s="123">
        <v>-35304</v>
      </c>
      <c r="K58" s="123">
        <v>-29702</v>
      </c>
      <c r="L58" s="123">
        <v>-20205</v>
      </c>
      <c r="M58" s="123">
        <v>-15168</v>
      </c>
      <c r="N58" s="123">
        <v>-19230</v>
      </c>
    </row>
    <row r="59" spans="2:14" x14ac:dyDescent="0.3">
      <c r="B59" t="s">
        <v>95</v>
      </c>
      <c r="C59" s="123">
        <v>93</v>
      </c>
      <c r="D59" s="123">
        <v>37</v>
      </c>
      <c r="E59" s="123">
        <v>50</v>
      </c>
      <c r="F59" s="123">
        <v>74</v>
      </c>
      <c r="G59" s="123">
        <v>59</v>
      </c>
      <c r="H59" s="123">
        <v>53</v>
      </c>
      <c r="I59" s="123">
        <v>30</v>
      </c>
      <c r="J59" s="123">
        <v>67</v>
      </c>
      <c r="K59" s="123">
        <v>171</v>
      </c>
      <c r="L59" s="123">
        <v>351</v>
      </c>
      <c r="M59" s="123">
        <v>230</v>
      </c>
      <c r="N59" s="123">
        <v>285</v>
      </c>
    </row>
    <row r="60" spans="2:14" x14ac:dyDescent="0.3">
      <c r="B60" t="s">
        <v>96</v>
      </c>
      <c r="C60" s="123">
        <v>-5857</v>
      </c>
      <c r="D60" s="123">
        <v>73</v>
      </c>
      <c r="E60" s="123">
        <v>-429</v>
      </c>
      <c r="F60" s="123">
        <v>-5461</v>
      </c>
      <c r="G60" s="123">
        <v>-4728</v>
      </c>
      <c r="H60" s="123">
        <v>-6</v>
      </c>
      <c r="I60" s="123">
        <v>-329</v>
      </c>
      <c r="J60" s="123">
        <v>-130</v>
      </c>
      <c r="K60" s="123">
        <v>-1439</v>
      </c>
      <c r="L60" s="123">
        <v>-7530</v>
      </c>
      <c r="M60" s="123">
        <v>-3008</v>
      </c>
      <c r="N60" s="123">
        <v>-50</v>
      </c>
    </row>
    <row r="61" spans="2:14" x14ac:dyDescent="0.3">
      <c r="B61" t="s">
        <v>97</v>
      </c>
      <c r="C61" s="123">
        <v>84</v>
      </c>
      <c r="D61" s="123">
        <v>34</v>
      </c>
      <c r="E61" s="123">
        <v>4</v>
      </c>
      <c r="F61" s="123">
        <v>42</v>
      </c>
      <c r="G61" s="123">
        <v>89</v>
      </c>
      <c r="H61" s="123">
        <v>1965</v>
      </c>
      <c r="I61" s="123">
        <v>2381</v>
      </c>
      <c r="J61" s="123">
        <v>5644</v>
      </c>
      <c r="K61" s="123">
        <v>21</v>
      </c>
      <c r="L61" s="123">
        <v>226</v>
      </c>
      <c r="M61" s="123">
        <v>104</v>
      </c>
      <c r="N61" s="123">
        <v>6895</v>
      </c>
    </row>
    <row r="62" spans="2:14" x14ac:dyDescent="0.3">
      <c r="B62" t="s">
        <v>98</v>
      </c>
      <c r="C62" s="123">
        <v>467</v>
      </c>
      <c r="D62" s="123">
        <v>713</v>
      </c>
      <c r="E62" s="123">
        <v>653</v>
      </c>
      <c r="F62" s="123">
        <v>698</v>
      </c>
      <c r="G62" s="123">
        <v>731</v>
      </c>
      <c r="H62" s="123">
        <v>638</v>
      </c>
      <c r="I62" s="123">
        <v>690</v>
      </c>
      <c r="J62" s="123">
        <v>761</v>
      </c>
      <c r="K62" s="123">
        <v>1104</v>
      </c>
      <c r="L62" s="123">
        <v>428</v>
      </c>
      <c r="M62" s="123">
        <v>653</v>
      </c>
      <c r="N62" s="123">
        <v>973</v>
      </c>
    </row>
    <row r="63" spans="2:14" x14ac:dyDescent="0.3">
      <c r="B63" t="s">
        <v>99</v>
      </c>
      <c r="C63" s="123">
        <v>70</v>
      </c>
      <c r="D63" s="123">
        <v>95</v>
      </c>
      <c r="E63" s="123">
        <v>40</v>
      </c>
      <c r="F63" s="123">
        <v>80</v>
      </c>
      <c r="G63" s="123">
        <v>58</v>
      </c>
      <c r="H63" s="123">
        <v>620</v>
      </c>
      <c r="I63" s="123">
        <v>1797</v>
      </c>
      <c r="J63" s="123">
        <v>232</v>
      </c>
      <c r="K63" s="123">
        <v>21</v>
      </c>
      <c r="L63" s="123">
        <v>18</v>
      </c>
      <c r="M63" s="123">
        <v>32</v>
      </c>
      <c r="N63" s="123">
        <v>46</v>
      </c>
    </row>
    <row r="64" spans="2:14" x14ac:dyDescent="0.3">
      <c r="B64" t="s">
        <v>100</v>
      </c>
      <c r="C64" s="123">
        <v>-304</v>
      </c>
      <c r="D64" s="123">
        <v>0</v>
      </c>
      <c r="E64" s="123">
        <v>0</v>
      </c>
      <c r="F64" s="123">
        <v>0</v>
      </c>
      <c r="G64" s="123">
        <v>0</v>
      </c>
      <c r="H64" s="123">
        <v>0</v>
      </c>
      <c r="I64" s="123">
        <v>0</v>
      </c>
      <c r="J64" s="123">
        <v>0</v>
      </c>
      <c r="K64" s="123">
        <v>0</v>
      </c>
      <c r="L64" s="123">
        <v>0</v>
      </c>
      <c r="M64" s="123">
        <v>0</v>
      </c>
      <c r="N64" s="123">
        <v>0</v>
      </c>
    </row>
    <row r="65" spans="2:14" x14ac:dyDescent="0.3">
      <c r="B65" t="s">
        <v>101</v>
      </c>
      <c r="C65" s="123">
        <v>-9</v>
      </c>
      <c r="D65" s="123">
        <v>0</v>
      </c>
      <c r="E65" s="123">
        <v>0</v>
      </c>
      <c r="F65" s="123">
        <v>-160</v>
      </c>
      <c r="G65" s="123">
        <v>0</v>
      </c>
      <c r="H65" s="123">
        <v>-107</v>
      </c>
      <c r="I65" s="123">
        <v>-4</v>
      </c>
      <c r="J65" s="123">
        <v>-9</v>
      </c>
      <c r="K65" s="123">
        <v>-606</v>
      </c>
      <c r="L65" s="123">
        <v>-10</v>
      </c>
      <c r="M65" s="123">
        <v>0</v>
      </c>
      <c r="N65" s="123">
        <v>0</v>
      </c>
    </row>
    <row r="66" spans="2:14" x14ac:dyDescent="0.3">
      <c r="B66" t="s">
        <v>102</v>
      </c>
      <c r="C66" s="123">
        <v>0</v>
      </c>
      <c r="D66" s="123">
        <v>0</v>
      </c>
      <c r="E66" s="123">
        <v>0</v>
      </c>
      <c r="F66" s="123">
        <v>0</v>
      </c>
      <c r="G66" s="123">
        <v>0</v>
      </c>
      <c r="H66" s="123">
        <v>0</v>
      </c>
      <c r="I66" s="123">
        <v>14</v>
      </c>
      <c r="J66" s="123">
        <v>533</v>
      </c>
      <c r="K66" s="123">
        <v>0</v>
      </c>
      <c r="L66" s="123">
        <v>0</v>
      </c>
      <c r="M66" s="123">
        <v>0</v>
      </c>
      <c r="N66" s="123">
        <v>19</v>
      </c>
    </row>
    <row r="67" spans="2:14" x14ac:dyDescent="0.3">
      <c r="B67" t="s">
        <v>103</v>
      </c>
      <c r="C67" s="123">
        <v>0</v>
      </c>
      <c r="D67" s="123">
        <v>0</v>
      </c>
      <c r="E67" s="123">
        <v>-185</v>
      </c>
      <c r="F67" s="123">
        <v>0</v>
      </c>
      <c r="G67" s="123">
        <v>-111</v>
      </c>
      <c r="H67" s="123">
        <v>0</v>
      </c>
      <c r="I67" s="123">
        <v>0</v>
      </c>
      <c r="J67" s="123">
        <v>-8</v>
      </c>
      <c r="K67" s="123">
        <v>-27</v>
      </c>
      <c r="L67" s="123">
        <v>0</v>
      </c>
      <c r="M67" s="123">
        <v>-98</v>
      </c>
      <c r="N67" s="123">
        <v>0</v>
      </c>
    </row>
    <row r="68" spans="2:14" x14ac:dyDescent="0.3">
      <c r="B68" t="s">
        <v>104</v>
      </c>
      <c r="C68" s="123">
        <v>-3</v>
      </c>
      <c r="D68" s="123">
        <v>45</v>
      </c>
      <c r="E68" s="123">
        <v>0</v>
      </c>
      <c r="F68" s="123">
        <v>0</v>
      </c>
      <c r="G68" s="123">
        <v>0</v>
      </c>
      <c r="H68" s="123">
        <v>0</v>
      </c>
      <c r="I68" s="123">
        <v>0</v>
      </c>
      <c r="J68" s="123">
        <v>0</v>
      </c>
      <c r="K68" s="123">
        <v>0</v>
      </c>
      <c r="L68" s="123">
        <v>0</v>
      </c>
      <c r="M68" s="123">
        <v>0</v>
      </c>
      <c r="N68" s="123">
        <v>0</v>
      </c>
    </row>
    <row r="69" spans="2:14" x14ac:dyDescent="0.3">
      <c r="B69" t="s">
        <v>105</v>
      </c>
      <c r="C69" s="123">
        <v>-129</v>
      </c>
      <c r="D69" s="123">
        <v>-5103</v>
      </c>
      <c r="E69" s="123">
        <v>-1149</v>
      </c>
      <c r="F69" s="123">
        <v>456</v>
      </c>
      <c r="G69" s="123">
        <v>-1289</v>
      </c>
      <c r="H69" s="123">
        <v>-26663</v>
      </c>
      <c r="I69" s="123">
        <v>5360</v>
      </c>
      <c r="J69" s="123">
        <v>7335</v>
      </c>
      <c r="K69" s="123">
        <v>-2659</v>
      </c>
      <c r="L69" s="123">
        <v>1051</v>
      </c>
      <c r="M69" s="123">
        <v>12813</v>
      </c>
      <c r="N69" s="123">
        <v>-4357</v>
      </c>
    </row>
    <row r="70" spans="2:14" x14ac:dyDescent="0.3">
      <c r="B70" t="s">
        <v>117</v>
      </c>
      <c r="C70" s="123">
        <v>6567</v>
      </c>
      <c r="D70" s="123">
        <v>-1692</v>
      </c>
      <c r="E70" s="123">
        <v>-3883</v>
      </c>
      <c r="F70" s="123">
        <v>5201</v>
      </c>
      <c r="G70" s="123">
        <v>-3795</v>
      </c>
      <c r="H70" s="123">
        <v>6205</v>
      </c>
      <c r="I70" s="123">
        <v>2012</v>
      </c>
      <c r="J70" s="123">
        <v>8830</v>
      </c>
      <c r="K70" s="123">
        <v>3390</v>
      </c>
      <c r="L70" s="123">
        <v>9904</v>
      </c>
      <c r="M70" s="123">
        <v>-3380</v>
      </c>
      <c r="N70" s="123">
        <v>-26243</v>
      </c>
    </row>
    <row r="71" spans="2:14" x14ac:dyDescent="0.3">
      <c r="B71" t="s">
        <v>106</v>
      </c>
      <c r="C71" s="123">
        <v>139</v>
      </c>
      <c r="D71" s="123">
        <v>1</v>
      </c>
      <c r="E71" s="123">
        <v>0</v>
      </c>
      <c r="F71" s="123">
        <v>0</v>
      </c>
      <c r="G71" s="123">
        <v>7433</v>
      </c>
      <c r="H71" s="123">
        <v>5</v>
      </c>
      <c r="I71" s="123">
        <v>0</v>
      </c>
      <c r="J71" s="123">
        <v>0</v>
      </c>
      <c r="K71" s="123">
        <v>3889</v>
      </c>
      <c r="L71" s="123">
        <v>2603</v>
      </c>
      <c r="M71" s="123">
        <v>19</v>
      </c>
      <c r="N71" s="123">
        <v>20</v>
      </c>
    </row>
    <row r="72" spans="2:14" x14ac:dyDescent="0.3">
      <c r="B72" t="s">
        <v>107</v>
      </c>
      <c r="C72" s="123">
        <v>0</v>
      </c>
      <c r="D72" s="123">
        <v>-97</v>
      </c>
      <c r="E72" s="123">
        <v>-658</v>
      </c>
      <c r="F72" s="123">
        <v>-744</v>
      </c>
      <c r="G72" s="123">
        <v>0</v>
      </c>
      <c r="H72" s="123">
        <v>0</v>
      </c>
      <c r="I72" s="123">
        <v>0</v>
      </c>
      <c r="J72" s="123">
        <v>0</v>
      </c>
      <c r="K72" s="123">
        <v>0</v>
      </c>
      <c r="L72" s="123">
        <v>0</v>
      </c>
      <c r="M72" s="123">
        <v>0</v>
      </c>
      <c r="N72" s="123">
        <v>0</v>
      </c>
    </row>
    <row r="73" spans="2:14" x14ac:dyDescent="0.3">
      <c r="B73" t="s">
        <v>108</v>
      </c>
      <c r="C73" s="123">
        <v>27462</v>
      </c>
      <c r="D73" s="123">
        <v>27863</v>
      </c>
      <c r="E73" s="123">
        <v>33258</v>
      </c>
      <c r="F73" s="123">
        <v>36363</v>
      </c>
      <c r="G73" s="123">
        <v>19519</v>
      </c>
      <c r="H73" s="123">
        <v>33390</v>
      </c>
      <c r="I73" s="123">
        <v>37482</v>
      </c>
      <c r="J73" s="123">
        <v>51128</v>
      </c>
      <c r="K73" s="123">
        <v>38297</v>
      </c>
      <c r="L73" s="123">
        <v>46641</v>
      </c>
      <c r="M73" s="123">
        <v>46578</v>
      </c>
      <c r="N73" s="123">
        <v>43934</v>
      </c>
    </row>
    <row r="74" spans="2:14" x14ac:dyDescent="0.3">
      <c r="B74" t="s">
        <v>109</v>
      </c>
      <c r="C74" s="123">
        <v>-15010</v>
      </c>
      <c r="D74" s="123">
        <v>-20395</v>
      </c>
      <c r="E74" s="123">
        <v>-29141</v>
      </c>
      <c r="F74" s="123">
        <v>-23332</v>
      </c>
      <c r="G74" s="123">
        <v>-24924</v>
      </c>
      <c r="H74" s="123">
        <v>-21732</v>
      </c>
      <c r="I74" s="123">
        <v>-29964</v>
      </c>
      <c r="J74" s="123">
        <v>-35198</v>
      </c>
      <c r="K74" s="123">
        <v>-29847</v>
      </c>
      <c r="L74" s="123">
        <v>-29709</v>
      </c>
      <c r="M74" s="123">
        <v>-42816</v>
      </c>
      <c r="N74" s="123">
        <v>-62557</v>
      </c>
    </row>
    <row r="75" spans="2:14" x14ac:dyDescent="0.3">
      <c r="B75" t="s">
        <v>111</v>
      </c>
      <c r="C75" s="123">
        <v>-3374</v>
      </c>
      <c r="D75" s="123">
        <v>-4666</v>
      </c>
      <c r="E75" s="123">
        <v>-6171</v>
      </c>
      <c r="F75" s="123">
        <v>-6307</v>
      </c>
      <c r="G75" s="123">
        <v>-5716</v>
      </c>
      <c r="H75" s="123">
        <v>-5336</v>
      </c>
      <c r="I75" s="123">
        <v>-5411</v>
      </c>
      <c r="J75" s="123">
        <v>-7005</v>
      </c>
      <c r="K75" s="123">
        <v>-7518</v>
      </c>
      <c r="L75" s="123">
        <v>-8123</v>
      </c>
      <c r="M75" s="123">
        <v>-9251</v>
      </c>
      <c r="N75" s="123">
        <v>-9336</v>
      </c>
    </row>
    <row r="76" spans="2:14" x14ac:dyDescent="0.3">
      <c r="B76" t="s">
        <v>112</v>
      </c>
      <c r="C76" s="123">
        <v>-1503</v>
      </c>
      <c r="D76" s="123">
        <v>-1551</v>
      </c>
      <c r="E76" s="123">
        <v>-722</v>
      </c>
      <c r="F76" s="123">
        <v>-720</v>
      </c>
      <c r="G76" s="123">
        <v>-108</v>
      </c>
      <c r="H76" s="123">
        <v>-121</v>
      </c>
      <c r="I76" s="123">
        <v>-96</v>
      </c>
      <c r="J76" s="123">
        <v>-95</v>
      </c>
      <c r="K76" s="123">
        <v>-57</v>
      </c>
      <c r="L76" s="123">
        <v>-30</v>
      </c>
      <c r="M76" s="123">
        <v>-100</v>
      </c>
      <c r="N76" s="123">
        <v>-141</v>
      </c>
    </row>
    <row r="77" spans="2:14" x14ac:dyDescent="0.3">
      <c r="B77" t="s">
        <v>113</v>
      </c>
      <c r="C77" s="123">
        <v>0</v>
      </c>
      <c r="D77" s="123">
        <v>0</v>
      </c>
      <c r="E77" s="123">
        <v>0</v>
      </c>
      <c r="F77" s="123">
        <v>0</v>
      </c>
      <c r="G77" s="123">
        <v>0</v>
      </c>
      <c r="H77" s="123">
        <v>0</v>
      </c>
      <c r="I77" s="123">
        <v>0</v>
      </c>
      <c r="J77" s="123">
        <v>0</v>
      </c>
      <c r="K77" s="123">
        <v>-1346</v>
      </c>
      <c r="L77" s="123">
        <v>-1477</v>
      </c>
      <c r="M77" s="123">
        <v>-1559</v>
      </c>
      <c r="N77" s="123">
        <v>-1517</v>
      </c>
    </row>
    <row r="78" spans="2:14" x14ac:dyDescent="0.3">
      <c r="B78" t="s">
        <v>114</v>
      </c>
      <c r="C78" s="123">
        <v>-1147</v>
      </c>
      <c r="D78" s="123">
        <v>-2849</v>
      </c>
      <c r="E78" s="123">
        <v>-450</v>
      </c>
      <c r="F78" s="123">
        <v>-57</v>
      </c>
      <c r="G78" s="123">
        <v>0</v>
      </c>
      <c r="H78" s="123">
        <v>0</v>
      </c>
      <c r="I78" s="123">
        <v>0</v>
      </c>
      <c r="J78" s="123">
        <v>0</v>
      </c>
      <c r="K78" s="123">
        <v>-29</v>
      </c>
      <c r="L78" s="123">
        <v>0</v>
      </c>
      <c r="M78" s="123">
        <v>3750</v>
      </c>
      <c r="N78" s="123">
        <v>3355</v>
      </c>
    </row>
    <row r="79" spans="2:14" x14ac:dyDescent="0.3">
      <c r="B79" t="s">
        <v>52</v>
      </c>
      <c r="C79" s="123">
        <v>5488</v>
      </c>
      <c r="D79" s="123">
        <v>-2499</v>
      </c>
      <c r="E79" s="123">
        <v>4277</v>
      </c>
      <c r="F79" s="123">
        <v>4500</v>
      </c>
      <c r="G79" s="123">
        <v>-2589</v>
      </c>
      <c r="H79" s="123">
        <v>-3167</v>
      </c>
      <c r="I79" s="123">
        <v>730</v>
      </c>
      <c r="J79" s="123">
        <v>6843</v>
      </c>
      <c r="K79" s="123">
        <v>-3092</v>
      </c>
      <c r="L79" s="123">
        <v>13232</v>
      </c>
      <c r="M79" s="123">
        <v>6459</v>
      </c>
      <c r="N79" s="123">
        <v>-6272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331A-BDD7-4BA4-B330-A42F092009EB}">
  <dimension ref="B2:N35"/>
  <sheetViews>
    <sheetView workbookViewId="0">
      <selection activeCell="P14" sqref="P14"/>
    </sheetView>
  </sheetViews>
  <sheetFormatPr defaultRowHeight="14.4" x14ac:dyDescent="0.3"/>
  <cols>
    <col min="2" max="2" width="28" bestFit="1" customWidth="1"/>
    <col min="3" max="14" width="7.33203125" bestFit="1" customWidth="1"/>
  </cols>
  <sheetData>
    <row r="2" spans="2:14" x14ac:dyDescent="0.3">
      <c r="C2" s="11">
        <v>40603</v>
      </c>
      <c r="D2" s="11">
        <v>40969</v>
      </c>
      <c r="E2" s="11">
        <v>41334</v>
      </c>
      <c r="F2" s="11">
        <v>41699</v>
      </c>
      <c r="G2" s="11">
        <v>42064</v>
      </c>
      <c r="H2" s="11">
        <v>42430</v>
      </c>
      <c r="I2" s="11">
        <v>42795</v>
      </c>
      <c r="J2" s="11">
        <v>43160</v>
      </c>
      <c r="K2" s="11">
        <v>43525</v>
      </c>
      <c r="L2" s="11">
        <v>43891</v>
      </c>
      <c r="M2" s="11">
        <v>44256</v>
      </c>
      <c r="N2" s="11">
        <v>44621</v>
      </c>
    </row>
    <row r="3" spans="2:14" x14ac:dyDescent="0.3">
      <c r="B3" t="s">
        <v>115</v>
      </c>
      <c r="C3" s="29">
        <v>11240</v>
      </c>
      <c r="D3" s="29">
        <v>18384</v>
      </c>
      <c r="E3" s="29">
        <v>22163</v>
      </c>
      <c r="F3" s="29">
        <v>36151</v>
      </c>
      <c r="G3" s="29">
        <v>35531</v>
      </c>
      <c r="H3" s="29">
        <v>37900</v>
      </c>
      <c r="I3" s="29">
        <v>30199</v>
      </c>
      <c r="J3" s="29">
        <v>23857</v>
      </c>
      <c r="K3" s="29">
        <v>18891</v>
      </c>
      <c r="L3" s="29">
        <v>26633</v>
      </c>
      <c r="M3" s="29">
        <v>29001</v>
      </c>
      <c r="N3" s="29">
        <v>14283</v>
      </c>
    </row>
    <row r="4" spans="2:14" x14ac:dyDescent="0.3">
      <c r="B4" t="s">
        <v>88</v>
      </c>
      <c r="C4" s="29">
        <v>16680</v>
      </c>
      <c r="D4" s="29">
        <v>22432</v>
      </c>
      <c r="E4" s="29">
        <v>24406</v>
      </c>
      <c r="F4" s="29">
        <v>36303</v>
      </c>
      <c r="G4" s="29">
        <v>43397</v>
      </c>
      <c r="H4" s="29">
        <v>38626</v>
      </c>
      <c r="I4" s="29">
        <v>28840</v>
      </c>
      <c r="J4" s="29">
        <v>33312</v>
      </c>
      <c r="K4" s="29">
        <v>28771</v>
      </c>
      <c r="L4" s="29">
        <v>23352</v>
      </c>
      <c r="M4" s="29">
        <v>31198</v>
      </c>
      <c r="N4" s="29">
        <v>26666</v>
      </c>
    </row>
    <row r="5" spans="2:14" x14ac:dyDescent="0.3">
      <c r="B5" t="s">
        <v>42</v>
      </c>
      <c r="C5" s="29">
        <v>-1422</v>
      </c>
      <c r="D5" s="29">
        <v>-6659</v>
      </c>
      <c r="E5" s="29">
        <v>-5177</v>
      </c>
      <c r="F5">
        <v>445</v>
      </c>
      <c r="G5" s="29">
        <v>-3179</v>
      </c>
      <c r="H5" s="29">
        <v>-2223</v>
      </c>
      <c r="I5" s="29">
        <v>-4152</v>
      </c>
      <c r="J5" s="29">
        <v>-10688</v>
      </c>
      <c r="K5" s="29">
        <v>-9109</v>
      </c>
      <c r="L5" s="29">
        <v>9950</v>
      </c>
      <c r="M5" s="29">
        <v>-5505</v>
      </c>
      <c r="N5">
        <v>337</v>
      </c>
    </row>
    <row r="6" spans="2:14" x14ac:dyDescent="0.3">
      <c r="B6" t="s">
        <v>43</v>
      </c>
      <c r="C6" s="29">
        <v>-2411</v>
      </c>
      <c r="D6" s="29">
        <v>-2719</v>
      </c>
      <c r="E6" s="29">
        <v>-2656</v>
      </c>
      <c r="F6" s="29">
        <v>-2853</v>
      </c>
      <c r="G6" s="29">
        <v>-3692</v>
      </c>
      <c r="H6" s="29">
        <v>-5743</v>
      </c>
      <c r="I6" s="29">
        <v>-6621</v>
      </c>
      <c r="J6" s="29">
        <v>-3560</v>
      </c>
      <c r="K6" s="29">
        <v>2069</v>
      </c>
      <c r="L6" s="29">
        <v>2326</v>
      </c>
      <c r="M6" s="29">
        <v>3814</v>
      </c>
      <c r="N6">
        <v>597</v>
      </c>
    </row>
    <row r="7" spans="2:14" x14ac:dyDescent="0.3">
      <c r="B7" t="s">
        <v>89</v>
      </c>
      <c r="C7">
        <v>344</v>
      </c>
      <c r="D7" s="29">
        <v>5867</v>
      </c>
      <c r="E7" s="29">
        <v>8132</v>
      </c>
      <c r="F7" s="29">
        <v>4694</v>
      </c>
      <c r="G7" s="29">
        <v>3598</v>
      </c>
      <c r="H7" s="29">
        <v>3947</v>
      </c>
      <c r="I7" s="29">
        <v>9301</v>
      </c>
      <c r="J7" s="29">
        <v>7320</v>
      </c>
      <c r="K7" s="29">
        <v>-4692</v>
      </c>
      <c r="L7" s="29">
        <v>-8085</v>
      </c>
      <c r="M7" s="29">
        <v>5748</v>
      </c>
      <c r="N7" s="29">
        <v>-7012</v>
      </c>
    </row>
    <row r="8" spans="2:14" x14ac:dyDescent="0.3"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-520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91</v>
      </c>
      <c r="C9">
        <v>-559</v>
      </c>
      <c r="D9" s="29">
        <v>1231</v>
      </c>
      <c r="E9">
        <v>-303</v>
      </c>
      <c r="F9" s="29">
        <v>1870</v>
      </c>
      <c r="G9">
        <v>-398</v>
      </c>
      <c r="H9" s="29">
        <v>5852</v>
      </c>
      <c r="I9" s="29">
        <v>4727</v>
      </c>
      <c r="J9">
        <v>494</v>
      </c>
      <c r="K9" s="29">
        <v>4512</v>
      </c>
      <c r="L9">
        <v>875</v>
      </c>
      <c r="M9" s="29">
        <v>-4150</v>
      </c>
      <c r="N9" s="29">
        <v>-4396</v>
      </c>
    </row>
    <row r="10" spans="2:14" x14ac:dyDescent="0.3">
      <c r="B10" t="s">
        <v>92</v>
      </c>
      <c r="C10" s="29">
        <v>-4048</v>
      </c>
      <c r="D10" s="29">
        <v>-2280</v>
      </c>
      <c r="E10">
        <v>-3</v>
      </c>
      <c r="F10" s="29">
        <v>4157</v>
      </c>
      <c r="G10" s="29">
        <v>-3672</v>
      </c>
      <c r="H10" s="29">
        <v>1313</v>
      </c>
      <c r="I10" s="29">
        <v>3254</v>
      </c>
      <c r="J10" s="29">
        <v>-6434</v>
      </c>
      <c r="K10" s="29">
        <v>-7221</v>
      </c>
      <c r="L10" s="29">
        <v>5065</v>
      </c>
      <c r="M10">
        <v>-93</v>
      </c>
      <c r="N10" s="29">
        <v>-10474</v>
      </c>
    </row>
    <row r="11" spans="2:14" x14ac:dyDescent="0.3">
      <c r="B11" t="s">
        <v>93</v>
      </c>
      <c r="C11" s="29">
        <v>-1391</v>
      </c>
      <c r="D11" s="29">
        <v>-1768</v>
      </c>
      <c r="E11" s="29">
        <v>-2240</v>
      </c>
      <c r="F11" s="29">
        <v>-4308</v>
      </c>
      <c r="G11" s="29">
        <v>-4194</v>
      </c>
      <c r="H11" s="29">
        <v>-2040</v>
      </c>
      <c r="I11" s="29">
        <v>-1895</v>
      </c>
      <c r="J11" s="29">
        <v>-3021</v>
      </c>
      <c r="K11" s="29">
        <v>-2659</v>
      </c>
      <c r="L11" s="29">
        <v>-1785</v>
      </c>
      <c r="M11" s="29">
        <v>-2105</v>
      </c>
      <c r="N11" s="29">
        <v>-1910</v>
      </c>
    </row>
    <row r="12" spans="2:14" x14ac:dyDescent="0.3">
      <c r="B12" t="s">
        <v>116</v>
      </c>
      <c r="C12" s="29">
        <v>-7023</v>
      </c>
      <c r="D12" s="29">
        <v>-19464</v>
      </c>
      <c r="E12" s="29">
        <v>-22969</v>
      </c>
      <c r="F12" s="29">
        <v>-27991</v>
      </c>
      <c r="G12" s="29">
        <v>-36232</v>
      </c>
      <c r="H12" s="29">
        <v>-36694</v>
      </c>
      <c r="I12" s="29">
        <v>-39571</v>
      </c>
      <c r="J12" s="29">
        <v>-25139</v>
      </c>
      <c r="K12" s="29">
        <v>-20878</v>
      </c>
      <c r="L12" s="29">
        <v>-33115</v>
      </c>
      <c r="M12" s="29">
        <v>-25672</v>
      </c>
      <c r="N12" s="29">
        <v>-4444</v>
      </c>
    </row>
    <row r="13" spans="2:14" x14ac:dyDescent="0.3">
      <c r="B13" t="s">
        <v>94</v>
      </c>
      <c r="C13" s="29">
        <v>-8124</v>
      </c>
      <c r="D13" s="29">
        <v>-13876</v>
      </c>
      <c r="E13" s="29">
        <v>-18863</v>
      </c>
      <c r="F13" s="29">
        <v>-26975</v>
      </c>
      <c r="G13" s="29">
        <v>-31962</v>
      </c>
      <c r="H13" s="29">
        <v>-31503</v>
      </c>
      <c r="I13" s="29">
        <v>-16072</v>
      </c>
      <c r="J13" s="29">
        <v>-35079</v>
      </c>
      <c r="K13" s="29">
        <v>-35304</v>
      </c>
      <c r="L13" s="29">
        <v>-29702</v>
      </c>
      <c r="M13" s="29">
        <v>-20205</v>
      </c>
      <c r="N13" s="29">
        <v>-15168</v>
      </c>
    </row>
    <row r="14" spans="2:14" x14ac:dyDescent="0.3">
      <c r="B14" t="s">
        <v>95</v>
      </c>
      <c r="C14">
        <v>11</v>
      </c>
      <c r="D14">
        <v>93</v>
      </c>
      <c r="E14">
        <v>37</v>
      </c>
      <c r="F14">
        <v>50</v>
      </c>
      <c r="G14">
        <v>74</v>
      </c>
      <c r="H14">
        <v>59</v>
      </c>
      <c r="I14">
        <v>53</v>
      </c>
      <c r="J14">
        <v>30</v>
      </c>
      <c r="K14">
        <v>67</v>
      </c>
      <c r="L14">
        <v>171</v>
      </c>
      <c r="M14">
        <v>351</v>
      </c>
      <c r="N14">
        <v>230</v>
      </c>
    </row>
    <row r="15" spans="2:14" x14ac:dyDescent="0.3">
      <c r="B15" t="s">
        <v>96</v>
      </c>
      <c r="C15">
        <v>-147</v>
      </c>
      <c r="D15" s="29">
        <v>-5857</v>
      </c>
      <c r="E15">
        <v>73</v>
      </c>
      <c r="F15">
        <v>-429</v>
      </c>
      <c r="G15" s="29">
        <v>-5461</v>
      </c>
      <c r="H15" s="29">
        <v>-4728</v>
      </c>
      <c r="I15">
        <v>-6</v>
      </c>
      <c r="J15">
        <v>-329</v>
      </c>
      <c r="K15">
        <v>-130</v>
      </c>
      <c r="L15" s="29">
        <v>-1439</v>
      </c>
      <c r="M15" s="29">
        <v>-7530</v>
      </c>
      <c r="N15" s="29">
        <v>-3008</v>
      </c>
    </row>
    <row r="16" spans="2:14" x14ac:dyDescent="0.3">
      <c r="B16" t="s">
        <v>97</v>
      </c>
      <c r="C16">
        <v>7</v>
      </c>
      <c r="D16">
        <v>84</v>
      </c>
      <c r="E16">
        <v>34</v>
      </c>
      <c r="F16">
        <v>4</v>
      </c>
      <c r="G16">
        <v>42</v>
      </c>
      <c r="H16">
        <v>89</v>
      </c>
      <c r="I16" s="29">
        <v>1965</v>
      </c>
      <c r="J16" s="29">
        <v>2381</v>
      </c>
      <c r="K16" s="29">
        <v>5644</v>
      </c>
      <c r="L16">
        <v>21</v>
      </c>
      <c r="M16">
        <v>226</v>
      </c>
      <c r="N16">
        <v>104</v>
      </c>
    </row>
    <row r="17" spans="2:14" x14ac:dyDescent="0.3">
      <c r="B17" t="s">
        <v>98</v>
      </c>
      <c r="C17">
        <v>314</v>
      </c>
      <c r="D17">
        <v>467</v>
      </c>
      <c r="E17">
        <v>713</v>
      </c>
      <c r="F17">
        <v>653</v>
      </c>
      <c r="G17">
        <v>698</v>
      </c>
      <c r="H17">
        <v>731</v>
      </c>
      <c r="I17">
        <v>638</v>
      </c>
      <c r="J17">
        <v>690</v>
      </c>
      <c r="K17">
        <v>761</v>
      </c>
      <c r="L17" s="29">
        <v>1104</v>
      </c>
      <c r="M17">
        <v>428</v>
      </c>
      <c r="N17">
        <v>653</v>
      </c>
    </row>
    <row r="18" spans="2:14" x14ac:dyDescent="0.3">
      <c r="B18" t="s">
        <v>99</v>
      </c>
      <c r="C18">
        <v>98</v>
      </c>
      <c r="D18">
        <v>70</v>
      </c>
      <c r="E18">
        <v>95</v>
      </c>
      <c r="F18">
        <v>40</v>
      </c>
      <c r="G18">
        <v>80</v>
      </c>
      <c r="H18">
        <v>58</v>
      </c>
      <c r="I18">
        <v>620</v>
      </c>
      <c r="J18" s="29">
        <v>1797</v>
      </c>
      <c r="K18">
        <v>232</v>
      </c>
      <c r="L18">
        <v>21</v>
      </c>
      <c r="M18">
        <v>18</v>
      </c>
      <c r="N18">
        <v>32</v>
      </c>
    </row>
    <row r="19" spans="2:14" x14ac:dyDescent="0.3">
      <c r="B19" t="s">
        <v>100</v>
      </c>
      <c r="C19">
        <v>-70</v>
      </c>
      <c r="D19">
        <v>-304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3">
      <c r="B20" t="s">
        <v>101</v>
      </c>
      <c r="C20">
        <v>-4</v>
      </c>
      <c r="D20">
        <v>-9</v>
      </c>
      <c r="E20">
        <v>0</v>
      </c>
      <c r="F20">
        <v>0</v>
      </c>
      <c r="G20">
        <v>-160</v>
      </c>
      <c r="H20">
        <v>0</v>
      </c>
      <c r="I20">
        <v>-107</v>
      </c>
      <c r="J20">
        <v>-4</v>
      </c>
      <c r="K20">
        <v>-9</v>
      </c>
      <c r="L20">
        <v>-606</v>
      </c>
      <c r="M20">
        <v>-10</v>
      </c>
      <c r="N20">
        <v>0</v>
      </c>
    </row>
    <row r="21" spans="2:14" x14ac:dyDescent="0.3"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</v>
      </c>
      <c r="K21">
        <v>533</v>
      </c>
      <c r="L21">
        <v>0</v>
      </c>
      <c r="M21">
        <v>0</v>
      </c>
      <c r="N21">
        <v>0</v>
      </c>
    </row>
    <row r="22" spans="2:14" x14ac:dyDescent="0.3">
      <c r="B22" t="s">
        <v>103</v>
      </c>
      <c r="C22">
        <v>2</v>
      </c>
      <c r="D22">
        <v>0</v>
      </c>
      <c r="E22">
        <v>0</v>
      </c>
      <c r="F22">
        <v>-185</v>
      </c>
      <c r="G22">
        <v>0</v>
      </c>
      <c r="H22">
        <v>-111</v>
      </c>
      <c r="I22">
        <v>0</v>
      </c>
      <c r="J22">
        <v>0</v>
      </c>
      <c r="K22">
        <v>-8</v>
      </c>
      <c r="L22">
        <v>-27</v>
      </c>
      <c r="M22">
        <v>0</v>
      </c>
      <c r="N22">
        <v>-98</v>
      </c>
    </row>
    <row r="23" spans="2:14" x14ac:dyDescent="0.3">
      <c r="B23" t="s">
        <v>104</v>
      </c>
      <c r="C23">
        <v>5</v>
      </c>
      <c r="D23">
        <v>-3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3">
      <c r="B24" t="s">
        <v>105</v>
      </c>
      <c r="C24">
        <v>884</v>
      </c>
      <c r="D24">
        <v>-129</v>
      </c>
      <c r="E24" s="29">
        <v>-5103</v>
      </c>
      <c r="F24" s="29">
        <v>-1149</v>
      </c>
      <c r="G24">
        <v>456</v>
      </c>
      <c r="H24" s="29">
        <v>-1289</v>
      </c>
      <c r="I24" s="29">
        <v>-26663</v>
      </c>
      <c r="J24" s="29">
        <v>5360</v>
      </c>
      <c r="K24" s="29">
        <v>7335</v>
      </c>
      <c r="L24" s="29">
        <v>-2659</v>
      </c>
      <c r="M24" s="29">
        <v>1051</v>
      </c>
      <c r="N24" s="29">
        <v>12813</v>
      </c>
    </row>
    <row r="25" spans="2:14" x14ac:dyDescent="0.3">
      <c r="B25" t="s">
        <v>117</v>
      </c>
      <c r="C25" s="29">
        <v>-1401</v>
      </c>
      <c r="D25" s="29">
        <v>6567</v>
      </c>
      <c r="E25" s="29">
        <v>-1692</v>
      </c>
      <c r="F25" s="29">
        <v>-3883</v>
      </c>
      <c r="G25" s="29">
        <v>5201</v>
      </c>
      <c r="H25" s="29">
        <v>-3795</v>
      </c>
      <c r="I25" s="29">
        <v>6205</v>
      </c>
      <c r="J25" s="29">
        <v>2012</v>
      </c>
      <c r="K25" s="29">
        <v>8830</v>
      </c>
      <c r="L25" s="29">
        <v>3390</v>
      </c>
      <c r="M25" s="29">
        <v>9904</v>
      </c>
      <c r="N25" s="29">
        <v>-3380</v>
      </c>
    </row>
    <row r="26" spans="2:14" x14ac:dyDescent="0.3">
      <c r="B26" t="s">
        <v>106</v>
      </c>
      <c r="C26" s="29">
        <v>3258</v>
      </c>
      <c r="D26">
        <v>139</v>
      </c>
      <c r="E26">
        <v>1</v>
      </c>
      <c r="F26">
        <v>0</v>
      </c>
      <c r="G26">
        <v>0</v>
      </c>
      <c r="H26" s="29">
        <v>7433</v>
      </c>
      <c r="I26">
        <v>5</v>
      </c>
      <c r="J26">
        <v>0</v>
      </c>
      <c r="K26">
        <v>0</v>
      </c>
      <c r="L26" s="29">
        <v>3889</v>
      </c>
      <c r="M26" s="29">
        <v>2603</v>
      </c>
      <c r="N26">
        <v>19</v>
      </c>
    </row>
    <row r="27" spans="2:14" x14ac:dyDescent="0.3">
      <c r="B27" t="s">
        <v>107</v>
      </c>
      <c r="C27">
        <v>0</v>
      </c>
      <c r="D27">
        <v>0</v>
      </c>
      <c r="E27">
        <v>-97</v>
      </c>
      <c r="F27">
        <v>-658</v>
      </c>
      <c r="G27">
        <v>-744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3">
      <c r="B28" t="s">
        <v>108</v>
      </c>
      <c r="C28" s="29">
        <v>15530</v>
      </c>
      <c r="D28" s="29">
        <v>27462</v>
      </c>
      <c r="E28" s="29">
        <v>27863</v>
      </c>
      <c r="F28" s="29">
        <v>33258</v>
      </c>
      <c r="G28" s="29">
        <v>36363</v>
      </c>
      <c r="H28" s="29">
        <v>19519</v>
      </c>
      <c r="I28" s="29">
        <v>33390</v>
      </c>
      <c r="J28" s="29">
        <v>37482</v>
      </c>
      <c r="K28" s="29">
        <v>51128</v>
      </c>
      <c r="L28" s="29">
        <v>38297</v>
      </c>
      <c r="M28" s="29">
        <v>46641</v>
      </c>
      <c r="N28" s="29">
        <v>46578</v>
      </c>
    </row>
    <row r="29" spans="2:14" x14ac:dyDescent="0.3">
      <c r="B29" t="s">
        <v>109</v>
      </c>
      <c r="C29" s="29">
        <v>-16641</v>
      </c>
      <c r="D29" s="29">
        <v>-15010</v>
      </c>
      <c r="E29" s="29">
        <v>-20395</v>
      </c>
      <c r="F29" s="29">
        <v>-29141</v>
      </c>
      <c r="G29" s="29">
        <v>-23332</v>
      </c>
      <c r="H29" s="29">
        <v>-24924</v>
      </c>
      <c r="I29" s="29">
        <v>-21732</v>
      </c>
      <c r="J29" s="29">
        <v>-29964</v>
      </c>
      <c r="K29" s="29">
        <v>-35198</v>
      </c>
      <c r="L29" s="29">
        <v>-29847</v>
      </c>
      <c r="M29" s="29">
        <v>-29709</v>
      </c>
      <c r="N29" s="29">
        <v>-42816</v>
      </c>
    </row>
    <row r="30" spans="2:14" x14ac:dyDescent="0.3">
      <c r="B30" t="s">
        <v>110</v>
      </c>
      <c r="C30">
        <v>339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2:14" x14ac:dyDescent="0.3">
      <c r="B31" t="s">
        <v>111</v>
      </c>
      <c r="C31" s="29">
        <v>-2469</v>
      </c>
      <c r="D31" s="29">
        <v>-3374</v>
      </c>
      <c r="E31" s="29">
        <v>-4666</v>
      </c>
      <c r="F31" s="29">
        <v>-6171</v>
      </c>
      <c r="G31" s="29">
        <v>-6307</v>
      </c>
      <c r="H31" s="29">
        <v>-5716</v>
      </c>
      <c r="I31" s="29">
        <v>-5336</v>
      </c>
      <c r="J31" s="29">
        <v>-5411</v>
      </c>
      <c r="K31" s="29">
        <v>-7005</v>
      </c>
      <c r="L31" s="29">
        <v>-7518</v>
      </c>
      <c r="M31" s="29">
        <v>-8123</v>
      </c>
      <c r="N31" s="29">
        <v>-9251</v>
      </c>
    </row>
    <row r="32" spans="2:14" x14ac:dyDescent="0.3">
      <c r="B32" t="s">
        <v>112</v>
      </c>
      <c r="C32" s="29">
        <v>-1020</v>
      </c>
      <c r="D32" s="29">
        <v>-1503</v>
      </c>
      <c r="E32" s="29">
        <v>-1551</v>
      </c>
      <c r="F32">
        <v>-722</v>
      </c>
      <c r="G32">
        <v>-720</v>
      </c>
      <c r="H32">
        <v>-108</v>
      </c>
      <c r="I32">
        <v>-121</v>
      </c>
      <c r="J32">
        <v>-96</v>
      </c>
      <c r="K32">
        <v>-95</v>
      </c>
      <c r="L32">
        <v>-57</v>
      </c>
      <c r="M32">
        <v>-30</v>
      </c>
      <c r="N32">
        <v>-100</v>
      </c>
    </row>
    <row r="33" spans="2:14" x14ac:dyDescent="0.3">
      <c r="B33" t="s">
        <v>113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9">
        <v>-1346</v>
      </c>
      <c r="M33" s="29">
        <v>-1477</v>
      </c>
      <c r="N33" s="29">
        <v>-1559</v>
      </c>
    </row>
    <row r="34" spans="2:14" x14ac:dyDescent="0.3">
      <c r="B34" t="s">
        <v>114</v>
      </c>
      <c r="C34">
        <v>-399</v>
      </c>
      <c r="D34" s="29">
        <v>-1147</v>
      </c>
      <c r="E34" s="29">
        <v>-2849</v>
      </c>
      <c r="F34">
        <v>-450</v>
      </c>
      <c r="G34">
        <v>-57</v>
      </c>
      <c r="H34">
        <v>0</v>
      </c>
      <c r="I34">
        <v>0</v>
      </c>
      <c r="J34">
        <v>0</v>
      </c>
      <c r="K34">
        <v>0</v>
      </c>
      <c r="L34">
        <v>-29</v>
      </c>
      <c r="M34">
        <v>0</v>
      </c>
      <c r="N34" s="29">
        <v>3750</v>
      </c>
    </row>
    <row r="35" spans="2:14" x14ac:dyDescent="0.3">
      <c r="B35" t="s">
        <v>52</v>
      </c>
      <c r="C35" s="29">
        <v>2815</v>
      </c>
      <c r="D35" s="29">
        <v>5488</v>
      </c>
      <c r="E35" s="29">
        <v>-2499</v>
      </c>
      <c r="F35" s="29">
        <v>4277</v>
      </c>
      <c r="G35" s="29">
        <v>4500</v>
      </c>
      <c r="H35" s="29">
        <v>-2589</v>
      </c>
      <c r="I35" s="29">
        <v>-3167</v>
      </c>
      <c r="J35">
        <v>730</v>
      </c>
      <c r="K35" s="29">
        <v>6843</v>
      </c>
      <c r="L35" s="29">
        <v>-3092</v>
      </c>
      <c r="M35" s="29">
        <v>13232</v>
      </c>
      <c r="N35" s="29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DCF&gt;</vt:lpstr>
      <vt:lpstr>WACC</vt:lpstr>
      <vt:lpstr>Data&gt;</vt:lpstr>
      <vt:lpstr>Beta-Regression(Dmart)</vt:lpstr>
      <vt:lpstr>Beta-Regression(Trent)</vt:lpstr>
      <vt:lpstr>Beta-Regression(Vedant Fsh) </vt:lpstr>
      <vt:lpstr>Beta-Regression(Aditya Birla F)</vt:lpstr>
      <vt:lpstr>Beta-Comps</vt:lpstr>
      <vt:lpstr>Rm</vt:lpstr>
      <vt:lpstr>Intrinsic Growth</vt:lpstr>
      <vt:lpstr>DCF</vt:lpstr>
      <vt:lpstr>HistoricalFS</vt:lpstr>
      <vt:lpstr>Forecasting</vt:lpstr>
      <vt:lpstr>Ratio Analysis</vt:lpstr>
      <vt:lpstr>Common Size Statement</vt:lpstr>
      <vt:lpstr>Data Room&gt;</vt:lpstr>
      <vt:lpstr>Data Sheet</vt:lpstr>
      <vt:lpstr>Raw FS</vt:lpstr>
      <vt:lpstr>Cash Flow Data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Devesh Khilnani</cp:lastModifiedBy>
  <cp:lastPrinted>2023-12-11T22:02:00Z</cp:lastPrinted>
  <dcterms:created xsi:type="dcterms:W3CDTF">2023-01-14T08:22:33Z</dcterms:created>
  <dcterms:modified xsi:type="dcterms:W3CDTF">2024-01-14T11:22:11Z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