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berezerker/Desktop/Work/giga_clone/copilot_agent/data/data_for_agent/"/>
    </mc:Choice>
  </mc:AlternateContent>
  <xr:revisionPtr revIDLastSave="0" documentId="13_ncr:1_{FDB6965E-CA4C-7A45-A42F-1FE9552B13CD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Outputs" sheetId="42" r:id="rId1"/>
    <sheet name="PRINT" sheetId="28" r:id="rId2"/>
    <sheet name="Scenario" sheetId="7" r:id="rId3"/>
    <sheet name="Calc" sheetId="36" r:id="rId4"/>
    <sheet name="P&amp;L" sheetId="9" r:id="rId5"/>
    <sheet name="CFS" sheetId="16" r:id="rId6"/>
    <sheet name="BS" sheetId="18" r:id="rId7"/>
    <sheet name="DCF" sheetId="40" r:id="rId8"/>
    <sheet name="Inputs" sheetId="37" r:id="rId9"/>
    <sheet name="Inputs sber (-)" sheetId="38" r:id="rId10"/>
    <sheet name="Inputs sber (+)" sheetId="39" r:id="rId11"/>
    <sheet name="Inputs sber (2)" sheetId="41" r:id="rId12"/>
  </sheets>
  <definedNames>
    <definedName name="_xlnm._FilterDatabase" localSheetId="8" hidden="1">Inputs!$A$1:$AM$1028</definedName>
    <definedName name="_xlnm._FilterDatabase" localSheetId="9" hidden="1">'Inputs sber (-)'!$A$1:$AM$1047</definedName>
    <definedName name="_xlnm._FilterDatabase" localSheetId="10" hidden="1">'Inputs sber (+)'!$A$1:$AM$1047</definedName>
    <definedName name="_xlnm._FilterDatabase" localSheetId="11" hidden="1">'Inputs sber (2)'!$A$1:$AM$1028</definedName>
    <definedName name="_xlnm.Print_Area" localSheetId="8">Inputs!$A$1:$G$582</definedName>
    <definedName name="_xlnm.Print_Area" localSheetId="11">'Inputs sber (2)'!$A$1:$G$582</definedName>
    <definedName name="_xlnm.Print_Area" localSheetId="1">PRINT!#REF!</definedName>
    <definedName name="_xlnm.Print_Area" localSheetId="2">Scenario!#REF!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6" l="1"/>
  <c r="J73" i="42"/>
  <c r="H73" i="42"/>
  <c r="I35" i="42"/>
  <c r="I93" i="42" s="1"/>
  <c r="J35" i="42"/>
  <c r="K35" i="42"/>
  <c r="K93" i="42" s="1"/>
  <c r="L35" i="42"/>
  <c r="L73" i="42" s="1"/>
  <c r="I15" i="42"/>
  <c r="J15" i="42"/>
  <c r="K15" i="42"/>
  <c r="L15" i="42"/>
  <c r="L92" i="42" s="1"/>
  <c r="I16" i="42"/>
  <c r="J16" i="42"/>
  <c r="K16" i="42"/>
  <c r="L16" i="42"/>
  <c r="I17" i="42"/>
  <c r="H35" i="42"/>
  <c r="H17" i="42"/>
  <c r="H16" i="42"/>
  <c r="H15" i="42"/>
  <c r="G173" i="42"/>
  <c r="G172" i="42"/>
  <c r="G171" i="42"/>
  <c r="G164" i="42"/>
  <c r="AD156" i="42"/>
  <c r="AC156" i="42"/>
  <c r="AB156" i="42"/>
  <c r="AA156" i="42"/>
  <c r="Z156" i="42"/>
  <c r="Y156" i="42"/>
  <c r="X156" i="42"/>
  <c r="W156" i="42"/>
  <c r="AD155" i="42"/>
  <c r="AC155" i="42"/>
  <c r="AB155" i="42"/>
  <c r="AA155" i="42"/>
  <c r="Z155" i="42"/>
  <c r="Y155" i="42"/>
  <c r="X155" i="42"/>
  <c r="W155" i="42"/>
  <c r="V155" i="42"/>
  <c r="U155" i="42"/>
  <c r="T155" i="42"/>
  <c r="S155" i="42"/>
  <c r="R155" i="42"/>
  <c r="Q155" i="42"/>
  <c r="P155" i="42"/>
  <c r="O155" i="42"/>
  <c r="N155" i="42"/>
  <c r="M155" i="42"/>
  <c r="L155" i="42"/>
  <c r="K155" i="42"/>
  <c r="J155" i="42"/>
  <c r="I155" i="42"/>
  <c r="H155" i="42"/>
  <c r="G154" i="42"/>
  <c r="G153" i="42"/>
  <c r="G152" i="42"/>
  <c r="AD149" i="42"/>
  <c r="AC149" i="42"/>
  <c r="AB149" i="42"/>
  <c r="AA149" i="42"/>
  <c r="Z149" i="42"/>
  <c r="Y149" i="42"/>
  <c r="X149" i="42"/>
  <c r="W149" i="42"/>
  <c r="V149" i="42"/>
  <c r="U149" i="42"/>
  <c r="T149" i="42"/>
  <c r="S149" i="42"/>
  <c r="R149" i="42"/>
  <c r="Q149" i="42"/>
  <c r="P149" i="42"/>
  <c r="O149" i="42"/>
  <c r="N149" i="42"/>
  <c r="M149" i="42"/>
  <c r="L149" i="42"/>
  <c r="K149" i="42"/>
  <c r="J149" i="42"/>
  <c r="I149" i="42"/>
  <c r="H149" i="42"/>
  <c r="G149" i="42"/>
  <c r="AD148" i="42"/>
  <c r="AC148" i="42"/>
  <c r="AB148" i="42"/>
  <c r="AA148" i="42"/>
  <c r="Z148" i="42"/>
  <c r="Y148" i="42"/>
  <c r="X148" i="42"/>
  <c r="W148" i="42"/>
  <c r="V148" i="42"/>
  <c r="U148" i="42"/>
  <c r="T148" i="42"/>
  <c r="S148" i="42"/>
  <c r="R148" i="42"/>
  <c r="Q148" i="42"/>
  <c r="P148" i="42"/>
  <c r="O148" i="42"/>
  <c r="N148" i="42"/>
  <c r="M148" i="42"/>
  <c r="L148" i="42"/>
  <c r="K148" i="42"/>
  <c r="J148" i="42"/>
  <c r="I148" i="42"/>
  <c r="H148" i="42"/>
  <c r="G148" i="42"/>
  <c r="AD147" i="42"/>
  <c r="AC147" i="42"/>
  <c r="AB147" i="42"/>
  <c r="AA147" i="42"/>
  <c r="Z147" i="42"/>
  <c r="Y147" i="42"/>
  <c r="X147" i="42"/>
  <c r="W147" i="42"/>
  <c r="V147" i="42"/>
  <c r="U147" i="42"/>
  <c r="T147" i="42"/>
  <c r="S147" i="42"/>
  <c r="R147" i="42"/>
  <c r="Q147" i="42"/>
  <c r="P147" i="42"/>
  <c r="O147" i="42"/>
  <c r="N147" i="42"/>
  <c r="M147" i="42"/>
  <c r="L147" i="42"/>
  <c r="K147" i="42"/>
  <c r="J147" i="42"/>
  <c r="I147" i="42"/>
  <c r="H147" i="42"/>
  <c r="G147" i="42"/>
  <c r="G146" i="42"/>
  <c r="G145" i="42"/>
  <c r="G144" i="42"/>
  <c r="G143" i="42"/>
  <c r="G142" i="42"/>
  <c r="G140" i="42"/>
  <c r="G138" i="42"/>
  <c r="G137" i="42"/>
  <c r="G136" i="42"/>
  <c r="G129" i="42"/>
  <c r="G128" i="42"/>
  <c r="G127" i="42"/>
  <c r="G126" i="42"/>
  <c r="G122" i="42"/>
  <c r="AD109" i="42"/>
  <c r="AD110" i="42" s="1"/>
  <c r="AC109" i="42"/>
  <c r="AC110" i="42" s="1"/>
  <c r="AB109" i="42"/>
  <c r="AB110" i="42" s="1"/>
  <c r="AA109" i="42"/>
  <c r="AA110" i="42" s="1"/>
  <c r="Z109" i="42"/>
  <c r="Z110" i="42" s="1"/>
  <c r="Y109" i="42"/>
  <c r="Y110" i="42" s="1"/>
  <c r="X109" i="42"/>
  <c r="X110" i="42" s="1"/>
  <c r="W109" i="42"/>
  <c r="W110" i="42" s="1"/>
  <c r="AD108" i="42"/>
  <c r="AC108" i="42"/>
  <c r="AB108" i="42"/>
  <c r="AA108" i="42"/>
  <c r="Z108" i="42"/>
  <c r="Y108" i="42"/>
  <c r="X108" i="42"/>
  <c r="W108" i="42"/>
  <c r="V108" i="42"/>
  <c r="U108" i="42"/>
  <c r="T108" i="42"/>
  <c r="S108" i="42"/>
  <c r="R108" i="42"/>
  <c r="Q108" i="42"/>
  <c r="P108" i="42"/>
  <c r="O108" i="42"/>
  <c r="N108" i="42"/>
  <c r="M108" i="42"/>
  <c r="L108" i="42"/>
  <c r="K108" i="42"/>
  <c r="J108" i="42"/>
  <c r="I108" i="42"/>
  <c r="H108" i="42"/>
  <c r="AD107" i="42"/>
  <c r="AC107" i="42"/>
  <c r="AB107" i="42"/>
  <c r="AA107" i="42"/>
  <c r="Z107" i="42"/>
  <c r="Y107" i="42"/>
  <c r="X107" i="42"/>
  <c r="W107" i="42"/>
  <c r="AD106" i="42"/>
  <c r="AC106" i="42"/>
  <c r="AB106" i="42"/>
  <c r="AA106" i="42"/>
  <c r="Z106" i="42"/>
  <c r="Y106" i="42"/>
  <c r="X106" i="42"/>
  <c r="W106" i="42"/>
  <c r="AD105" i="42"/>
  <c r="AC105" i="42"/>
  <c r="AB105" i="42"/>
  <c r="AA105" i="42"/>
  <c r="Z105" i="42"/>
  <c r="Y105" i="42"/>
  <c r="X105" i="42"/>
  <c r="W105" i="42"/>
  <c r="G104" i="42"/>
  <c r="G102" i="42"/>
  <c r="AD98" i="42"/>
  <c r="AC98" i="42"/>
  <c r="AC96" i="42" s="1"/>
  <c r="AB98" i="42"/>
  <c r="AA98" i="42"/>
  <c r="Z98" i="42"/>
  <c r="Y98" i="42"/>
  <c r="X98" i="42"/>
  <c r="W98" i="42"/>
  <c r="V98" i="42"/>
  <c r="U98" i="42"/>
  <c r="T98" i="42"/>
  <c r="S98" i="42"/>
  <c r="R98" i="42"/>
  <c r="Q98" i="42"/>
  <c r="O98" i="42"/>
  <c r="N98" i="42"/>
  <c r="M98" i="42"/>
  <c r="L98" i="42"/>
  <c r="K98" i="42"/>
  <c r="J98" i="42"/>
  <c r="I98" i="42"/>
  <c r="AD97" i="42"/>
  <c r="AD96" i="42" s="1"/>
  <c r="AC97" i="42"/>
  <c r="AB97" i="42"/>
  <c r="AA97" i="42"/>
  <c r="Z97" i="42"/>
  <c r="Y97" i="42"/>
  <c r="X97" i="42"/>
  <c r="W97" i="42"/>
  <c r="W96" i="42" s="1"/>
  <c r="AD95" i="42"/>
  <c r="AC95" i="42"/>
  <c r="AB95" i="42"/>
  <c r="AA95" i="42"/>
  <c r="Z95" i="42"/>
  <c r="Y95" i="42"/>
  <c r="X95" i="42"/>
  <c r="W95" i="42"/>
  <c r="V95" i="42"/>
  <c r="U95" i="42"/>
  <c r="T95" i="42"/>
  <c r="S95" i="42"/>
  <c r="R95" i="42"/>
  <c r="Q95" i="42"/>
  <c r="P95" i="42"/>
  <c r="O95" i="42"/>
  <c r="N95" i="42"/>
  <c r="M95" i="42"/>
  <c r="L95" i="42"/>
  <c r="K95" i="42"/>
  <c r="J95" i="42"/>
  <c r="I95" i="42"/>
  <c r="H95" i="42"/>
  <c r="AD93" i="42"/>
  <c r="AC93" i="42"/>
  <c r="AB93" i="42"/>
  <c r="AA93" i="42"/>
  <c r="Z93" i="42"/>
  <c r="Y93" i="42"/>
  <c r="X93" i="42"/>
  <c r="W93" i="42"/>
  <c r="L93" i="42"/>
  <c r="J93" i="42"/>
  <c r="AD92" i="42"/>
  <c r="AC92" i="42"/>
  <c r="AB92" i="42"/>
  <c r="AA92" i="42"/>
  <c r="Z92" i="42"/>
  <c r="Y92" i="42"/>
  <c r="X92" i="42"/>
  <c r="W92" i="42"/>
  <c r="I92" i="42"/>
  <c r="AB88" i="42"/>
  <c r="AA88" i="42"/>
  <c r="AA87" i="42"/>
  <c r="Y85" i="42"/>
  <c r="X85" i="42"/>
  <c r="X84" i="42"/>
  <c r="W84" i="42"/>
  <c r="AC82" i="42"/>
  <c r="AD81" i="42"/>
  <c r="AC81" i="42"/>
  <c r="AC83" i="42" s="1"/>
  <c r="AB81" i="42"/>
  <c r="AB83" i="42" s="1"/>
  <c r="AA81" i="42"/>
  <c r="AA83" i="42" s="1"/>
  <c r="Z81" i="42"/>
  <c r="Z83" i="42" s="1"/>
  <c r="Y81" i="42"/>
  <c r="Y87" i="42" s="1"/>
  <c r="X81" i="42"/>
  <c r="X87" i="42" s="1"/>
  <c r="W81" i="42"/>
  <c r="W85" i="42" s="1"/>
  <c r="G81" i="42"/>
  <c r="AD80" i="42"/>
  <c r="AD84" i="42" s="1"/>
  <c r="AC80" i="42"/>
  <c r="AC84" i="42" s="1"/>
  <c r="AB80" i="42"/>
  <c r="AB84" i="42" s="1"/>
  <c r="AA80" i="42"/>
  <c r="AA84" i="42" s="1"/>
  <c r="Z80" i="42"/>
  <c r="Y80" i="42"/>
  <c r="X80" i="42"/>
  <c r="X86" i="42" s="1"/>
  <c r="W80" i="42"/>
  <c r="W86" i="42" s="1"/>
  <c r="G80" i="42"/>
  <c r="AD78" i="42"/>
  <c r="AC78" i="42"/>
  <c r="AB78" i="42"/>
  <c r="AA78" i="42"/>
  <c r="Z78" i="42"/>
  <c r="Y78" i="42"/>
  <c r="X78" i="42"/>
  <c r="W78" i="42"/>
  <c r="G77" i="42"/>
  <c r="AD74" i="42"/>
  <c r="AD89" i="42" s="1"/>
  <c r="AC74" i="42"/>
  <c r="AC89" i="42" s="1"/>
  <c r="AB74" i="42"/>
  <c r="AB89" i="42" s="1"/>
  <c r="AA74" i="42"/>
  <c r="AA89" i="42" s="1"/>
  <c r="Z74" i="42"/>
  <c r="Z89" i="42" s="1"/>
  <c r="Y74" i="42"/>
  <c r="Y89" i="42" s="1"/>
  <c r="X74" i="42"/>
  <c r="X89" i="42" s="1"/>
  <c r="W74" i="42"/>
  <c r="W89" i="42" s="1"/>
  <c r="G73" i="42"/>
  <c r="AD72" i="42"/>
  <c r="AD88" i="42" s="1"/>
  <c r="AC72" i="42"/>
  <c r="AC88" i="42" s="1"/>
  <c r="AB72" i="42"/>
  <c r="AA72" i="42"/>
  <c r="Z72" i="42"/>
  <c r="Z88" i="42" s="1"/>
  <c r="Y72" i="42"/>
  <c r="Y88" i="42" s="1"/>
  <c r="X72" i="42"/>
  <c r="X88" i="42" s="1"/>
  <c r="W72" i="42"/>
  <c r="W88" i="42" s="1"/>
  <c r="AD71" i="42"/>
  <c r="AC71" i="42"/>
  <c r="AB71" i="42"/>
  <c r="AA71" i="42"/>
  <c r="Z71" i="42"/>
  <c r="Y71" i="42"/>
  <c r="X71" i="42"/>
  <c r="W71" i="42"/>
  <c r="AD70" i="42"/>
  <c r="AC70" i="42"/>
  <c r="AB70" i="42"/>
  <c r="AA70" i="42"/>
  <c r="Z70" i="42"/>
  <c r="Y70" i="42"/>
  <c r="X70" i="42"/>
  <c r="W70" i="42"/>
  <c r="AD69" i="42"/>
  <c r="AC69" i="42"/>
  <c r="AB69" i="42"/>
  <c r="AA69" i="42"/>
  <c r="Z69" i="42"/>
  <c r="Y69" i="42"/>
  <c r="X69" i="42"/>
  <c r="W69" i="42"/>
  <c r="G67" i="42"/>
  <c r="G66" i="42"/>
  <c r="G65" i="42"/>
  <c r="G64" i="42"/>
  <c r="AD63" i="42"/>
  <c r="AD58" i="42" s="1"/>
  <c r="AC63" i="42"/>
  <c r="AC58" i="42" s="1"/>
  <c r="AB63" i="42"/>
  <c r="AA63" i="42"/>
  <c r="Z63" i="42"/>
  <c r="Z58" i="42" s="1"/>
  <c r="Y63" i="42"/>
  <c r="Y58" i="42" s="1"/>
  <c r="X63" i="42"/>
  <c r="X58" i="42" s="1"/>
  <c r="W63" i="42"/>
  <c r="V63" i="42"/>
  <c r="V58" i="42" s="1"/>
  <c r="U63" i="42"/>
  <c r="U58" i="42" s="1"/>
  <c r="T63" i="42"/>
  <c r="S63" i="42"/>
  <c r="R63" i="42"/>
  <c r="R58" i="42" s="1"/>
  <c r="Q63" i="42"/>
  <c r="Q58" i="42" s="1"/>
  <c r="P63" i="42"/>
  <c r="P58" i="42" s="1"/>
  <c r="O63" i="42"/>
  <c r="O58" i="42" s="1"/>
  <c r="N63" i="42"/>
  <c r="M63" i="42"/>
  <c r="L63" i="42"/>
  <c r="K63" i="42"/>
  <c r="J63" i="42"/>
  <c r="J58" i="42" s="1"/>
  <c r="I63" i="42"/>
  <c r="I58" i="42" s="1"/>
  <c r="H63" i="42"/>
  <c r="H58" i="42" s="1"/>
  <c r="G63" i="42"/>
  <c r="G62" i="42"/>
  <c r="G61" i="42"/>
  <c r="G60" i="42"/>
  <c r="G59" i="42"/>
  <c r="AB58" i="42"/>
  <c r="AA58" i="42"/>
  <c r="W58" i="42"/>
  <c r="T58" i="42"/>
  <c r="S58" i="42"/>
  <c r="N58" i="42"/>
  <c r="M58" i="42"/>
  <c r="L58" i="42"/>
  <c r="K58" i="42"/>
  <c r="G58" i="42"/>
  <c r="G57" i="42"/>
  <c r="G56" i="42"/>
  <c r="G53" i="42"/>
  <c r="G52" i="42"/>
  <c r="G51" i="42"/>
  <c r="G50" i="42"/>
  <c r="G49" i="42"/>
  <c r="G48" i="42"/>
  <c r="G47" i="42"/>
  <c r="G46" i="42"/>
  <c r="G45" i="42"/>
  <c r="G44" i="42"/>
  <c r="G43" i="42"/>
  <c r="G42" i="42"/>
  <c r="G41" i="42"/>
  <c r="G40" i="42"/>
  <c r="G39" i="42"/>
  <c r="AD38" i="42"/>
  <c r="AD33" i="42" s="1"/>
  <c r="AD94" i="42" s="1"/>
  <c r="AC38" i="42"/>
  <c r="AC33" i="42" s="1"/>
  <c r="AC94" i="42" s="1"/>
  <c r="AB38" i="42"/>
  <c r="AB33" i="42" s="1"/>
  <c r="AB94" i="42" s="1"/>
  <c r="AA38" i="42"/>
  <c r="Z38" i="42"/>
  <c r="Y38" i="42"/>
  <c r="X38" i="42"/>
  <c r="X33" i="42" s="1"/>
  <c r="X94" i="42" s="1"/>
  <c r="W38" i="42"/>
  <c r="W33" i="42" s="1"/>
  <c r="W94" i="42" s="1"/>
  <c r="V38" i="42"/>
  <c r="U38" i="42"/>
  <c r="T38" i="42"/>
  <c r="S38" i="42"/>
  <c r="R38" i="42"/>
  <c r="Q38" i="42"/>
  <c r="P38" i="42"/>
  <c r="O38" i="42"/>
  <c r="N38" i="42"/>
  <c r="M38" i="42"/>
  <c r="L38" i="42"/>
  <c r="L33" i="42" s="1"/>
  <c r="L94" i="42" s="1"/>
  <c r="K38" i="42"/>
  <c r="J38" i="42"/>
  <c r="I38" i="42"/>
  <c r="H38" i="42"/>
  <c r="G38" i="42"/>
  <c r="G37" i="42"/>
  <c r="G36" i="42"/>
  <c r="G35" i="42"/>
  <c r="G34" i="42"/>
  <c r="AA33" i="42"/>
  <c r="AA94" i="42" s="1"/>
  <c r="Z33" i="42"/>
  <c r="Z75" i="42" s="1"/>
  <c r="Z90" i="42" s="1"/>
  <c r="Y33" i="42"/>
  <c r="Y94" i="42" s="1"/>
  <c r="K33" i="42"/>
  <c r="J33" i="42"/>
  <c r="G33" i="42"/>
  <c r="G32" i="42"/>
  <c r="G31" i="42"/>
  <c r="G30" i="42"/>
  <c r="G29" i="42"/>
  <c r="G28" i="42"/>
  <c r="G27" i="42"/>
  <c r="G26" i="42"/>
  <c r="G25" i="42"/>
  <c r="G23" i="42"/>
  <c r="G22" i="42"/>
  <c r="AD21" i="42"/>
  <c r="AC21" i="42"/>
  <c r="AB21" i="42"/>
  <c r="AA21" i="42"/>
  <c r="Z21" i="42"/>
  <c r="Y21" i="42"/>
  <c r="Y75" i="42" s="1"/>
  <c r="Y90" i="42" s="1"/>
  <c r="X21" i="42"/>
  <c r="W21" i="42"/>
  <c r="G21" i="42"/>
  <c r="AD19" i="42"/>
  <c r="AC19" i="42"/>
  <c r="AB19" i="42"/>
  <c r="AA19" i="42"/>
  <c r="Z19" i="42"/>
  <c r="Y19" i="42"/>
  <c r="X19" i="42"/>
  <c r="W19" i="42"/>
  <c r="G19" i="42"/>
  <c r="G18" i="42"/>
  <c r="G17" i="42"/>
  <c r="G16" i="42"/>
  <c r="G15" i="42"/>
  <c r="AD14" i="42"/>
  <c r="AC14" i="42"/>
  <c r="AB14" i="42"/>
  <c r="AA14" i="42"/>
  <c r="Z14" i="42"/>
  <c r="Y14" i="42"/>
  <c r="X14" i="42"/>
  <c r="W14" i="42"/>
  <c r="G14" i="42"/>
  <c r="G13" i="42"/>
  <c r="AD11" i="42"/>
  <c r="AC11" i="42"/>
  <c r="AB11" i="42"/>
  <c r="AA11" i="42"/>
  <c r="Z11" i="42"/>
  <c r="Y11" i="42"/>
  <c r="X11" i="42"/>
  <c r="W11" i="42"/>
  <c r="G10" i="42"/>
  <c r="AD9" i="42"/>
  <c r="AC9" i="42"/>
  <c r="AB9" i="42"/>
  <c r="AA9" i="42"/>
  <c r="Z9" i="42"/>
  <c r="Y9" i="42"/>
  <c r="X9" i="42"/>
  <c r="W9" i="42"/>
  <c r="G9" i="42"/>
  <c r="G8" i="42"/>
  <c r="AD7" i="42"/>
  <c r="AD82" i="42" s="1"/>
  <c r="AC7" i="42"/>
  <c r="AB7" i="42"/>
  <c r="AB82" i="42" s="1"/>
  <c r="AA7" i="42"/>
  <c r="AA82" i="42" s="1"/>
  <c r="Z7" i="42"/>
  <c r="Z82" i="42" s="1"/>
  <c r="Y7" i="42"/>
  <c r="Y82" i="42" s="1"/>
  <c r="X7" i="42"/>
  <c r="X82" i="42" s="1"/>
  <c r="W7" i="42"/>
  <c r="W82" i="42" s="1"/>
  <c r="G6" i="42"/>
  <c r="G5" i="42"/>
  <c r="G4" i="42"/>
  <c r="AD3" i="42"/>
  <c r="AC3" i="42"/>
  <c r="AB3" i="42"/>
  <c r="AA3" i="42"/>
  <c r="Z3" i="42"/>
  <c r="Y3" i="42"/>
  <c r="X3" i="42"/>
  <c r="W3" i="42"/>
  <c r="G3" i="42"/>
  <c r="AD85" i="42" l="1"/>
  <c r="AD83" i="42"/>
  <c r="X75" i="42"/>
  <c r="X90" i="42" s="1"/>
  <c r="AA76" i="42"/>
  <c r="Z84" i="42"/>
  <c r="Z86" i="42"/>
  <c r="I33" i="42"/>
  <c r="I94" i="42" s="1"/>
  <c r="I73" i="42"/>
  <c r="Y84" i="42"/>
  <c r="Y86" i="42"/>
  <c r="Y96" i="42"/>
  <c r="Z76" i="42"/>
  <c r="Z96" i="42"/>
  <c r="AA96" i="42"/>
  <c r="I14" i="42"/>
  <c r="K73" i="42"/>
  <c r="AB76" i="42"/>
  <c r="AC75" i="42"/>
  <c r="AC90" i="42" s="1"/>
  <c r="W83" i="42"/>
  <c r="J92" i="42"/>
  <c r="AB96" i="42"/>
  <c r="Z87" i="42"/>
  <c r="K92" i="42"/>
  <c r="X96" i="42"/>
  <c r="H33" i="42"/>
  <c r="H94" i="42" s="1"/>
  <c r="P98" i="42"/>
  <c r="H93" i="42"/>
  <c r="H98" i="42"/>
  <c r="H14" i="42"/>
  <c r="H92" i="42"/>
  <c r="AD75" i="42"/>
  <c r="AD90" i="42" s="1"/>
  <c r="W75" i="42"/>
  <c r="W90" i="42" s="1"/>
  <c r="AA75" i="42"/>
  <c r="AA90" i="42" s="1"/>
  <c r="AB75" i="42"/>
  <c r="AB90" i="42" s="1"/>
  <c r="AC76" i="42"/>
  <c r="X83" i="42"/>
  <c r="Z85" i="42"/>
  <c r="AA86" i="42"/>
  <c r="AB87" i="42"/>
  <c r="J94" i="42"/>
  <c r="Z94" i="42"/>
  <c r="AD76" i="42"/>
  <c r="Y83" i="42"/>
  <c r="AA85" i="42"/>
  <c r="AB86" i="42"/>
  <c r="AC87" i="42"/>
  <c r="K94" i="42"/>
  <c r="W76" i="42"/>
  <c r="AB85" i="42"/>
  <c r="AC86" i="42"/>
  <c r="AD87" i="42"/>
  <c r="X76" i="42"/>
  <c r="AC85" i="42"/>
  <c r="AD86" i="42"/>
  <c r="W87" i="42"/>
  <c r="Y76" i="42"/>
  <c r="P65" i="18" l="1"/>
  <c r="P68" i="18" s="1"/>
  <c r="P58" i="18"/>
  <c r="P66" i="18" s="1"/>
  <c r="P69" i="18" s="1"/>
  <c r="P59" i="18"/>
  <c r="P61" i="18" s="1"/>
  <c r="P57" i="18"/>
  <c r="P62" i="18" l="1"/>
  <c r="P37" i="7"/>
  <c r="O37" i="7"/>
  <c r="N37" i="7"/>
  <c r="M37" i="7"/>
  <c r="L37" i="7"/>
  <c r="L5" i="7"/>
  <c r="M5" i="7" s="1"/>
  <c r="N5" i="7" s="1"/>
  <c r="O5" i="7" s="1"/>
  <c r="P5" i="7" s="1"/>
  <c r="J37" i="7"/>
  <c r="AF261" i="41"/>
  <c r="K5" i="7"/>
  <c r="K37" i="7"/>
  <c r="Q49" i="28"/>
  <c r="BC998" i="41"/>
  <c r="BD998" i="41" s="1"/>
  <c r="BE998" i="41" s="1"/>
  <c r="BF998" i="41" s="1"/>
  <c r="BG998" i="41" s="1"/>
  <c r="BC997" i="41"/>
  <c r="BD997" i="41" s="1"/>
  <c r="BE997" i="41" s="1"/>
  <c r="BF997" i="41" s="1"/>
  <c r="BG997" i="41" s="1"/>
  <c r="BD996" i="41"/>
  <c r="BE996" i="41" s="1"/>
  <c r="BF996" i="41" s="1"/>
  <c r="BG996" i="41" s="1"/>
  <c r="BC996" i="41"/>
  <c r="BC995" i="41"/>
  <c r="BD995" i="41" s="1"/>
  <c r="BE995" i="41" s="1"/>
  <c r="BF995" i="41" s="1"/>
  <c r="BG995" i="41" s="1"/>
  <c r="BC994" i="41"/>
  <c r="BD994" i="41" s="1"/>
  <c r="BE994" i="41" s="1"/>
  <c r="BF994" i="41" s="1"/>
  <c r="BG994" i="41" s="1"/>
  <c r="BC993" i="41"/>
  <c r="BD993" i="41" s="1"/>
  <c r="BE993" i="41" s="1"/>
  <c r="BF993" i="41" s="1"/>
  <c r="BG993" i="41" s="1"/>
  <c r="BC992" i="41"/>
  <c r="BD992" i="41" s="1"/>
  <c r="BE992" i="41" s="1"/>
  <c r="BF992" i="41" s="1"/>
  <c r="BG992" i="41" s="1"/>
  <c r="BE991" i="41"/>
  <c r="BF991" i="41" s="1"/>
  <c r="BG991" i="41" s="1"/>
  <c r="BC991" i="41"/>
  <c r="BD991" i="41" s="1"/>
  <c r="BC990" i="41"/>
  <c r="BD990" i="41" s="1"/>
  <c r="BE990" i="41" s="1"/>
  <c r="BF990" i="41" s="1"/>
  <c r="BG990" i="41" s="1"/>
  <c r="BC989" i="41"/>
  <c r="BD989" i="41" s="1"/>
  <c r="BE989" i="41" s="1"/>
  <c r="BF989" i="41" s="1"/>
  <c r="BG989" i="41" s="1"/>
  <c r="BD988" i="41"/>
  <c r="BE988" i="41" s="1"/>
  <c r="BF988" i="41" s="1"/>
  <c r="BG988" i="41" s="1"/>
  <c r="BC988" i="41"/>
  <c r="AN760" i="41"/>
  <c r="AO760" i="41" s="1"/>
  <c r="AP760" i="41" s="1"/>
  <c r="AQ760" i="41" s="1"/>
  <c r="AR760" i="41" s="1"/>
  <c r="AS760" i="41" s="1"/>
  <c r="AT760" i="41" s="1"/>
  <c r="AU760" i="41" s="1"/>
  <c r="AV760" i="41" s="1"/>
  <c r="AW760" i="41" s="1"/>
  <c r="AX760" i="41" s="1"/>
  <c r="AY760" i="41" s="1"/>
  <c r="AZ760" i="41" s="1"/>
  <c r="BA760" i="41" s="1"/>
  <c r="BB760" i="41" s="1"/>
  <c r="BC760" i="41" s="1"/>
  <c r="BD760" i="41" s="1"/>
  <c r="BE760" i="41" s="1"/>
  <c r="BF760" i="41" s="1"/>
  <c r="BG760" i="41" s="1"/>
  <c r="AJ759" i="41"/>
  <c r="AI759" i="41"/>
  <c r="AH759" i="41"/>
  <c r="AJ758" i="41"/>
  <c r="AI758" i="41"/>
  <c r="AH758" i="41"/>
  <c r="AJ757" i="41"/>
  <c r="AI757" i="41"/>
  <c r="AH757" i="41"/>
  <c r="AG757" i="41"/>
  <c r="AF757" i="41"/>
  <c r="AO756" i="41"/>
  <c r="AP756" i="41" s="1"/>
  <c r="AQ756" i="41" s="1"/>
  <c r="AR756" i="41" s="1"/>
  <c r="AS756" i="41" s="1"/>
  <c r="AT756" i="41" s="1"/>
  <c r="AU756" i="41" s="1"/>
  <c r="AV756" i="41" s="1"/>
  <c r="AW756" i="41" s="1"/>
  <c r="AX756" i="41" s="1"/>
  <c r="AY756" i="41" s="1"/>
  <c r="AZ756" i="41" s="1"/>
  <c r="BA756" i="41" s="1"/>
  <c r="BB756" i="41" s="1"/>
  <c r="BC756" i="41" s="1"/>
  <c r="BD756" i="41" s="1"/>
  <c r="BE756" i="41" s="1"/>
  <c r="BF756" i="41" s="1"/>
  <c r="BG756" i="41" s="1"/>
  <c r="AN756" i="41"/>
  <c r="AN755" i="41"/>
  <c r="AO755" i="41" s="1"/>
  <c r="AP755" i="41" s="1"/>
  <c r="AQ755" i="41" s="1"/>
  <c r="AR755" i="41" s="1"/>
  <c r="AS755" i="41" s="1"/>
  <c r="AT755" i="41" s="1"/>
  <c r="AU755" i="41" s="1"/>
  <c r="AV755" i="41" s="1"/>
  <c r="AW755" i="41" s="1"/>
  <c r="AX755" i="41" s="1"/>
  <c r="AY755" i="41" s="1"/>
  <c r="AZ755" i="41" s="1"/>
  <c r="BA755" i="41" s="1"/>
  <c r="BB755" i="41" s="1"/>
  <c r="BC755" i="41" s="1"/>
  <c r="BD755" i="41" s="1"/>
  <c r="BE755" i="41" s="1"/>
  <c r="BF755" i="41" s="1"/>
  <c r="BG755" i="41" s="1"/>
  <c r="AN754" i="41"/>
  <c r="AO754" i="41" s="1"/>
  <c r="AP754" i="41" s="1"/>
  <c r="AQ754" i="41" s="1"/>
  <c r="AR754" i="41" s="1"/>
  <c r="AS754" i="41" s="1"/>
  <c r="AT754" i="41" s="1"/>
  <c r="AU754" i="41" s="1"/>
  <c r="AV754" i="41" s="1"/>
  <c r="AW754" i="41" s="1"/>
  <c r="AX754" i="41" s="1"/>
  <c r="AY754" i="41" s="1"/>
  <c r="AZ754" i="41" s="1"/>
  <c r="BA754" i="41" s="1"/>
  <c r="BB754" i="41" s="1"/>
  <c r="BC754" i="41" s="1"/>
  <c r="BD754" i="41" s="1"/>
  <c r="BE754" i="41" s="1"/>
  <c r="BF754" i="41" s="1"/>
  <c r="BG754" i="41" s="1"/>
  <c r="AN753" i="41"/>
  <c r="AO753" i="41" s="1"/>
  <c r="AP753" i="41" s="1"/>
  <c r="AQ753" i="41" s="1"/>
  <c r="AR753" i="41" s="1"/>
  <c r="AS753" i="41" s="1"/>
  <c r="AT753" i="41" s="1"/>
  <c r="AU753" i="41" s="1"/>
  <c r="AV753" i="41" s="1"/>
  <c r="AW753" i="41" s="1"/>
  <c r="AX753" i="41" s="1"/>
  <c r="AY753" i="41" s="1"/>
  <c r="AZ753" i="41" s="1"/>
  <c r="BA753" i="41" s="1"/>
  <c r="BB753" i="41" s="1"/>
  <c r="BC753" i="41" s="1"/>
  <c r="BD753" i="41" s="1"/>
  <c r="BE753" i="41" s="1"/>
  <c r="BF753" i="41" s="1"/>
  <c r="BG753" i="41" s="1"/>
  <c r="AN752" i="41"/>
  <c r="AO752" i="41" s="1"/>
  <c r="AP752" i="41" s="1"/>
  <c r="AQ752" i="41" s="1"/>
  <c r="AR752" i="41" s="1"/>
  <c r="AS752" i="41" s="1"/>
  <c r="AT752" i="41" s="1"/>
  <c r="AU752" i="41" s="1"/>
  <c r="AV752" i="41" s="1"/>
  <c r="AW752" i="41" s="1"/>
  <c r="AX752" i="41" s="1"/>
  <c r="AY752" i="41" s="1"/>
  <c r="AZ752" i="41" s="1"/>
  <c r="BA752" i="41" s="1"/>
  <c r="BB752" i="41" s="1"/>
  <c r="BC752" i="41" s="1"/>
  <c r="BD752" i="41" s="1"/>
  <c r="BE752" i="41" s="1"/>
  <c r="BF752" i="41" s="1"/>
  <c r="BG752" i="41" s="1"/>
  <c r="AN751" i="41"/>
  <c r="AO751" i="41" s="1"/>
  <c r="AP751" i="41" s="1"/>
  <c r="AQ751" i="41" s="1"/>
  <c r="AR751" i="41" s="1"/>
  <c r="AS751" i="41" s="1"/>
  <c r="AT751" i="41" s="1"/>
  <c r="AU751" i="41" s="1"/>
  <c r="AV751" i="41" s="1"/>
  <c r="AW751" i="41" s="1"/>
  <c r="AX751" i="41" s="1"/>
  <c r="AY751" i="41" s="1"/>
  <c r="AZ751" i="41" s="1"/>
  <c r="BA751" i="41" s="1"/>
  <c r="BB751" i="41" s="1"/>
  <c r="BC751" i="41" s="1"/>
  <c r="BD751" i="41" s="1"/>
  <c r="BE751" i="41" s="1"/>
  <c r="BF751" i="41" s="1"/>
  <c r="BG751" i="41" s="1"/>
  <c r="AN750" i="41"/>
  <c r="AO750" i="41" s="1"/>
  <c r="AP750" i="41" s="1"/>
  <c r="AQ750" i="41" s="1"/>
  <c r="AR750" i="41" s="1"/>
  <c r="AS750" i="41" s="1"/>
  <c r="AT750" i="41" s="1"/>
  <c r="AU750" i="41" s="1"/>
  <c r="AV750" i="41" s="1"/>
  <c r="AW750" i="41" s="1"/>
  <c r="AX750" i="41" s="1"/>
  <c r="AY750" i="41" s="1"/>
  <c r="AZ750" i="41" s="1"/>
  <c r="BA750" i="41" s="1"/>
  <c r="BB750" i="41" s="1"/>
  <c r="BC750" i="41" s="1"/>
  <c r="BD750" i="41" s="1"/>
  <c r="BE750" i="41" s="1"/>
  <c r="BF750" i="41" s="1"/>
  <c r="BG750" i="41" s="1"/>
  <c r="BC700" i="41"/>
  <c r="BD700" i="41" s="1"/>
  <c r="BE700" i="41" s="1"/>
  <c r="BF700" i="41" s="1"/>
  <c r="BG700" i="41" s="1"/>
  <c r="BC675" i="41"/>
  <c r="BD675" i="41" s="1"/>
  <c r="BE675" i="41" s="1"/>
  <c r="BF675" i="41" s="1"/>
  <c r="BG675" i="41" s="1"/>
  <c r="BC674" i="41"/>
  <c r="BD674" i="41" s="1"/>
  <c r="BE674" i="41" s="1"/>
  <c r="BF674" i="41" s="1"/>
  <c r="BG674" i="41" s="1"/>
  <c r="BC673" i="41"/>
  <c r="BD673" i="41" s="1"/>
  <c r="BE673" i="41" s="1"/>
  <c r="BF673" i="41" s="1"/>
  <c r="BG673" i="41" s="1"/>
  <c r="BC672" i="41"/>
  <c r="BD672" i="41" s="1"/>
  <c r="BE672" i="41" s="1"/>
  <c r="BF672" i="41" s="1"/>
  <c r="BG672" i="41" s="1"/>
  <c r="BC671" i="41"/>
  <c r="BD671" i="41" s="1"/>
  <c r="BE671" i="41" s="1"/>
  <c r="BF671" i="41" s="1"/>
  <c r="BG671" i="41" s="1"/>
  <c r="BC670" i="41"/>
  <c r="BD670" i="41" s="1"/>
  <c r="BE670" i="41" s="1"/>
  <c r="BF670" i="41" s="1"/>
  <c r="BG670" i="41" s="1"/>
  <c r="BD669" i="41"/>
  <c r="BE669" i="41" s="1"/>
  <c r="BF669" i="41" s="1"/>
  <c r="BG669" i="41" s="1"/>
  <c r="BC669" i="41"/>
  <c r="BC668" i="41"/>
  <c r="BD668" i="41" s="1"/>
  <c r="BE668" i="41" s="1"/>
  <c r="BF668" i="41" s="1"/>
  <c r="BG668" i="41" s="1"/>
  <c r="BD654" i="41"/>
  <c r="BE654" i="41" s="1"/>
  <c r="BF654" i="41" s="1"/>
  <c r="BG654" i="41" s="1"/>
  <c r="BC654" i="41"/>
  <c r="BC653" i="41"/>
  <c r="BD653" i="41" s="1"/>
  <c r="BE653" i="41" s="1"/>
  <c r="BF653" i="41" s="1"/>
  <c r="BG653" i="41" s="1"/>
  <c r="BC652" i="41"/>
  <c r="BD652" i="41" s="1"/>
  <c r="BE652" i="41" s="1"/>
  <c r="BF652" i="41" s="1"/>
  <c r="BG652" i="41" s="1"/>
  <c r="BC651" i="41"/>
  <c r="BD651" i="41" s="1"/>
  <c r="BE651" i="41" s="1"/>
  <c r="BF651" i="41" s="1"/>
  <c r="BG651" i="41" s="1"/>
  <c r="BC650" i="41"/>
  <c r="BD650" i="41" s="1"/>
  <c r="BE650" i="41" s="1"/>
  <c r="BF650" i="41" s="1"/>
  <c r="BG650" i="41" s="1"/>
  <c r="BC638" i="41"/>
  <c r="BD638" i="41" s="1"/>
  <c r="BE638" i="41" s="1"/>
  <c r="BF638" i="41" s="1"/>
  <c r="BG638" i="41" s="1"/>
  <c r="BC637" i="41"/>
  <c r="BD637" i="41" s="1"/>
  <c r="BE637" i="41" s="1"/>
  <c r="BF637" i="41" s="1"/>
  <c r="BG637" i="41" s="1"/>
  <c r="BC636" i="41"/>
  <c r="BD636" i="41" s="1"/>
  <c r="BE636" i="41" s="1"/>
  <c r="BF636" i="41" s="1"/>
  <c r="BG636" i="41" s="1"/>
  <c r="BD635" i="41"/>
  <c r="BE635" i="41" s="1"/>
  <c r="BF635" i="41" s="1"/>
  <c r="BG635" i="41" s="1"/>
  <c r="BC635" i="41"/>
  <c r="BC634" i="41"/>
  <c r="BD634" i="41" s="1"/>
  <c r="BE634" i="41" s="1"/>
  <c r="BF634" i="41" s="1"/>
  <c r="BG634" i="41" s="1"/>
  <c r="BC633" i="41"/>
  <c r="BD633" i="41" s="1"/>
  <c r="BE633" i="41" s="1"/>
  <c r="BF633" i="41" s="1"/>
  <c r="BG633" i="41" s="1"/>
  <c r="BE632" i="41"/>
  <c r="BF632" i="41" s="1"/>
  <c r="BG632" i="41" s="1"/>
  <c r="BC632" i="41"/>
  <c r="BD632" i="41" s="1"/>
  <c r="BC631" i="41"/>
  <c r="BD631" i="41" s="1"/>
  <c r="BE631" i="41" s="1"/>
  <c r="BF631" i="41" s="1"/>
  <c r="BG631" i="41" s="1"/>
  <c r="BE630" i="41"/>
  <c r="BF630" i="41" s="1"/>
  <c r="BG630" i="41" s="1"/>
  <c r="BC630" i="41"/>
  <c r="BD630" i="41" s="1"/>
  <c r="BC629" i="41"/>
  <c r="BD629" i="41" s="1"/>
  <c r="BE629" i="41" s="1"/>
  <c r="BF629" i="41" s="1"/>
  <c r="BG629" i="41" s="1"/>
  <c r="BD628" i="41"/>
  <c r="BE628" i="41" s="1"/>
  <c r="BF628" i="41" s="1"/>
  <c r="BG628" i="41" s="1"/>
  <c r="BC628" i="41"/>
  <c r="BC627" i="41"/>
  <c r="BD627" i="41" s="1"/>
  <c r="BE627" i="41" s="1"/>
  <c r="BF627" i="41" s="1"/>
  <c r="BG627" i="41" s="1"/>
  <c r="BC626" i="41"/>
  <c r="BD626" i="41" s="1"/>
  <c r="BE626" i="41" s="1"/>
  <c r="BF626" i="41" s="1"/>
  <c r="BG626" i="41" s="1"/>
  <c r="BC625" i="41"/>
  <c r="BD625" i="41" s="1"/>
  <c r="BE625" i="41" s="1"/>
  <c r="BF625" i="41" s="1"/>
  <c r="BG625" i="41" s="1"/>
  <c r="BC599" i="41"/>
  <c r="BD599" i="41" s="1"/>
  <c r="BE599" i="41" s="1"/>
  <c r="BF599" i="41" s="1"/>
  <c r="BG599" i="41" s="1"/>
  <c r="BC594" i="41"/>
  <c r="BD594" i="41" s="1"/>
  <c r="BE594" i="41" s="1"/>
  <c r="BF594" i="41" s="1"/>
  <c r="BG594" i="41" s="1"/>
  <c r="BC593" i="41"/>
  <c r="BD593" i="41" s="1"/>
  <c r="BE593" i="41" s="1"/>
  <c r="BF593" i="41" s="1"/>
  <c r="BG593" i="41" s="1"/>
  <c r="BC592" i="41"/>
  <c r="BD592" i="41" s="1"/>
  <c r="BE592" i="41" s="1"/>
  <c r="BF592" i="41" s="1"/>
  <c r="BG592" i="41" s="1"/>
  <c r="BD591" i="41"/>
  <c r="BE591" i="41" s="1"/>
  <c r="BF591" i="41" s="1"/>
  <c r="BG591" i="41" s="1"/>
  <c r="BC591" i="41"/>
  <c r="BC590" i="41"/>
  <c r="BD590" i="41" s="1"/>
  <c r="BE590" i="41" s="1"/>
  <c r="BF590" i="41" s="1"/>
  <c r="BG590" i="41" s="1"/>
  <c r="BC589" i="41"/>
  <c r="BD589" i="41" s="1"/>
  <c r="BE589" i="41" s="1"/>
  <c r="BF589" i="41" s="1"/>
  <c r="BG589" i="41" s="1"/>
  <c r="BC588" i="41"/>
  <c r="BD588" i="41" s="1"/>
  <c r="BE588" i="41" s="1"/>
  <c r="BF588" i="41" s="1"/>
  <c r="BG588" i="41" s="1"/>
  <c r="BC586" i="41"/>
  <c r="BD586" i="41" s="1"/>
  <c r="BE586" i="41" s="1"/>
  <c r="BF586" i="41" s="1"/>
  <c r="BG586" i="41" s="1"/>
  <c r="BC585" i="41"/>
  <c r="BD585" i="41" s="1"/>
  <c r="BE585" i="41" s="1"/>
  <c r="BF585" i="41" s="1"/>
  <c r="BG585" i="41" s="1"/>
  <c r="BC584" i="41"/>
  <c r="BD584" i="41" s="1"/>
  <c r="BE584" i="41" s="1"/>
  <c r="BF584" i="41" s="1"/>
  <c r="BG584" i="41" s="1"/>
  <c r="BC583" i="41"/>
  <c r="BD583" i="41" s="1"/>
  <c r="BE583" i="41" s="1"/>
  <c r="BF583" i="41" s="1"/>
  <c r="BG583" i="41" s="1"/>
  <c r="BC582" i="41"/>
  <c r="BD582" i="41" s="1"/>
  <c r="BE582" i="41" s="1"/>
  <c r="BF582" i="41" s="1"/>
  <c r="BG582" i="41" s="1"/>
  <c r="BD581" i="41"/>
  <c r="BE581" i="41" s="1"/>
  <c r="BF581" i="41" s="1"/>
  <c r="BG581" i="41" s="1"/>
  <c r="BC581" i="41"/>
  <c r="BC580" i="41"/>
  <c r="BD580" i="41" s="1"/>
  <c r="BE580" i="41" s="1"/>
  <c r="BF580" i="41" s="1"/>
  <c r="BG580" i="41" s="1"/>
  <c r="BC579" i="41"/>
  <c r="BD579" i="41" s="1"/>
  <c r="BE579" i="41" s="1"/>
  <c r="BF579" i="41" s="1"/>
  <c r="BG579" i="41" s="1"/>
  <c r="BC578" i="41"/>
  <c r="BD578" i="41" s="1"/>
  <c r="BE578" i="41" s="1"/>
  <c r="BF578" i="41" s="1"/>
  <c r="BG578" i="41" s="1"/>
  <c r="BC577" i="41"/>
  <c r="BD577" i="41" s="1"/>
  <c r="BE577" i="41" s="1"/>
  <c r="BF577" i="41" s="1"/>
  <c r="BG577" i="41" s="1"/>
  <c r="BC576" i="41"/>
  <c r="BD576" i="41" s="1"/>
  <c r="BE576" i="41" s="1"/>
  <c r="BF576" i="41" s="1"/>
  <c r="BG576" i="41" s="1"/>
  <c r="BC575" i="41"/>
  <c r="BD575" i="41" s="1"/>
  <c r="BE575" i="41" s="1"/>
  <c r="BF575" i="41" s="1"/>
  <c r="BG575" i="41" s="1"/>
  <c r="BC574" i="41"/>
  <c r="BD574" i="41" s="1"/>
  <c r="BE574" i="41" s="1"/>
  <c r="BF574" i="41" s="1"/>
  <c r="BG574" i="41" s="1"/>
  <c r="BC573" i="41"/>
  <c r="BD573" i="41" s="1"/>
  <c r="BE573" i="41" s="1"/>
  <c r="BF573" i="41" s="1"/>
  <c r="BG573" i="41" s="1"/>
  <c r="BC572" i="41"/>
  <c r="BD572" i="41" s="1"/>
  <c r="BE572" i="41" s="1"/>
  <c r="BF572" i="41" s="1"/>
  <c r="BG572" i="41" s="1"/>
  <c r="BC571" i="41"/>
  <c r="BD571" i="41" s="1"/>
  <c r="BE571" i="41" s="1"/>
  <c r="BF571" i="41" s="1"/>
  <c r="BG571" i="41" s="1"/>
  <c r="BE570" i="41"/>
  <c r="BF570" i="41" s="1"/>
  <c r="BG570" i="41" s="1"/>
  <c r="BC570" i="41"/>
  <c r="BD570" i="41" s="1"/>
  <c r="BC569" i="41"/>
  <c r="BD569" i="41" s="1"/>
  <c r="BE569" i="41" s="1"/>
  <c r="BF569" i="41" s="1"/>
  <c r="BG569" i="41" s="1"/>
  <c r="BC568" i="41"/>
  <c r="BD568" i="41" s="1"/>
  <c r="BE568" i="41" s="1"/>
  <c r="BF568" i="41" s="1"/>
  <c r="BG568" i="41" s="1"/>
  <c r="BD567" i="41"/>
  <c r="BE567" i="41" s="1"/>
  <c r="BF567" i="41" s="1"/>
  <c r="BG567" i="41" s="1"/>
  <c r="BC567" i="41"/>
  <c r="BD566" i="41"/>
  <c r="BE566" i="41" s="1"/>
  <c r="BF566" i="41" s="1"/>
  <c r="BG566" i="41" s="1"/>
  <c r="BC566" i="41"/>
  <c r="BC565" i="41"/>
  <c r="BD565" i="41" s="1"/>
  <c r="BE565" i="41" s="1"/>
  <c r="BF565" i="41" s="1"/>
  <c r="BG565" i="41" s="1"/>
  <c r="BC564" i="41"/>
  <c r="BD564" i="41" s="1"/>
  <c r="BE564" i="41" s="1"/>
  <c r="BF564" i="41" s="1"/>
  <c r="BG564" i="41" s="1"/>
  <c r="BC563" i="41"/>
  <c r="BD563" i="41" s="1"/>
  <c r="BE563" i="41" s="1"/>
  <c r="BF563" i="41" s="1"/>
  <c r="BG563" i="41" s="1"/>
  <c r="BC562" i="41"/>
  <c r="BD562" i="41" s="1"/>
  <c r="BE562" i="41" s="1"/>
  <c r="BF562" i="41" s="1"/>
  <c r="BG562" i="41" s="1"/>
  <c r="BC561" i="41"/>
  <c r="BD561" i="41" s="1"/>
  <c r="BE561" i="41" s="1"/>
  <c r="BF561" i="41" s="1"/>
  <c r="BG561" i="41" s="1"/>
  <c r="BC560" i="41"/>
  <c r="BD560" i="41" s="1"/>
  <c r="BE560" i="41" s="1"/>
  <c r="BF560" i="41" s="1"/>
  <c r="BG560" i="41" s="1"/>
  <c r="BC559" i="41"/>
  <c r="BD559" i="41" s="1"/>
  <c r="BE559" i="41" s="1"/>
  <c r="BF559" i="41" s="1"/>
  <c r="BG559" i="41" s="1"/>
  <c r="BC558" i="41"/>
  <c r="BD558" i="41" s="1"/>
  <c r="BE558" i="41" s="1"/>
  <c r="BF558" i="41" s="1"/>
  <c r="BG558" i="41" s="1"/>
  <c r="BC557" i="41"/>
  <c r="BD557" i="41" s="1"/>
  <c r="BE557" i="41" s="1"/>
  <c r="BF557" i="41" s="1"/>
  <c r="BG557" i="41" s="1"/>
  <c r="BC556" i="41"/>
  <c r="BD556" i="41" s="1"/>
  <c r="BE556" i="41" s="1"/>
  <c r="BF556" i="41" s="1"/>
  <c r="BG556" i="41" s="1"/>
  <c r="BC555" i="41"/>
  <c r="BD555" i="41" s="1"/>
  <c r="BE555" i="41" s="1"/>
  <c r="BF555" i="41" s="1"/>
  <c r="BG555" i="41" s="1"/>
  <c r="BC554" i="41"/>
  <c r="BD554" i="41" s="1"/>
  <c r="BE554" i="41" s="1"/>
  <c r="BF554" i="41" s="1"/>
  <c r="BG554" i="41" s="1"/>
  <c r="BC553" i="41"/>
  <c r="BD553" i="41" s="1"/>
  <c r="BE553" i="41" s="1"/>
  <c r="BF553" i="41" s="1"/>
  <c r="BG553" i="41" s="1"/>
  <c r="BC552" i="41"/>
  <c r="BD552" i="41" s="1"/>
  <c r="BE552" i="41" s="1"/>
  <c r="BF552" i="41" s="1"/>
  <c r="BG552" i="41" s="1"/>
  <c r="AJ548" i="41"/>
  <c r="AK548" i="41" s="1"/>
  <c r="AL548" i="41" s="1"/>
  <c r="AM548" i="41" s="1"/>
  <c r="AN548" i="41" s="1"/>
  <c r="AO548" i="41" s="1"/>
  <c r="AP548" i="41" s="1"/>
  <c r="AQ548" i="41" s="1"/>
  <c r="AR548" i="41" s="1"/>
  <c r="AS548" i="41" s="1"/>
  <c r="AT548" i="41" s="1"/>
  <c r="AU548" i="41" s="1"/>
  <c r="AV548" i="41" s="1"/>
  <c r="AW548" i="41" s="1"/>
  <c r="AX548" i="41" s="1"/>
  <c r="AY548" i="41" s="1"/>
  <c r="AZ548" i="41" s="1"/>
  <c r="BA548" i="41" s="1"/>
  <c r="BB548" i="41" s="1"/>
  <c r="BC548" i="41" s="1"/>
  <c r="BD548" i="41" s="1"/>
  <c r="BE548" i="41" s="1"/>
  <c r="BF548" i="41" s="1"/>
  <c r="BG548" i="41" s="1"/>
  <c r="AJ547" i="41"/>
  <c r="AI546" i="41"/>
  <c r="AH546" i="41"/>
  <c r="AG546" i="41"/>
  <c r="AF546" i="41"/>
  <c r="AE546" i="41"/>
  <c r="AJ545" i="41"/>
  <c r="AG535" i="41"/>
  <c r="AF535" i="41"/>
  <c r="AE535" i="41"/>
  <c r="AH534" i="41"/>
  <c r="AH531" i="41"/>
  <c r="AG531" i="41"/>
  <c r="AF531" i="41"/>
  <c r="AE531" i="41"/>
  <c r="AH530" i="41"/>
  <c r="AI530" i="41" s="1"/>
  <c r="AI528" i="41"/>
  <c r="AH528" i="41"/>
  <c r="AG528" i="41"/>
  <c r="AF528" i="41"/>
  <c r="AE528" i="41"/>
  <c r="AG527" i="41"/>
  <c r="AF527" i="41"/>
  <c r="AE527" i="41"/>
  <c r="AH526" i="41"/>
  <c r="AH527" i="41" s="1"/>
  <c r="AH525" i="41"/>
  <c r="AH524" i="41" s="1"/>
  <c r="AG523" i="41"/>
  <c r="AF523" i="41"/>
  <c r="AE523" i="41"/>
  <c r="AH522" i="41"/>
  <c r="AH523" i="41" s="1"/>
  <c r="AG519" i="41"/>
  <c r="AF519" i="41"/>
  <c r="AE519" i="41"/>
  <c r="AH518" i="41"/>
  <c r="AI518" i="41" s="1"/>
  <c r="AI519" i="41" s="1"/>
  <c r="AH517" i="41"/>
  <c r="AI517" i="41" s="1"/>
  <c r="AH515" i="41"/>
  <c r="AG515" i="41"/>
  <c r="AF515" i="41"/>
  <c r="AE515" i="41"/>
  <c r="AI514" i="41"/>
  <c r="AH511" i="41"/>
  <c r="AG511" i="41"/>
  <c r="AF511" i="41"/>
  <c r="AE511" i="41"/>
  <c r="AI510" i="41"/>
  <c r="AI509" i="41" s="1"/>
  <c r="AI492" i="41"/>
  <c r="AJ492" i="41" s="1"/>
  <c r="AK492" i="41" s="1"/>
  <c r="AL492" i="41" s="1"/>
  <c r="AM492" i="41" s="1"/>
  <c r="AN492" i="41" s="1"/>
  <c r="AO492" i="41" s="1"/>
  <c r="AP492" i="41" s="1"/>
  <c r="AQ492" i="41" s="1"/>
  <c r="AR492" i="41" s="1"/>
  <c r="AS492" i="41" s="1"/>
  <c r="AT492" i="41" s="1"/>
  <c r="AU492" i="41" s="1"/>
  <c r="AV492" i="41" s="1"/>
  <c r="AW492" i="41" s="1"/>
  <c r="AX492" i="41" s="1"/>
  <c r="AY492" i="41" s="1"/>
  <c r="AZ492" i="41" s="1"/>
  <c r="BA492" i="41" s="1"/>
  <c r="BB492" i="41" s="1"/>
  <c r="BC492" i="41" s="1"/>
  <c r="BD492" i="41" s="1"/>
  <c r="BE492" i="41" s="1"/>
  <c r="BF492" i="41" s="1"/>
  <c r="BG492" i="41" s="1"/>
  <c r="AF484" i="41"/>
  <c r="AF485" i="41" s="1"/>
  <c r="AF486" i="41" s="1"/>
  <c r="AF487" i="41" s="1"/>
  <c r="AF488" i="41" s="1"/>
  <c r="AF489" i="41" s="1"/>
  <c r="AF490" i="41" s="1"/>
  <c r="AJ483" i="41"/>
  <c r="AJ484" i="41" s="1"/>
  <c r="AJ485" i="41" s="1"/>
  <c r="AJ486" i="41" s="1"/>
  <c r="AJ487" i="41" s="1"/>
  <c r="AJ488" i="41" s="1"/>
  <c r="AJ489" i="41" s="1"/>
  <c r="AJ490" i="41" s="1"/>
  <c r="AI483" i="41"/>
  <c r="AI484" i="41" s="1"/>
  <c r="AI485" i="41" s="1"/>
  <c r="AI486" i="41" s="1"/>
  <c r="AI487" i="41" s="1"/>
  <c r="AI488" i="41" s="1"/>
  <c r="AI489" i="41" s="1"/>
  <c r="AI490" i="41" s="1"/>
  <c r="AH483" i="41"/>
  <c r="AH484" i="41" s="1"/>
  <c r="AH485" i="41" s="1"/>
  <c r="AH486" i="41" s="1"/>
  <c r="AH487" i="41" s="1"/>
  <c r="AH488" i="41" s="1"/>
  <c r="AH489" i="41" s="1"/>
  <c r="AH490" i="41" s="1"/>
  <c r="AG483" i="41"/>
  <c r="AG484" i="41" s="1"/>
  <c r="AG485" i="41" s="1"/>
  <c r="AG486" i="41" s="1"/>
  <c r="AG487" i="41" s="1"/>
  <c r="AG488" i="41" s="1"/>
  <c r="AG489" i="41" s="1"/>
  <c r="AG490" i="41" s="1"/>
  <c r="AH425" i="41"/>
  <c r="AI425" i="41" s="1"/>
  <c r="AJ425" i="41" s="1"/>
  <c r="AI424" i="41"/>
  <c r="AJ424" i="41" s="1"/>
  <c r="AH423" i="41"/>
  <c r="AI423" i="41" s="1"/>
  <c r="AJ423" i="41" s="1"/>
  <c r="AI422" i="41"/>
  <c r="AJ422" i="41" s="1"/>
  <c r="AH422" i="41"/>
  <c r="BC346" i="41"/>
  <c r="BD346" i="41" s="1"/>
  <c r="BE346" i="41" s="1"/>
  <c r="BF346" i="41" s="1"/>
  <c r="BG346" i="41" s="1"/>
  <c r="BC345" i="41"/>
  <c r="BD345" i="41" s="1"/>
  <c r="BE345" i="41" s="1"/>
  <c r="BF345" i="41" s="1"/>
  <c r="BG345" i="41" s="1"/>
  <c r="BC344" i="41"/>
  <c r="BD344" i="41" s="1"/>
  <c r="BE344" i="41" s="1"/>
  <c r="BF344" i="41" s="1"/>
  <c r="BG344" i="41" s="1"/>
  <c r="BC342" i="41"/>
  <c r="BD342" i="41" s="1"/>
  <c r="BE342" i="41" s="1"/>
  <c r="BF342" i="41" s="1"/>
  <c r="BG342" i="41" s="1"/>
  <c r="BC341" i="41"/>
  <c r="BD341" i="41" s="1"/>
  <c r="BE341" i="41" s="1"/>
  <c r="BF341" i="41" s="1"/>
  <c r="BG341" i="41" s="1"/>
  <c r="BD340" i="41"/>
  <c r="BE340" i="41" s="1"/>
  <c r="BF340" i="41" s="1"/>
  <c r="BC340" i="41"/>
  <c r="BC339" i="41"/>
  <c r="BD339" i="41" s="1"/>
  <c r="BE339" i="41" s="1"/>
  <c r="BF339" i="41" s="1"/>
  <c r="BG339" i="41" s="1"/>
  <c r="BC338" i="41"/>
  <c r="BD338" i="41" s="1"/>
  <c r="BE338" i="41" s="1"/>
  <c r="BF338" i="41" s="1"/>
  <c r="BG338" i="41" s="1"/>
  <c r="AO326" i="41"/>
  <c r="AP326" i="41" s="1"/>
  <c r="AQ326" i="41" s="1"/>
  <c r="AR326" i="41" s="1"/>
  <c r="AS326" i="41" s="1"/>
  <c r="AT326" i="41" s="1"/>
  <c r="AU326" i="41" s="1"/>
  <c r="AV326" i="41" s="1"/>
  <c r="AW326" i="41" s="1"/>
  <c r="AX326" i="41" s="1"/>
  <c r="AY326" i="41" s="1"/>
  <c r="AZ326" i="41" s="1"/>
  <c r="BA326" i="41" s="1"/>
  <c r="BB326" i="41" s="1"/>
  <c r="BC326" i="41" s="1"/>
  <c r="BD326" i="41" s="1"/>
  <c r="BE326" i="41" s="1"/>
  <c r="BF326" i="41" s="1"/>
  <c r="BG326" i="41" s="1"/>
  <c r="AO325" i="41"/>
  <c r="AP325" i="41" s="1"/>
  <c r="AQ325" i="41" s="1"/>
  <c r="AR325" i="41" s="1"/>
  <c r="AS325" i="41" s="1"/>
  <c r="AT325" i="41" s="1"/>
  <c r="AU325" i="41" s="1"/>
  <c r="AV325" i="41" s="1"/>
  <c r="AW325" i="41" s="1"/>
  <c r="AX325" i="41" s="1"/>
  <c r="AY325" i="41" s="1"/>
  <c r="AZ325" i="41" s="1"/>
  <c r="BA325" i="41" s="1"/>
  <c r="BB325" i="41" s="1"/>
  <c r="BC325" i="41" s="1"/>
  <c r="BD325" i="41" s="1"/>
  <c r="BE325" i="41" s="1"/>
  <c r="BF325" i="41" s="1"/>
  <c r="BG325" i="41" s="1"/>
  <c r="AU324" i="41"/>
  <c r="AV324" i="41" s="1"/>
  <c r="AW324" i="41" s="1"/>
  <c r="AX324" i="41" s="1"/>
  <c r="AY324" i="41" s="1"/>
  <c r="AZ324" i="41" s="1"/>
  <c r="BA324" i="41" s="1"/>
  <c r="BB324" i="41" s="1"/>
  <c r="BC324" i="41" s="1"/>
  <c r="BD324" i="41" s="1"/>
  <c r="BE324" i="41" s="1"/>
  <c r="BF324" i="41" s="1"/>
  <c r="BG324" i="41" s="1"/>
  <c r="AO324" i="41"/>
  <c r="AP324" i="41" s="1"/>
  <c r="AQ324" i="41" s="1"/>
  <c r="AR324" i="41" s="1"/>
  <c r="AS324" i="41" s="1"/>
  <c r="AT324" i="41" s="1"/>
  <c r="AH323" i="41"/>
  <c r="AI323" i="41" s="1"/>
  <c r="AJ323" i="41" s="1"/>
  <c r="BC322" i="41"/>
  <c r="BD322" i="41" s="1"/>
  <c r="BE322" i="41" s="1"/>
  <c r="BF322" i="41" s="1"/>
  <c r="BG322" i="41" s="1"/>
  <c r="AH321" i="41"/>
  <c r="AI321" i="41" s="1"/>
  <c r="AJ321" i="41" s="1"/>
  <c r="AO320" i="41"/>
  <c r="AP320" i="41" s="1"/>
  <c r="AQ320" i="41" s="1"/>
  <c r="AR320" i="41" s="1"/>
  <c r="AS320" i="41" s="1"/>
  <c r="AT320" i="41" s="1"/>
  <c r="AU320" i="41" s="1"/>
  <c r="AV320" i="41" s="1"/>
  <c r="AW320" i="41" s="1"/>
  <c r="AX320" i="41" s="1"/>
  <c r="AY320" i="41" s="1"/>
  <c r="AZ320" i="41" s="1"/>
  <c r="BA320" i="41" s="1"/>
  <c r="BB320" i="41" s="1"/>
  <c r="BC320" i="41" s="1"/>
  <c r="BD320" i="41" s="1"/>
  <c r="BE320" i="41" s="1"/>
  <c r="BF320" i="41" s="1"/>
  <c r="BG320" i="41" s="1"/>
  <c r="BF318" i="41"/>
  <c r="BG318" i="41" s="1"/>
  <c r="BC318" i="41"/>
  <c r="BD318" i="41" s="1"/>
  <c r="BE318" i="41" s="1"/>
  <c r="BC317" i="41"/>
  <c r="BD317" i="41" s="1"/>
  <c r="BE317" i="41" s="1"/>
  <c r="BF317" i="41" s="1"/>
  <c r="BG317" i="41" s="1"/>
  <c r="BC316" i="41"/>
  <c r="BD316" i="41" s="1"/>
  <c r="BE316" i="41" s="1"/>
  <c r="BF316" i="41" s="1"/>
  <c r="BG316" i="41" s="1"/>
  <c r="AJ313" i="41"/>
  <c r="AI313" i="41"/>
  <c r="AH313" i="41"/>
  <c r="AG313" i="41"/>
  <c r="AF313" i="41"/>
  <c r="AI309" i="41"/>
  <c r="AH309" i="41"/>
  <c r="AG309" i="41"/>
  <c r="AI305" i="41"/>
  <c r="AH305" i="41"/>
  <c r="AG305" i="41"/>
  <c r="AE304" i="41"/>
  <c r="AI303" i="41"/>
  <c r="AH303" i="41"/>
  <c r="AG303" i="41"/>
  <c r="AF303" i="41"/>
  <c r="AJ282" i="41"/>
  <c r="AY281" i="41"/>
  <c r="AX281" i="41"/>
  <c r="AW281" i="41"/>
  <c r="AV281" i="41"/>
  <c r="AU281" i="41"/>
  <c r="AT281" i="41"/>
  <c r="AS281" i="41"/>
  <c r="AR281" i="41"/>
  <c r="AQ281" i="41"/>
  <c r="AP281" i="41"/>
  <c r="AO281" i="41"/>
  <c r="AN281" i="41"/>
  <c r="AM281" i="41"/>
  <c r="AL281" i="41"/>
  <c r="AK281" i="41"/>
  <c r="AJ281" i="41"/>
  <c r="AJ280" i="41"/>
  <c r="AJ279" i="41"/>
  <c r="AJ278" i="41"/>
  <c r="AJ275" i="41"/>
  <c r="AI274" i="41"/>
  <c r="AH274" i="41"/>
  <c r="AG274" i="41"/>
  <c r="AF274" i="41"/>
  <c r="AE274" i="41"/>
  <c r="AD274" i="41"/>
  <c r="AC274" i="41"/>
  <c r="AJ273" i="41"/>
  <c r="AI272" i="41"/>
  <c r="AH272" i="41"/>
  <c r="AG272" i="41"/>
  <c r="AF272" i="41"/>
  <c r="AE272" i="41"/>
  <c r="AJ271" i="41"/>
  <c r="AJ270" i="41"/>
  <c r="BC256" i="41"/>
  <c r="BB256" i="41"/>
  <c r="BA256" i="41"/>
  <c r="AZ256" i="41"/>
  <c r="AY256" i="41"/>
  <c r="AX256" i="41"/>
  <c r="AW256" i="41"/>
  <c r="AV256" i="41"/>
  <c r="AU256" i="41"/>
  <c r="AT256" i="41"/>
  <c r="AS256" i="41"/>
  <c r="AR256" i="41"/>
  <c r="AQ256" i="41"/>
  <c r="AP256" i="41"/>
  <c r="AO256" i="41"/>
  <c r="AN256" i="41"/>
  <c r="AM256" i="41"/>
  <c r="AL256" i="41"/>
  <c r="AK256" i="41"/>
  <c r="AJ256" i="41"/>
  <c r="AI256" i="41"/>
  <c r="AH256" i="41"/>
  <c r="AG256" i="41"/>
  <c r="AF256" i="41"/>
  <c r="AE256" i="41"/>
  <c r="AD256" i="41"/>
  <c r="AC256" i="41"/>
  <c r="AB256" i="41"/>
  <c r="AA256" i="41"/>
  <c r="Z256" i="41"/>
  <c r="Y256" i="41"/>
  <c r="BB255" i="41"/>
  <c r="BA255" i="41"/>
  <c r="AZ255" i="41"/>
  <c r="AY255" i="41"/>
  <c r="AX255" i="41"/>
  <c r="AW255" i="41"/>
  <c r="AV255" i="41"/>
  <c r="AU255" i="41"/>
  <c r="AT255" i="41"/>
  <c r="AS255" i="41"/>
  <c r="AR255" i="41"/>
  <c r="AQ255" i="41"/>
  <c r="AP255" i="41"/>
  <c r="AO255" i="41"/>
  <c r="AN255" i="41"/>
  <c r="AM255" i="41"/>
  <c r="AL255" i="41"/>
  <c r="AK255" i="41"/>
  <c r="AJ255" i="41"/>
  <c r="AI255" i="41"/>
  <c r="AH255" i="41"/>
  <c r="AG255" i="41"/>
  <c r="AF255" i="41"/>
  <c r="AF260" i="41" s="1"/>
  <c r="AE255" i="41"/>
  <c r="AD255" i="41"/>
  <c r="AC255" i="41"/>
  <c r="AB255" i="41"/>
  <c r="AA255" i="41"/>
  <c r="Z255" i="41"/>
  <c r="Y255" i="41"/>
  <c r="BB254" i="41"/>
  <c r="BA254" i="41"/>
  <c r="AZ254" i="41"/>
  <c r="AY254" i="41"/>
  <c r="AX254" i="41"/>
  <c r="AW254" i="41"/>
  <c r="AV254" i="41"/>
  <c r="AU254" i="41"/>
  <c r="AT254" i="41"/>
  <c r="AS254" i="41"/>
  <c r="AR254" i="41"/>
  <c r="AQ254" i="41"/>
  <c r="AP254" i="41"/>
  <c r="AO254" i="41"/>
  <c r="AN254" i="41"/>
  <c r="AM254" i="41"/>
  <c r="AL254" i="41"/>
  <c r="AK254" i="41"/>
  <c r="AJ254" i="41"/>
  <c r="AI254" i="41"/>
  <c r="AH254" i="41"/>
  <c r="AG254" i="41"/>
  <c r="AF254" i="41"/>
  <c r="AF259" i="41" s="1"/>
  <c r="AG259" i="41" s="1"/>
  <c r="AH259" i="41" s="1"/>
  <c r="AI259" i="41" s="1"/>
  <c r="AJ259" i="41" s="1"/>
  <c r="AK259" i="41" s="1"/>
  <c r="AL259" i="41" s="1"/>
  <c r="AM259" i="41" s="1"/>
  <c r="AE254" i="41"/>
  <c r="AD254" i="41"/>
  <c r="AC254" i="41"/>
  <c r="AB254" i="41"/>
  <c r="AA254" i="41"/>
  <c r="Z254" i="41"/>
  <c r="Y254" i="41"/>
  <c r="AT253" i="41"/>
  <c r="AM253" i="41"/>
  <c r="AD253" i="41"/>
  <c r="AC253" i="41"/>
  <c r="AB253" i="41"/>
  <c r="AA253" i="41"/>
  <c r="Z253" i="41"/>
  <c r="Y253" i="41"/>
  <c r="AD252" i="41"/>
  <c r="AC252" i="41"/>
  <c r="AB252" i="41"/>
  <c r="AA252" i="41"/>
  <c r="Z252" i="41"/>
  <c r="Y252" i="41"/>
  <c r="BC250" i="41"/>
  <c r="BC255" i="41" s="1"/>
  <c r="BC249" i="41"/>
  <c r="BD249" i="41" s="1"/>
  <c r="BD254" i="41" s="1"/>
  <c r="BC248" i="41"/>
  <c r="BC247" i="41"/>
  <c r="BB246" i="41"/>
  <c r="BA246" i="41"/>
  <c r="AZ246" i="41"/>
  <c r="AY246" i="41"/>
  <c r="AY253" i="41" s="1"/>
  <c r="AX246" i="41"/>
  <c r="AW246" i="41"/>
  <c r="AV246" i="41"/>
  <c r="AU246" i="41"/>
  <c r="AT246" i="41"/>
  <c r="AU253" i="41" s="1"/>
  <c r="AS246" i="41"/>
  <c r="AR246" i="41"/>
  <c r="AQ246" i="41"/>
  <c r="AP246" i="41"/>
  <c r="AQ253" i="41" s="1"/>
  <c r="AO246" i="41"/>
  <c r="AN246" i="41"/>
  <c r="AM246" i="41"/>
  <c r="AL246" i="41"/>
  <c r="AK246" i="41"/>
  <c r="AJ246" i="41"/>
  <c r="AI246" i="41"/>
  <c r="AI253" i="41" s="1"/>
  <c r="AH246" i="41"/>
  <c r="AG246" i="41"/>
  <c r="AF246" i="41"/>
  <c r="AF253" i="41" s="1"/>
  <c r="AE246" i="41"/>
  <c r="AE253" i="41" s="1"/>
  <c r="BB245" i="41"/>
  <c r="BB252" i="41" s="1"/>
  <c r="BA245" i="41"/>
  <c r="AZ245" i="41"/>
  <c r="AY245" i="41"/>
  <c r="AX245" i="41"/>
  <c r="AW245" i="41"/>
  <c r="AW252" i="41" s="1"/>
  <c r="AV245" i="41"/>
  <c r="AV252" i="41" s="1"/>
  <c r="AU245" i="41"/>
  <c r="AT245" i="41"/>
  <c r="AT252" i="41" s="1"/>
  <c r="AS245" i="41"/>
  <c r="AR245" i="41"/>
  <c r="AQ245" i="41"/>
  <c r="AP245" i="41"/>
  <c r="AO245" i="41"/>
  <c r="AO252" i="41" s="1"/>
  <c r="AN245" i="41"/>
  <c r="AN252" i="41" s="1"/>
  <c r="AM245" i="41"/>
  <c r="AL245" i="41"/>
  <c r="AL252" i="41" s="1"/>
  <c r="AK245" i="41"/>
  <c r="AJ245" i="41"/>
  <c r="AI245" i="41"/>
  <c r="AH245" i="41"/>
  <c r="AG245" i="41"/>
  <c r="AG252" i="41" s="1"/>
  <c r="AF245" i="41"/>
  <c r="AF252" i="41" s="1"/>
  <c r="AE245" i="41"/>
  <c r="AE252" i="41" s="1"/>
  <c r="BB244" i="41"/>
  <c r="BC244" i="41" s="1"/>
  <c r="BD244" i="41" s="1"/>
  <c r="BE244" i="41" s="1"/>
  <c r="BF244" i="41" s="1"/>
  <c r="BG244" i="41" s="1"/>
  <c r="AZ244" i="41"/>
  <c r="BA244" i="41" s="1"/>
  <c r="AZ243" i="41"/>
  <c r="BA243" i="41" s="1"/>
  <c r="BB243" i="41" s="1"/>
  <c r="BC243" i="41" s="1"/>
  <c r="BD243" i="41" s="1"/>
  <c r="BE243" i="41" s="1"/>
  <c r="BF243" i="41" s="1"/>
  <c r="BG243" i="41" s="1"/>
  <c r="AZ242" i="41"/>
  <c r="BA242" i="41" s="1"/>
  <c r="BC238" i="41"/>
  <c r="BD238" i="41" s="1"/>
  <c r="BE238" i="41" s="1"/>
  <c r="BF238" i="41" s="1"/>
  <c r="BG238" i="41" s="1"/>
  <c r="BC237" i="41"/>
  <c r="BD237" i="41" s="1"/>
  <c r="BE237" i="41" s="1"/>
  <c r="BF237" i="41" s="1"/>
  <c r="BG237" i="41" s="1"/>
  <c r="BC236" i="41"/>
  <c r="BD236" i="41" s="1"/>
  <c r="BE236" i="41" s="1"/>
  <c r="BF236" i="41" s="1"/>
  <c r="BG236" i="41" s="1"/>
  <c r="BC235" i="41"/>
  <c r="BD235" i="41" s="1"/>
  <c r="BE235" i="41" s="1"/>
  <c r="BF235" i="41" s="1"/>
  <c r="BG235" i="41" s="1"/>
  <c r="BC234" i="41"/>
  <c r="BD234" i="41" s="1"/>
  <c r="BE234" i="41" s="1"/>
  <c r="BF234" i="41" s="1"/>
  <c r="BG234" i="41" s="1"/>
  <c r="BD233" i="41"/>
  <c r="BE233" i="41" s="1"/>
  <c r="BF233" i="41" s="1"/>
  <c r="BG233" i="41" s="1"/>
  <c r="BC233" i="41"/>
  <c r="BC232" i="41"/>
  <c r="BD232" i="41" s="1"/>
  <c r="BE232" i="41" s="1"/>
  <c r="BF232" i="41" s="1"/>
  <c r="BG232" i="41" s="1"/>
  <c r="BC231" i="41"/>
  <c r="BD231" i="41" s="1"/>
  <c r="BE231" i="41" s="1"/>
  <c r="BF231" i="41" s="1"/>
  <c r="BG231" i="41" s="1"/>
  <c r="BC230" i="41"/>
  <c r="BD230" i="41" s="1"/>
  <c r="BE230" i="41" s="1"/>
  <c r="BF230" i="41" s="1"/>
  <c r="BG230" i="41" s="1"/>
  <c r="BC229" i="41"/>
  <c r="BD229" i="41" s="1"/>
  <c r="BE229" i="41" s="1"/>
  <c r="BF229" i="41" s="1"/>
  <c r="BG229" i="41" s="1"/>
  <c r="BD228" i="41"/>
  <c r="BE228" i="41" s="1"/>
  <c r="BF228" i="41" s="1"/>
  <c r="BG228" i="41" s="1"/>
  <c r="BC228" i="41"/>
  <c r="BC227" i="41"/>
  <c r="BD227" i="41" s="1"/>
  <c r="BE227" i="41" s="1"/>
  <c r="BF227" i="41" s="1"/>
  <c r="BG227" i="41" s="1"/>
  <c r="BC226" i="41"/>
  <c r="BD226" i="41" s="1"/>
  <c r="BE226" i="41" s="1"/>
  <c r="BF226" i="41" s="1"/>
  <c r="BG226" i="41" s="1"/>
  <c r="BC225" i="41"/>
  <c r="BD225" i="41" s="1"/>
  <c r="BE225" i="41" s="1"/>
  <c r="BF225" i="41" s="1"/>
  <c r="BG225" i="41" s="1"/>
  <c r="AJ224" i="41"/>
  <c r="AJ223" i="41"/>
  <c r="BC222" i="41"/>
  <c r="BD222" i="41" s="1"/>
  <c r="BE222" i="41" s="1"/>
  <c r="BF222" i="41" s="1"/>
  <c r="BG222" i="41" s="1"/>
  <c r="BC221" i="41"/>
  <c r="BD221" i="41" s="1"/>
  <c r="BE221" i="41" s="1"/>
  <c r="BF221" i="41" s="1"/>
  <c r="BG221" i="41" s="1"/>
  <c r="AZ220" i="41"/>
  <c r="BA220" i="41" s="1"/>
  <c r="BB220" i="41" s="1"/>
  <c r="BC220" i="41" s="1"/>
  <c r="BD220" i="41" s="1"/>
  <c r="BE220" i="41" s="1"/>
  <c r="BF220" i="41" s="1"/>
  <c r="BG220" i="41" s="1"/>
  <c r="BE219" i="41"/>
  <c r="BF219" i="41" s="1"/>
  <c r="BG219" i="41" s="1"/>
  <c r="AZ219" i="41"/>
  <c r="BA219" i="41" s="1"/>
  <c r="BB219" i="41" s="1"/>
  <c r="BC219" i="41" s="1"/>
  <c r="BD219" i="41" s="1"/>
  <c r="AZ218" i="41"/>
  <c r="BA218" i="41" s="1"/>
  <c r="BB218" i="41" s="1"/>
  <c r="BC218" i="41" s="1"/>
  <c r="BD218" i="41" s="1"/>
  <c r="BE218" i="41" s="1"/>
  <c r="BF218" i="41" s="1"/>
  <c r="BG218" i="41" s="1"/>
  <c r="BC216" i="41"/>
  <c r="BD216" i="41" s="1"/>
  <c r="BE216" i="41" s="1"/>
  <c r="BF216" i="41" s="1"/>
  <c r="BG216" i="41" s="1"/>
  <c r="BA215" i="41"/>
  <c r="BB215" i="41" s="1"/>
  <c r="BC215" i="41" s="1"/>
  <c r="BD215" i="41" s="1"/>
  <c r="BE215" i="41" s="1"/>
  <c r="BF215" i="41" s="1"/>
  <c r="BG215" i="41" s="1"/>
  <c r="AZ215" i="41"/>
  <c r="BA214" i="41"/>
  <c r="BB214" i="41" s="1"/>
  <c r="BC214" i="41" s="1"/>
  <c r="BD214" i="41" s="1"/>
  <c r="BE214" i="41" s="1"/>
  <c r="BF214" i="41" s="1"/>
  <c r="BG214" i="41" s="1"/>
  <c r="AZ214" i="41"/>
  <c r="AZ213" i="41"/>
  <c r="BA213" i="41" s="1"/>
  <c r="BB213" i="41" s="1"/>
  <c r="BC213" i="41" s="1"/>
  <c r="BD213" i="41" s="1"/>
  <c r="BE213" i="41" s="1"/>
  <c r="BF213" i="41" s="1"/>
  <c r="BG213" i="41" s="1"/>
  <c r="AZ212" i="41"/>
  <c r="BA212" i="41" s="1"/>
  <c r="BB212" i="41" s="1"/>
  <c r="BC212" i="41" s="1"/>
  <c r="BD212" i="41" s="1"/>
  <c r="BE212" i="41" s="1"/>
  <c r="BF212" i="41" s="1"/>
  <c r="BG212" i="41" s="1"/>
  <c r="AZ211" i="41"/>
  <c r="BA211" i="41" s="1"/>
  <c r="BB211" i="41" s="1"/>
  <c r="BC211" i="41" s="1"/>
  <c r="BD211" i="41" s="1"/>
  <c r="BE211" i="41" s="1"/>
  <c r="BF211" i="41" s="1"/>
  <c r="BG211" i="41" s="1"/>
  <c r="BA210" i="41"/>
  <c r="BB210" i="41" s="1"/>
  <c r="BC210" i="41" s="1"/>
  <c r="BD210" i="41" s="1"/>
  <c r="BE210" i="41" s="1"/>
  <c r="BF210" i="41" s="1"/>
  <c r="BG210" i="41" s="1"/>
  <c r="AZ210" i="41"/>
  <c r="BA209" i="41"/>
  <c r="BB209" i="41" s="1"/>
  <c r="BC209" i="41" s="1"/>
  <c r="BD209" i="41" s="1"/>
  <c r="BE209" i="41" s="1"/>
  <c r="BF209" i="41" s="1"/>
  <c r="BG209" i="41" s="1"/>
  <c r="AZ209" i="41"/>
  <c r="AJ208" i="41"/>
  <c r="AH207" i="41"/>
  <c r="AI207" i="41" s="1"/>
  <c r="AJ207" i="41" s="1"/>
  <c r="AJ206" i="41"/>
  <c r="AJ205" i="41"/>
  <c r="AI202" i="41"/>
  <c r="AI203" i="41" s="1"/>
  <c r="AH202" i="41"/>
  <c r="AH203" i="41" s="1"/>
  <c r="AH204" i="41" s="1"/>
  <c r="AG202" i="41"/>
  <c r="AG203" i="41" s="1"/>
  <c r="AG204" i="41" s="1"/>
  <c r="AJ201" i="41"/>
  <c r="AK201" i="41" s="1"/>
  <c r="AH200" i="41"/>
  <c r="AI200" i="41" s="1"/>
  <c r="AJ200" i="41" s="1"/>
  <c r="AK200" i="41" s="1"/>
  <c r="AJ199" i="41"/>
  <c r="AI197" i="41"/>
  <c r="AI198" i="41" s="1"/>
  <c r="AJ198" i="41" s="1"/>
  <c r="AH197" i="41"/>
  <c r="AH198" i="41" s="1"/>
  <c r="AG197" i="41"/>
  <c r="AG198" i="41" s="1"/>
  <c r="AJ196" i="41"/>
  <c r="AZ195" i="41"/>
  <c r="BA195" i="41" s="1"/>
  <c r="BB195" i="41" s="1"/>
  <c r="BC195" i="41" s="1"/>
  <c r="BD195" i="41" s="1"/>
  <c r="BE195" i="41" s="1"/>
  <c r="BF195" i="41" s="1"/>
  <c r="BG195" i="41" s="1"/>
  <c r="BC194" i="41"/>
  <c r="BD194" i="41" s="1"/>
  <c r="BE194" i="41" s="1"/>
  <c r="BF194" i="41" s="1"/>
  <c r="BG194" i="41" s="1"/>
  <c r="BC193" i="41"/>
  <c r="BD193" i="41" s="1"/>
  <c r="BE193" i="41" s="1"/>
  <c r="BF193" i="41" s="1"/>
  <c r="BG193" i="41" s="1"/>
  <c r="BC192" i="41"/>
  <c r="BD192" i="41" s="1"/>
  <c r="BE192" i="41" s="1"/>
  <c r="BF192" i="41" s="1"/>
  <c r="BG192" i="41" s="1"/>
  <c r="BD191" i="41"/>
  <c r="BE191" i="41" s="1"/>
  <c r="BF191" i="41" s="1"/>
  <c r="BG191" i="41" s="1"/>
  <c r="BC191" i="41"/>
  <c r="BC190" i="41"/>
  <c r="BD190" i="41" s="1"/>
  <c r="BE190" i="41" s="1"/>
  <c r="BF190" i="41" s="1"/>
  <c r="BG190" i="41" s="1"/>
  <c r="BC189" i="41"/>
  <c r="BD189" i="41" s="1"/>
  <c r="BE189" i="41" s="1"/>
  <c r="BF189" i="41" s="1"/>
  <c r="BG189" i="41" s="1"/>
  <c r="BC188" i="41"/>
  <c r="BD188" i="41" s="1"/>
  <c r="BE188" i="41" s="1"/>
  <c r="BF188" i="41" s="1"/>
  <c r="BG188" i="41" s="1"/>
  <c r="BC187" i="41"/>
  <c r="BD187" i="41" s="1"/>
  <c r="BE187" i="41" s="1"/>
  <c r="BF187" i="41" s="1"/>
  <c r="BG187" i="41" s="1"/>
  <c r="BC186" i="41"/>
  <c r="BD186" i="41" s="1"/>
  <c r="BE186" i="41" s="1"/>
  <c r="BF186" i="41" s="1"/>
  <c r="BG186" i="41" s="1"/>
  <c r="BC185" i="41"/>
  <c r="BD185" i="41" s="1"/>
  <c r="BE185" i="41" s="1"/>
  <c r="BF185" i="41" s="1"/>
  <c r="BG185" i="41" s="1"/>
  <c r="BC184" i="41"/>
  <c r="BD184" i="41" s="1"/>
  <c r="BE184" i="41" s="1"/>
  <c r="BF184" i="41" s="1"/>
  <c r="BG184" i="41" s="1"/>
  <c r="BC183" i="41"/>
  <c r="BD183" i="41" s="1"/>
  <c r="BE183" i="41" s="1"/>
  <c r="BF183" i="41" s="1"/>
  <c r="BG183" i="41" s="1"/>
  <c r="BD182" i="41"/>
  <c r="BE182" i="41" s="1"/>
  <c r="BF182" i="41" s="1"/>
  <c r="BG182" i="41" s="1"/>
  <c r="BC182" i="41"/>
  <c r="BC181" i="41"/>
  <c r="BD181" i="41" s="1"/>
  <c r="BE181" i="41" s="1"/>
  <c r="BF181" i="41" s="1"/>
  <c r="BG181" i="41" s="1"/>
  <c r="BF180" i="41"/>
  <c r="BG180" i="41" s="1"/>
  <c r="BC180" i="41"/>
  <c r="BD180" i="41" s="1"/>
  <c r="BE180" i="41" s="1"/>
  <c r="BC179" i="41"/>
  <c r="BD179" i="41" s="1"/>
  <c r="BE179" i="41" s="1"/>
  <c r="BF179" i="41" s="1"/>
  <c r="BG179" i="41" s="1"/>
  <c r="BC178" i="41"/>
  <c r="BD178" i="41" s="1"/>
  <c r="BE178" i="41" s="1"/>
  <c r="BF178" i="41" s="1"/>
  <c r="BG178" i="41" s="1"/>
  <c r="BC177" i="41"/>
  <c r="BD177" i="41" s="1"/>
  <c r="BE177" i="41" s="1"/>
  <c r="BF177" i="41" s="1"/>
  <c r="BG177" i="41" s="1"/>
  <c r="BG176" i="41"/>
  <c r="BC176" i="41"/>
  <c r="BD176" i="41" s="1"/>
  <c r="BE176" i="41" s="1"/>
  <c r="BF176" i="41" s="1"/>
  <c r="BC174" i="41"/>
  <c r="BD174" i="41" s="1"/>
  <c r="BE174" i="41" s="1"/>
  <c r="BF174" i="41" s="1"/>
  <c r="BG174" i="41" s="1"/>
  <c r="BD173" i="41"/>
  <c r="BE173" i="41" s="1"/>
  <c r="BF173" i="41" s="1"/>
  <c r="BG173" i="41" s="1"/>
  <c r="BC173" i="41"/>
  <c r="BC172" i="41"/>
  <c r="BD172" i="41" s="1"/>
  <c r="BE172" i="41" s="1"/>
  <c r="BF172" i="41" s="1"/>
  <c r="BG172" i="41" s="1"/>
  <c r="BC171" i="41"/>
  <c r="BD171" i="41" s="1"/>
  <c r="BE171" i="41" s="1"/>
  <c r="BF171" i="41" s="1"/>
  <c r="BG171" i="41" s="1"/>
  <c r="BC170" i="41"/>
  <c r="BD170" i="41" s="1"/>
  <c r="BE170" i="41" s="1"/>
  <c r="BF170" i="41" s="1"/>
  <c r="BG170" i="41" s="1"/>
  <c r="BC169" i="41"/>
  <c r="BD169" i="41" s="1"/>
  <c r="BE169" i="41" s="1"/>
  <c r="BF169" i="41" s="1"/>
  <c r="BG169" i="41" s="1"/>
  <c r="BC168" i="41"/>
  <c r="BD168" i="41" s="1"/>
  <c r="BE168" i="41" s="1"/>
  <c r="BF168" i="41" s="1"/>
  <c r="BG168" i="41" s="1"/>
  <c r="BC167" i="41"/>
  <c r="BD167" i="41" s="1"/>
  <c r="BE167" i="41" s="1"/>
  <c r="BF167" i="41" s="1"/>
  <c r="BG167" i="41" s="1"/>
  <c r="BC166" i="41"/>
  <c r="BD166" i="41" s="1"/>
  <c r="BE166" i="41" s="1"/>
  <c r="BF166" i="41" s="1"/>
  <c r="BG166" i="41" s="1"/>
  <c r="BC165" i="41"/>
  <c r="BD165" i="41" s="1"/>
  <c r="BE165" i="41" s="1"/>
  <c r="BF165" i="41" s="1"/>
  <c r="BG165" i="41" s="1"/>
  <c r="BC164" i="41"/>
  <c r="BD164" i="41" s="1"/>
  <c r="BE164" i="41" s="1"/>
  <c r="BF164" i="41" s="1"/>
  <c r="BG164" i="41" s="1"/>
  <c r="BC163" i="41"/>
  <c r="BD163" i="41" s="1"/>
  <c r="BE163" i="41" s="1"/>
  <c r="BF163" i="41" s="1"/>
  <c r="BG163" i="41" s="1"/>
  <c r="BC162" i="41"/>
  <c r="BD162" i="41" s="1"/>
  <c r="BE162" i="41" s="1"/>
  <c r="BF162" i="41" s="1"/>
  <c r="BG162" i="41" s="1"/>
  <c r="BC161" i="41"/>
  <c r="BD161" i="41" s="1"/>
  <c r="BE161" i="41" s="1"/>
  <c r="BF161" i="41" s="1"/>
  <c r="BG161" i="41" s="1"/>
  <c r="BC160" i="41"/>
  <c r="BD160" i="41" s="1"/>
  <c r="BE160" i="41" s="1"/>
  <c r="BF160" i="41" s="1"/>
  <c r="BG160" i="41" s="1"/>
  <c r="BG159" i="41"/>
  <c r="BC159" i="41"/>
  <c r="BD159" i="41" s="1"/>
  <c r="BE159" i="41" s="1"/>
  <c r="BF159" i="41" s="1"/>
  <c r="BC158" i="41"/>
  <c r="BD158" i="41" s="1"/>
  <c r="BE158" i="41" s="1"/>
  <c r="BF158" i="41" s="1"/>
  <c r="BG158" i="41" s="1"/>
  <c r="BC157" i="41"/>
  <c r="BD157" i="41" s="1"/>
  <c r="BE157" i="41" s="1"/>
  <c r="BF157" i="41" s="1"/>
  <c r="BG157" i="41" s="1"/>
  <c r="BC156" i="41"/>
  <c r="BD156" i="41" s="1"/>
  <c r="BE156" i="41" s="1"/>
  <c r="BF156" i="41" s="1"/>
  <c r="BG156" i="41" s="1"/>
  <c r="BC155" i="41"/>
  <c r="BD155" i="41" s="1"/>
  <c r="BE155" i="41" s="1"/>
  <c r="BF155" i="41" s="1"/>
  <c r="BG155" i="41" s="1"/>
  <c r="BC154" i="41"/>
  <c r="BD154" i="41" s="1"/>
  <c r="BE154" i="41" s="1"/>
  <c r="BF154" i="41" s="1"/>
  <c r="BG154" i="41" s="1"/>
  <c r="BC153" i="41"/>
  <c r="BD153" i="41" s="1"/>
  <c r="BE153" i="41" s="1"/>
  <c r="BF153" i="41" s="1"/>
  <c r="BG153" i="41" s="1"/>
  <c r="BC152" i="41"/>
  <c r="BD152" i="41" s="1"/>
  <c r="BE152" i="41" s="1"/>
  <c r="BF152" i="41" s="1"/>
  <c r="BG152" i="41" s="1"/>
  <c r="BC134" i="41"/>
  <c r="BD134" i="41" s="1"/>
  <c r="BE134" i="41" s="1"/>
  <c r="BF134" i="41" s="1"/>
  <c r="BG134" i="41" s="1"/>
  <c r="AZ133" i="41"/>
  <c r="BA133" i="41" s="1"/>
  <c r="BB133" i="41" s="1"/>
  <c r="BC133" i="41" s="1"/>
  <c r="BD133" i="41" s="1"/>
  <c r="BE133" i="41" s="1"/>
  <c r="BF133" i="41" s="1"/>
  <c r="BG133" i="41" s="1"/>
  <c r="AZ132" i="41"/>
  <c r="BA132" i="41" s="1"/>
  <c r="BB132" i="41" s="1"/>
  <c r="BC132" i="41" s="1"/>
  <c r="BD132" i="41" s="1"/>
  <c r="BE132" i="41" s="1"/>
  <c r="BF132" i="41" s="1"/>
  <c r="BG132" i="41" s="1"/>
  <c r="AZ131" i="41"/>
  <c r="BA131" i="41" s="1"/>
  <c r="BB131" i="41" s="1"/>
  <c r="BC131" i="41" s="1"/>
  <c r="BD131" i="41" s="1"/>
  <c r="BE131" i="41" s="1"/>
  <c r="BF131" i="41" s="1"/>
  <c r="BG131" i="41" s="1"/>
  <c r="AZ130" i="41"/>
  <c r="BA130" i="41" s="1"/>
  <c r="BB130" i="41" s="1"/>
  <c r="BC130" i="41" s="1"/>
  <c r="BD130" i="41" s="1"/>
  <c r="BE130" i="41" s="1"/>
  <c r="BF130" i="41" s="1"/>
  <c r="BG130" i="41" s="1"/>
  <c r="BD129" i="41"/>
  <c r="BE129" i="41" s="1"/>
  <c r="BF129" i="41" s="1"/>
  <c r="BG129" i="41" s="1"/>
  <c r="AZ129" i="41"/>
  <c r="BA129" i="41" s="1"/>
  <c r="BB129" i="41" s="1"/>
  <c r="BC129" i="41" s="1"/>
  <c r="AZ128" i="41"/>
  <c r="BA128" i="41" s="1"/>
  <c r="BB128" i="41" s="1"/>
  <c r="BC128" i="41" s="1"/>
  <c r="BD128" i="41" s="1"/>
  <c r="BE128" i="41" s="1"/>
  <c r="BF128" i="41" s="1"/>
  <c r="BG128" i="41" s="1"/>
  <c r="BB127" i="41"/>
  <c r="BA127" i="41"/>
  <c r="AZ127" i="41"/>
  <c r="AY127" i="41"/>
  <c r="AX127" i="41"/>
  <c r="AW127" i="41"/>
  <c r="AV127" i="41"/>
  <c r="AU127" i="41"/>
  <c r="AT127" i="41"/>
  <c r="AS127" i="41"/>
  <c r="AR127" i="41"/>
  <c r="AQ127" i="41"/>
  <c r="AP127" i="41"/>
  <c r="AO127" i="41"/>
  <c r="AN127" i="41"/>
  <c r="AM127" i="41"/>
  <c r="AL127" i="41"/>
  <c r="AK127" i="41"/>
  <c r="AJ127" i="41"/>
  <c r="AI127" i="41"/>
  <c r="AH127" i="41"/>
  <c r="AG127" i="41"/>
  <c r="AF127" i="41"/>
  <c r="AE127" i="41"/>
  <c r="BC126" i="41"/>
  <c r="BC127" i="41" s="1"/>
  <c r="BC125" i="41"/>
  <c r="BD125" i="41" s="1"/>
  <c r="BE125" i="41" s="1"/>
  <c r="BF125" i="41" s="1"/>
  <c r="BG125" i="41" s="1"/>
  <c r="BC124" i="41"/>
  <c r="BD124" i="41" s="1"/>
  <c r="BE124" i="41" s="1"/>
  <c r="BF124" i="41" s="1"/>
  <c r="BG124" i="41" s="1"/>
  <c r="BC123" i="41"/>
  <c r="BD123" i="41" s="1"/>
  <c r="BE123" i="41" s="1"/>
  <c r="BF123" i="41" s="1"/>
  <c r="BG123" i="41" s="1"/>
  <c r="BC122" i="41"/>
  <c r="BD122" i="41" s="1"/>
  <c r="BE122" i="41" s="1"/>
  <c r="BF122" i="41" s="1"/>
  <c r="BG122" i="41" s="1"/>
  <c r="BC121" i="41"/>
  <c r="BD121" i="41" s="1"/>
  <c r="BE121" i="41" s="1"/>
  <c r="BF121" i="41" s="1"/>
  <c r="BG121" i="41" s="1"/>
  <c r="Z54" i="41"/>
  <c r="AI48" i="41"/>
  <c r="AH48" i="41"/>
  <c r="AG48" i="41"/>
  <c r="AF48" i="41"/>
  <c r="AJ47" i="41"/>
  <c r="AK47" i="41" s="1"/>
  <c r="AI46" i="41"/>
  <c r="AI45" i="41"/>
  <c r="AH45" i="41"/>
  <c r="AG45" i="41"/>
  <c r="AF45" i="41"/>
  <c r="AE45" i="41"/>
  <c r="AL44" i="41"/>
  <c r="AI44" i="41"/>
  <c r="AH44" i="41"/>
  <c r="AH46" i="41" s="1"/>
  <c r="AG44" i="41"/>
  <c r="AG46" i="41" s="1"/>
  <c r="AF44" i="41"/>
  <c r="AF46" i="41" s="1"/>
  <c r="AE44" i="41"/>
  <c r="AE46" i="41" s="1"/>
  <c r="AL43" i="41"/>
  <c r="AM43" i="41" s="1"/>
  <c r="AK43" i="41"/>
  <c r="AK44" i="41" s="1"/>
  <c r="AJ43" i="41"/>
  <c r="AJ44" i="41" s="1"/>
  <c r="AI41" i="41"/>
  <c r="AJ39" i="41"/>
  <c r="AJ42" i="41" s="1"/>
  <c r="AJ37" i="41"/>
  <c r="AK37" i="41" s="1"/>
  <c r="AL37" i="41" s="1"/>
  <c r="AM37" i="41" s="1"/>
  <c r="AN37" i="41" s="1"/>
  <c r="AO37" i="41" s="1"/>
  <c r="AP37" i="41" s="1"/>
  <c r="AQ37" i="41" s="1"/>
  <c r="AR37" i="41" s="1"/>
  <c r="AS37" i="41" s="1"/>
  <c r="AT37" i="41" s="1"/>
  <c r="AU37" i="41" s="1"/>
  <c r="AV37" i="41" s="1"/>
  <c r="AW37" i="41" s="1"/>
  <c r="AX37" i="41" s="1"/>
  <c r="AY37" i="41" s="1"/>
  <c r="AZ37" i="41" s="1"/>
  <c r="BA37" i="41" s="1"/>
  <c r="BB37" i="41" s="1"/>
  <c r="BC37" i="41" s="1"/>
  <c r="BD37" i="41" s="1"/>
  <c r="BE37" i="41" s="1"/>
  <c r="BF37" i="41" s="1"/>
  <c r="BG37" i="41" s="1"/>
  <c r="AI36" i="41"/>
  <c r="AI8" i="41" s="1"/>
  <c r="AH36" i="41"/>
  <c r="AH529" i="41" s="1"/>
  <c r="AG36" i="41"/>
  <c r="AG529" i="41" s="1"/>
  <c r="AF36" i="41"/>
  <c r="AF529" i="41" s="1"/>
  <c r="AE36" i="41"/>
  <c r="AE529" i="41" s="1"/>
  <c r="AJ35" i="41"/>
  <c r="AE34" i="41"/>
  <c r="AF34" i="41" s="1"/>
  <c r="AG34" i="41" s="1"/>
  <c r="AH34" i="41" s="1"/>
  <c r="AI34" i="41" s="1"/>
  <c r="AJ34" i="41" s="1"/>
  <c r="AK34" i="41" s="1"/>
  <c r="AL34" i="41" s="1"/>
  <c r="AM34" i="41" s="1"/>
  <c r="AN34" i="41" s="1"/>
  <c r="AO34" i="41" s="1"/>
  <c r="AP34" i="41" s="1"/>
  <c r="AQ34" i="41" s="1"/>
  <c r="AR34" i="41" s="1"/>
  <c r="AS34" i="41" s="1"/>
  <c r="AT34" i="41" s="1"/>
  <c r="AU34" i="41" s="1"/>
  <c r="AV34" i="41" s="1"/>
  <c r="AW34" i="41" s="1"/>
  <c r="AX34" i="41" s="1"/>
  <c r="AY34" i="41" s="1"/>
  <c r="AZ34" i="41" s="1"/>
  <c r="BA34" i="41" s="1"/>
  <c r="BB34" i="41" s="1"/>
  <c r="BC34" i="41" s="1"/>
  <c r="BD34" i="41" s="1"/>
  <c r="BE34" i="41" s="1"/>
  <c r="BF34" i="41" s="1"/>
  <c r="BG34" i="41" s="1"/>
  <c r="AE33" i="41"/>
  <c r="AF33" i="41" s="1"/>
  <c r="AG33" i="41" s="1"/>
  <c r="AH33" i="41" s="1"/>
  <c r="AI33" i="41" s="1"/>
  <c r="AJ33" i="41" s="1"/>
  <c r="AK33" i="41" s="1"/>
  <c r="AL33" i="41" s="1"/>
  <c r="AM33" i="41" s="1"/>
  <c r="AN33" i="41" s="1"/>
  <c r="AO33" i="41" s="1"/>
  <c r="AP33" i="41" s="1"/>
  <c r="AQ33" i="41" s="1"/>
  <c r="AR33" i="41" s="1"/>
  <c r="AS33" i="41" s="1"/>
  <c r="AT33" i="41" s="1"/>
  <c r="AU33" i="41" s="1"/>
  <c r="AV33" i="41" s="1"/>
  <c r="AW33" i="41" s="1"/>
  <c r="AX33" i="41" s="1"/>
  <c r="AY33" i="41" s="1"/>
  <c r="AZ33" i="41" s="1"/>
  <c r="BA33" i="41" s="1"/>
  <c r="BB33" i="41" s="1"/>
  <c r="BC33" i="41" s="1"/>
  <c r="BD33" i="41" s="1"/>
  <c r="BE33" i="41" s="1"/>
  <c r="BF33" i="41" s="1"/>
  <c r="BG33" i="41" s="1"/>
  <c r="AE32" i="41"/>
  <c r="AF32" i="41" s="1"/>
  <c r="AG32" i="41" s="1"/>
  <c r="AH32" i="41" s="1"/>
  <c r="AI32" i="41" s="1"/>
  <c r="AJ32" i="41" s="1"/>
  <c r="AK32" i="41" s="1"/>
  <c r="AL32" i="41" s="1"/>
  <c r="AM32" i="41" s="1"/>
  <c r="AN32" i="41" s="1"/>
  <c r="AO32" i="41" s="1"/>
  <c r="AP32" i="41" s="1"/>
  <c r="AQ32" i="41" s="1"/>
  <c r="AR32" i="41" s="1"/>
  <c r="AS32" i="41" s="1"/>
  <c r="AT32" i="41" s="1"/>
  <c r="AU32" i="41" s="1"/>
  <c r="AV32" i="41" s="1"/>
  <c r="AW32" i="41" s="1"/>
  <c r="AX32" i="41" s="1"/>
  <c r="AY32" i="41" s="1"/>
  <c r="AZ32" i="41" s="1"/>
  <c r="BA32" i="41" s="1"/>
  <c r="BB32" i="41" s="1"/>
  <c r="BC32" i="41" s="1"/>
  <c r="BD32" i="41" s="1"/>
  <c r="BE32" i="41" s="1"/>
  <c r="BF32" i="41" s="1"/>
  <c r="BG32" i="41" s="1"/>
  <c r="AF31" i="41"/>
  <c r="AG31" i="41" s="1"/>
  <c r="AH31" i="41" s="1"/>
  <c r="AI31" i="41" s="1"/>
  <c r="AJ31" i="41" s="1"/>
  <c r="AK31" i="41" s="1"/>
  <c r="AL31" i="41" s="1"/>
  <c r="AM31" i="41" s="1"/>
  <c r="AN31" i="41" s="1"/>
  <c r="AO31" i="41" s="1"/>
  <c r="AP31" i="41" s="1"/>
  <c r="AQ31" i="41" s="1"/>
  <c r="AR31" i="41" s="1"/>
  <c r="AS31" i="41" s="1"/>
  <c r="AT31" i="41" s="1"/>
  <c r="AU31" i="41" s="1"/>
  <c r="AV31" i="41" s="1"/>
  <c r="AW31" i="41" s="1"/>
  <c r="AX31" i="41" s="1"/>
  <c r="AY31" i="41" s="1"/>
  <c r="AZ31" i="41" s="1"/>
  <c r="BA31" i="41" s="1"/>
  <c r="BB31" i="41" s="1"/>
  <c r="BC31" i="41" s="1"/>
  <c r="BD31" i="41" s="1"/>
  <c r="BE31" i="41" s="1"/>
  <c r="BF31" i="41" s="1"/>
  <c r="BG31" i="41" s="1"/>
  <c r="AE31" i="41"/>
  <c r="AK30" i="41"/>
  <c r="AJ30" i="41"/>
  <c r="AI30" i="41"/>
  <c r="AH30" i="41"/>
  <c r="AG30" i="41"/>
  <c r="AF30" i="41"/>
  <c r="AE30" i="41"/>
  <c r="AK29" i="41"/>
  <c r="AL29" i="41" s="1"/>
  <c r="BB28" i="41"/>
  <c r="BA28" i="41"/>
  <c r="AZ28" i="41"/>
  <c r="AY28" i="41"/>
  <c r="AX28" i="41"/>
  <c r="AW28" i="41"/>
  <c r="AV28" i="41"/>
  <c r="AU28" i="41"/>
  <c r="AT28" i="41"/>
  <c r="AS28" i="41"/>
  <c r="AR28" i="41"/>
  <c r="AQ28" i="41"/>
  <c r="AP28" i="41"/>
  <c r="AO28" i="41"/>
  <c r="AN28" i="41"/>
  <c r="AM28" i="41"/>
  <c r="AL28" i="41"/>
  <c r="AK28" i="41"/>
  <c r="AJ28" i="41"/>
  <c r="AI28" i="41"/>
  <c r="AH28" i="41"/>
  <c r="AG28" i="41"/>
  <c r="AF28" i="41"/>
  <c r="AE28" i="41"/>
  <c r="AG27" i="41"/>
  <c r="AF27" i="41"/>
  <c r="AE27" i="41"/>
  <c r="AI26" i="41"/>
  <c r="AH26" i="41"/>
  <c r="AG26" i="41"/>
  <c r="AF26" i="41"/>
  <c r="AE26" i="41"/>
  <c r="AJ25" i="41"/>
  <c r="AI24" i="41"/>
  <c r="AH24" i="41"/>
  <c r="AG24" i="41"/>
  <c r="AF24" i="41"/>
  <c r="AE24" i="41"/>
  <c r="AJ23" i="41"/>
  <c r="AJ24" i="41" s="1"/>
  <c r="AJ21" i="41"/>
  <c r="AJ20" i="41"/>
  <c r="AK20" i="41" s="1"/>
  <c r="AL20" i="41" s="1"/>
  <c r="AM20" i="41" s="1"/>
  <c r="AN20" i="41" s="1"/>
  <c r="AO20" i="41" s="1"/>
  <c r="AP20" i="41" s="1"/>
  <c r="AQ20" i="41" s="1"/>
  <c r="AR20" i="41" s="1"/>
  <c r="AS20" i="41" s="1"/>
  <c r="AT20" i="41" s="1"/>
  <c r="AU20" i="41" s="1"/>
  <c r="AV20" i="41" s="1"/>
  <c r="AW20" i="41" s="1"/>
  <c r="AX20" i="41" s="1"/>
  <c r="AY20" i="41" s="1"/>
  <c r="AZ20" i="41" s="1"/>
  <c r="BA20" i="41" s="1"/>
  <c r="BB20" i="41" s="1"/>
  <c r="BC20" i="41" s="1"/>
  <c r="BD20" i="41" s="1"/>
  <c r="BE20" i="41" s="1"/>
  <c r="BF20" i="41" s="1"/>
  <c r="BG20" i="41" s="1"/>
  <c r="AE18" i="41"/>
  <c r="AF18" i="41" s="1"/>
  <c r="AG18" i="41" s="1"/>
  <c r="AH18" i="41" s="1"/>
  <c r="AI18" i="41" s="1"/>
  <c r="AJ18" i="41" s="1"/>
  <c r="AK18" i="41" s="1"/>
  <c r="AL18" i="41" s="1"/>
  <c r="AM18" i="41" s="1"/>
  <c r="AN18" i="41" s="1"/>
  <c r="AO18" i="41" s="1"/>
  <c r="AP18" i="41" s="1"/>
  <c r="AQ18" i="41" s="1"/>
  <c r="AR18" i="41" s="1"/>
  <c r="AS18" i="41" s="1"/>
  <c r="AT18" i="41" s="1"/>
  <c r="AU18" i="41" s="1"/>
  <c r="AV18" i="41" s="1"/>
  <c r="AW18" i="41" s="1"/>
  <c r="AX18" i="41" s="1"/>
  <c r="AY18" i="41" s="1"/>
  <c r="AZ18" i="41" s="1"/>
  <c r="BA18" i="41" s="1"/>
  <c r="BB18" i="41" s="1"/>
  <c r="BC18" i="41" s="1"/>
  <c r="BD18" i="41" s="1"/>
  <c r="BE18" i="41" s="1"/>
  <c r="BF18" i="41" s="1"/>
  <c r="BG18" i="41" s="1"/>
  <c r="AE17" i="41"/>
  <c r="AF17" i="41" s="1"/>
  <c r="AG17" i="41" s="1"/>
  <c r="AH17" i="41" s="1"/>
  <c r="AI17" i="41" s="1"/>
  <c r="AJ17" i="41" s="1"/>
  <c r="AK17" i="41" s="1"/>
  <c r="AL17" i="41" s="1"/>
  <c r="AM17" i="41" s="1"/>
  <c r="AN17" i="41" s="1"/>
  <c r="AO17" i="41" s="1"/>
  <c r="AP17" i="41" s="1"/>
  <c r="AQ17" i="41" s="1"/>
  <c r="AR17" i="41" s="1"/>
  <c r="AS17" i="41" s="1"/>
  <c r="AT17" i="41" s="1"/>
  <c r="AU17" i="41" s="1"/>
  <c r="AV17" i="41" s="1"/>
  <c r="AW17" i="41" s="1"/>
  <c r="AX17" i="41" s="1"/>
  <c r="AY17" i="41" s="1"/>
  <c r="AZ17" i="41" s="1"/>
  <c r="BA17" i="41" s="1"/>
  <c r="BB17" i="41" s="1"/>
  <c r="BC17" i="41" s="1"/>
  <c r="BD17" i="41" s="1"/>
  <c r="BE17" i="41" s="1"/>
  <c r="BF17" i="41" s="1"/>
  <c r="BG17" i="41" s="1"/>
  <c r="AE16" i="41"/>
  <c r="AF16" i="41" s="1"/>
  <c r="AG16" i="41" s="1"/>
  <c r="AH16" i="41" s="1"/>
  <c r="AI16" i="41" s="1"/>
  <c r="AJ16" i="41" s="1"/>
  <c r="AK16" i="41" s="1"/>
  <c r="AL16" i="41" s="1"/>
  <c r="AM16" i="41" s="1"/>
  <c r="AN16" i="41" s="1"/>
  <c r="AO16" i="41" s="1"/>
  <c r="AP16" i="41" s="1"/>
  <c r="AQ16" i="41" s="1"/>
  <c r="AR16" i="41" s="1"/>
  <c r="AS16" i="41" s="1"/>
  <c r="AT16" i="41" s="1"/>
  <c r="AU16" i="41" s="1"/>
  <c r="AV16" i="41" s="1"/>
  <c r="AW16" i="41" s="1"/>
  <c r="AX16" i="41" s="1"/>
  <c r="AY16" i="41" s="1"/>
  <c r="AZ16" i="41" s="1"/>
  <c r="BA16" i="41" s="1"/>
  <c r="BB16" i="41" s="1"/>
  <c r="BC16" i="41" s="1"/>
  <c r="BD16" i="41" s="1"/>
  <c r="BE16" i="41" s="1"/>
  <c r="BF16" i="41" s="1"/>
  <c r="BG16" i="41" s="1"/>
  <c r="AJ15" i="41"/>
  <c r="AI15" i="41"/>
  <c r="AH15" i="41"/>
  <c r="AG15" i="41"/>
  <c r="AF15" i="41"/>
  <c r="AE15" i="41"/>
  <c r="AJ14" i="41"/>
  <c r="AE13" i="41"/>
  <c r="AF13" i="41" s="1"/>
  <c r="AG13" i="41" s="1"/>
  <c r="AH13" i="41" s="1"/>
  <c r="AI13" i="41" s="1"/>
  <c r="AJ13" i="41" s="1"/>
  <c r="AK13" i="41" s="1"/>
  <c r="AL13" i="41" s="1"/>
  <c r="AM13" i="41" s="1"/>
  <c r="AN13" i="41" s="1"/>
  <c r="AO13" i="41" s="1"/>
  <c r="AP13" i="41" s="1"/>
  <c r="AQ13" i="41" s="1"/>
  <c r="AR13" i="41" s="1"/>
  <c r="AS13" i="41" s="1"/>
  <c r="AT13" i="41" s="1"/>
  <c r="AU13" i="41" s="1"/>
  <c r="AV13" i="41" s="1"/>
  <c r="AW13" i="41" s="1"/>
  <c r="AX13" i="41" s="1"/>
  <c r="AY13" i="41" s="1"/>
  <c r="AZ13" i="41" s="1"/>
  <c r="BA13" i="41" s="1"/>
  <c r="BB13" i="41" s="1"/>
  <c r="BC13" i="41" s="1"/>
  <c r="BD13" i="41" s="1"/>
  <c r="BE13" i="41" s="1"/>
  <c r="BF13" i="41" s="1"/>
  <c r="BG13" i="41" s="1"/>
  <c r="AE12" i="41"/>
  <c r="AF12" i="41" s="1"/>
  <c r="AG12" i="41" s="1"/>
  <c r="AH12" i="41" s="1"/>
  <c r="AI12" i="41" s="1"/>
  <c r="AJ12" i="41" s="1"/>
  <c r="AK12" i="41" s="1"/>
  <c r="AL12" i="41" s="1"/>
  <c r="AM12" i="41" s="1"/>
  <c r="AN12" i="41" s="1"/>
  <c r="AO12" i="41" s="1"/>
  <c r="AP12" i="41" s="1"/>
  <c r="AQ12" i="41" s="1"/>
  <c r="AR12" i="41" s="1"/>
  <c r="AS12" i="41" s="1"/>
  <c r="AT12" i="41" s="1"/>
  <c r="AU12" i="41" s="1"/>
  <c r="AV12" i="41" s="1"/>
  <c r="AW12" i="41" s="1"/>
  <c r="AX12" i="41" s="1"/>
  <c r="AY12" i="41" s="1"/>
  <c r="AZ12" i="41" s="1"/>
  <c r="BA12" i="41" s="1"/>
  <c r="BB12" i="41" s="1"/>
  <c r="BC12" i="41" s="1"/>
  <c r="BD12" i="41" s="1"/>
  <c r="BE12" i="41" s="1"/>
  <c r="BF12" i="41" s="1"/>
  <c r="BG12" i="41" s="1"/>
  <c r="AJ11" i="41"/>
  <c r="AK10" i="41"/>
  <c r="AL10" i="41" s="1"/>
  <c r="AM10" i="41" s="1"/>
  <c r="AN10" i="41" s="1"/>
  <c r="AO10" i="41" s="1"/>
  <c r="AP10" i="41" s="1"/>
  <c r="AQ10" i="41" s="1"/>
  <c r="AR10" i="41" s="1"/>
  <c r="AS10" i="41" s="1"/>
  <c r="AT10" i="41" s="1"/>
  <c r="AU10" i="41" s="1"/>
  <c r="AV10" i="41" s="1"/>
  <c r="AW10" i="41" s="1"/>
  <c r="AX10" i="41" s="1"/>
  <c r="AY10" i="41" s="1"/>
  <c r="AZ10" i="41" s="1"/>
  <c r="BA10" i="41" s="1"/>
  <c r="BB10" i="41" s="1"/>
  <c r="BC10" i="41" s="1"/>
  <c r="BD10" i="41" s="1"/>
  <c r="BE10" i="41" s="1"/>
  <c r="BF10" i="41" s="1"/>
  <c r="BG10" i="41" s="1"/>
  <c r="AJ10" i="41"/>
  <c r="AJ9" i="41"/>
  <c r="AK9" i="41" s="1"/>
  <c r="AK546" i="41" s="1"/>
  <c r="AH8" i="41"/>
  <c r="AG8" i="41"/>
  <c r="AF8" i="41"/>
  <c r="AJ7" i="41"/>
  <c r="AJ6" i="41"/>
  <c r="AK5" i="41"/>
  <c r="AK273" i="41" s="1"/>
  <c r="BC4" i="41"/>
  <c r="BC28" i="41" s="1"/>
  <c r="AK3" i="41"/>
  <c r="AK2" i="41"/>
  <c r="AE256" i="37"/>
  <c r="AD256" i="37"/>
  <c r="AC256" i="37"/>
  <c r="AB256" i="37"/>
  <c r="AA256" i="37"/>
  <c r="Z256" i="37"/>
  <c r="Y256" i="37"/>
  <c r="Y261" i="37" s="1"/>
  <c r="AE255" i="37"/>
  <c r="AD255" i="37"/>
  <c r="AC255" i="37"/>
  <c r="AB255" i="37"/>
  <c r="AA255" i="37"/>
  <c r="Z255" i="37"/>
  <c r="Y255" i="37"/>
  <c r="Y260" i="37" s="1"/>
  <c r="Z260" i="37" s="1"/>
  <c r="AA260" i="37" s="1"/>
  <c r="AB260" i="37" s="1"/>
  <c r="AC260" i="37" s="1"/>
  <c r="AD260" i="37" s="1"/>
  <c r="AE260" i="37" s="1"/>
  <c r="AF260" i="37" s="1"/>
  <c r="AG260" i="37" s="1"/>
  <c r="AH260" i="37" s="1"/>
  <c r="AI260" i="37" s="1"/>
  <c r="AJ260" i="37" s="1"/>
  <c r="AK260" i="37" s="1"/>
  <c r="AL260" i="37" s="1"/>
  <c r="AM260" i="37" s="1"/>
  <c r="AE254" i="37"/>
  <c r="AD254" i="37"/>
  <c r="AC254" i="37"/>
  <c r="AB254" i="37"/>
  <c r="AA254" i="37"/>
  <c r="Z254" i="37"/>
  <c r="Y254" i="37"/>
  <c r="Y259" i="37" s="1"/>
  <c r="Z259" i="37" s="1"/>
  <c r="AD253" i="37"/>
  <c r="AC253" i="37"/>
  <c r="AB253" i="37"/>
  <c r="AA253" i="37"/>
  <c r="Z253" i="37"/>
  <c r="Y253" i="37"/>
  <c r="AD252" i="37"/>
  <c r="AC252" i="37"/>
  <c r="AB252" i="37"/>
  <c r="AA252" i="37"/>
  <c r="Z252" i="37"/>
  <c r="Y252" i="37"/>
  <c r="BB256" i="37"/>
  <c r="BA256" i="37"/>
  <c r="AZ256" i="37"/>
  <c r="AY256" i="37"/>
  <c r="AX256" i="37"/>
  <c r="AW256" i="37"/>
  <c r="AV256" i="37"/>
  <c r="AU256" i="37"/>
  <c r="AT256" i="37"/>
  <c r="AS256" i="37"/>
  <c r="AR256" i="37"/>
  <c r="AQ256" i="37"/>
  <c r="AP256" i="37"/>
  <c r="AO256" i="37"/>
  <c r="AN256" i="37"/>
  <c r="AM256" i="37"/>
  <c r="AL256" i="37"/>
  <c r="AK256" i="37"/>
  <c r="AJ256" i="37"/>
  <c r="AI256" i="37"/>
  <c r="AH256" i="37"/>
  <c r="AG256" i="37"/>
  <c r="AF256" i="37"/>
  <c r="BB255" i="37"/>
  <c r="BA255" i="37"/>
  <c r="AZ255" i="37"/>
  <c r="AY255" i="37"/>
  <c r="AX255" i="37"/>
  <c r="AW255" i="37"/>
  <c r="AV255" i="37"/>
  <c r="AU255" i="37"/>
  <c r="AT255" i="37"/>
  <c r="AS255" i="37"/>
  <c r="AR255" i="37"/>
  <c r="AQ255" i="37"/>
  <c r="AP255" i="37"/>
  <c r="AO255" i="37"/>
  <c r="AN255" i="37"/>
  <c r="AM255" i="37"/>
  <c r="AL255" i="37"/>
  <c r="AK255" i="37"/>
  <c r="AJ255" i="37"/>
  <c r="AI255" i="37"/>
  <c r="AH255" i="37"/>
  <c r="AG255" i="37"/>
  <c r="AF255" i="37"/>
  <c r="BB254" i="37"/>
  <c r="BA254" i="37"/>
  <c r="AZ254" i="37"/>
  <c r="AY254" i="37"/>
  <c r="AX254" i="37"/>
  <c r="AW254" i="37"/>
  <c r="AV254" i="37"/>
  <c r="AU254" i="37"/>
  <c r="AT254" i="37"/>
  <c r="AS254" i="37"/>
  <c r="AR254" i="37"/>
  <c r="AQ254" i="37"/>
  <c r="AP254" i="37"/>
  <c r="AO254" i="37"/>
  <c r="AN254" i="37"/>
  <c r="AM254" i="37"/>
  <c r="AL254" i="37"/>
  <c r="AK254" i="37"/>
  <c r="AJ254" i="37"/>
  <c r="AI254" i="37"/>
  <c r="AH254" i="37"/>
  <c r="AG254" i="37"/>
  <c r="AF254" i="37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6" i="36"/>
  <c r="G15" i="36"/>
  <c r="G14" i="36"/>
  <c r="AM29" i="41" l="1"/>
  <c r="AL30" i="41"/>
  <c r="AH252" i="41"/>
  <c r="AP252" i="41"/>
  <c r="AX252" i="41"/>
  <c r="BE249" i="41"/>
  <c r="BD256" i="41"/>
  <c r="BE256" i="41"/>
  <c r="BD126" i="41"/>
  <c r="AJ252" i="41"/>
  <c r="AR252" i="41"/>
  <c r="AZ252" i="41"/>
  <c r="AJ253" i="41"/>
  <c r="AR253" i="41"/>
  <c r="AZ253" i="41"/>
  <c r="BC254" i="41"/>
  <c r="AI511" i="41"/>
  <c r="AH521" i="41"/>
  <c r="Z261" i="37"/>
  <c r="AA261" i="37" s="1"/>
  <c r="AB261" i="37" s="1"/>
  <c r="AC261" i="37" s="1"/>
  <c r="AD261" i="37" s="1"/>
  <c r="AE261" i="37" s="1"/>
  <c r="AF261" i="37" s="1"/>
  <c r="AG261" i="37" s="1"/>
  <c r="AH261" i="37" s="1"/>
  <c r="AI261" i="37" s="1"/>
  <c r="AJ261" i="37" s="1"/>
  <c r="AK261" i="37" s="1"/>
  <c r="AL261" i="37" s="1"/>
  <c r="AM261" i="37" s="1"/>
  <c r="AK19" i="41"/>
  <c r="AK39" i="41"/>
  <c r="AK42" i="41" s="1"/>
  <c r="AK252" i="41"/>
  <c r="AS252" i="41"/>
  <c r="BA252" i="41"/>
  <c r="AS253" i="41"/>
  <c r="BD250" i="41"/>
  <c r="AG260" i="41"/>
  <c r="AH260" i="41" s="1"/>
  <c r="AI260" i="41" s="1"/>
  <c r="AJ260" i="41" s="1"/>
  <c r="AK260" i="41" s="1"/>
  <c r="AL260" i="41" s="1"/>
  <c r="AM260" i="41" s="1"/>
  <c r="AJ274" i="41"/>
  <c r="AJ518" i="41"/>
  <c r="AI526" i="41"/>
  <c r="AA259" i="37"/>
  <c r="AB259" i="37" s="1"/>
  <c r="AC259" i="37" s="1"/>
  <c r="AD259" i="37" s="1"/>
  <c r="BD4" i="41"/>
  <c r="BD28" i="41" s="1"/>
  <c r="AJ48" i="41"/>
  <c r="AJ197" i="41"/>
  <c r="AK197" i="41" s="1"/>
  <c r="AJ202" i="41"/>
  <c r="AK202" i="41" s="1"/>
  <c r="AM252" i="41"/>
  <c r="AU252" i="41"/>
  <c r="AJ510" i="41"/>
  <c r="AJ509" i="41" s="1"/>
  <c r="AI522" i="41"/>
  <c r="AJ22" i="41"/>
  <c r="AJ49" i="41"/>
  <c r="AK49" i="41" s="1"/>
  <c r="AN253" i="41"/>
  <c r="AV253" i="41"/>
  <c r="AZ281" i="41"/>
  <c r="AE259" i="37"/>
  <c r="AF259" i="37" s="1"/>
  <c r="AG259" i="37" s="1"/>
  <c r="AH259" i="37" s="1"/>
  <c r="AI259" i="37" s="1"/>
  <c r="AJ259" i="37" s="1"/>
  <c r="AK259" i="37" s="1"/>
  <c r="AL259" i="37" s="1"/>
  <c r="AM259" i="37" s="1"/>
  <c r="G256" i="37"/>
  <c r="AJ8" i="41"/>
  <c r="AL5" i="41"/>
  <c r="AJ46" i="41"/>
  <c r="AJ203" i="41"/>
  <c r="AK203" i="41" s="1"/>
  <c r="AI204" i="41"/>
  <c r="AJ204" i="41" s="1"/>
  <c r="AK204" i="41" s="1"/>
  <c r="AK223" i="41"/>
  <c r="AK224" i="41"/>
  <c r="AK6" i="41"/>
  <c r="AJ546" i="41"/>
  <c r="AJ19" i="41"/>
  <c r="AG261" i="41"/>
  <c r="AH261" i="41" s="1"/>
  <c r="AI261" i="41" s="1"/>
  <c r="AJ261" i="41" s="1"/>
  <c r="AK261" i="41" s="1"/>
  <c r="AL261" i="41" s="1"/>
  <c r="AM261" i="41" s="1"/>
  <c r="G256" i="41"/>
  <c r="AI529" i="41"/>
  <c r="AJ36" i="41"/>
  <c r="AN43" i="41"/>
  <c r="AM44" i="41"/>
  <c r="AK759" i="41"/>
  <c r="AK758" i="41"/>
  <c r="AK757" i="41"/>
  <c r="AK483" i="41"/>
  <c r="AK484" i="41" s="1"/>
  <c r="AK485" i="41" s="1"/>
  <c r="AK486" i="41" s="1"/>
  <c r="AK487" i="41" s="1"/>
  <c r="AK488" i="41" s="1"/>
  <c r="AK489" i="41" s="1"/>
  <c r="AK490" i="41" s="1"/>
  <c r="AK271" i="41"/>
  <c r="AK270" i="41"/>
  <c r="AK279" i="41"/>
  <c r="AK278" i="41"/>
  <c r="AK274" i="41" s="1"/>
  <c r="AK275" i="41"/>
  <c r="AK282" i="41"/>
  <c r="AK272" i="41" s="1"/>
  <c r="AK208" i="41"/>
  <c r="BE4" i="41"/>
  <c r="AL9" i="41"/>
  <c r="AJ309" i="41"/>
  <c r="AJ303" i="41"/>
  <c r="AJ45" i="41"/>
  <c r="AK22" i="41"/>
  <c r="AK196" i="41"/>
  <c r="AK253" i="41"/>
  <c r="AL253" i="41"/>
  <c r="BA253" i="41"/>
  <c r="BB253" i="41"/>
  <c r="AK547" i="41"/>
  <c r="AK313" i="41" s="1"/>
  <c r="AK545" i="41"/>
  <c r="AK424" i="41"/>
  <c r="AK280" i="41"/>
  <c r="AK422" i="41"/>
  <c r="AL3" i="41"/>
  <c r="AL2" i="41"/>
  <c r="AK14" i="41"/>
  <c r="AJ528" i="41"/>
  <c r="AJ305" i="41"/>
  <c r="AK35" i="41"/>
  <c r="BC245" i="41"/>
  <c r="BC252" i="41" s="1"/>
  <c r="BD247" i="41"/>
  <c r="AK198" i="41"/>
  <c r="AK205" i="41"/>
  <c r="AH253" i="41"/>
  <c r="AG253" i="41"/>
  <c r="AP253" i="41"/>
  <c r="AO253" i="41"/>
  <c r="AX253" i="41"/>
  <c r="AW253" i="41"/>
  <c r="AK48" i="41"/>
  <c r="AL47" i="41"/>
  <c r="AK206" i="41"/>
  <c r="AI252" i="41"/>
  <c r="AQ252" i="41"/>
  <c r="AY252" i="41"/>
  <c r="AH40" i="41"/>
  <c r="AJ41" i="41"/>
  <c r="AK199" i="41"/>
  <c r="AK207" i="41"/>
  <c r="BC246" i="41"/>
  <c r="BC253" i="41" s="1"/>
  <c r="BD248" i="41"/>
  <c r="AJ272" i="41"/>
  <c r="BG340" i="41"/>
  <c r="BG256" i="41" s="1"/>
  <c r="BF256" i="41"/>
  <c r="AJ530" i="41"/>
  <c r="AI531" i="41"/>
  <c r="BA281" i="41"/>
  <c r="BB242" i="41"/>
  <c r="AK423" i="41"/>
  <c r="AL423" i="41" s="1"/>
  <c r="AK425" i="41"/>
  <c r="AL425" i="41" s="1"/>
  <c r="AK321" i="41"/>
  <c r="AK323" i="41"/>
  <c r="AI516" i="41"/>
  <c r="AH516" i="41"/>
  <c r="AI515" i="41"/>
  <c r="AI513" i="41"/>
  <c r="AI523" i="41"/>
  <c r="AJ522" i="41"/>
  <c r="AH533" i="41"/>
  <c r="AH535" i="41"/>
  <c r="AI534" i="41"/>
  <c r="AJ514" i="41"/>
  <c r="AJ508" i="41"/>
  <c r="AI508" i="41"/>
  <c r="AJ511" i="41"/>
  <c r="AK510" i="41"/>
  <c r="AI525" i="41"/>
  <c r="AI524" i="41" s="1"/>
  <c r="AH519" i="41"/>
  <c r="AJ526" i="41" l="1"/>
  <c r="AI527" i="41"/>
  <c r="BE254" i="41"/>
  <c r="BF249" i="41"/>
  <c r="AK518" i="41"/>
  <c r="AJ519" i="41"/>
  <c r="AL422" i="41"/>
  <c r="AI521" i="41"/>
  <c r="AI520" i="41" s="1"/>
  <c r="AH520" i="41"/>
  <c r="AK11" i="41"/>
  <c r="AL424" i="41"/>
  <c r="AL39" i="41"/>
  <c r="AK25" i="41"/>
  <c r="BD127" i="41"/>
  <c r="BE126" i="41"/>
  <c r="AJ517" i="41"/>
  <c r="AJ516" i="41" s="1"/>
  <c r="AN29" i="41"/>
  <c r="AM30" i="41"/>
  <c r="AL323" i="41"/>
  <c r="BD255" i="41"/>
  <c r="BE250" i="41"/>
  <c r="AL321" i="41"/>
  <c r="AK23" i="41"/>
  <c r="AK21" i="41"/>
  <c r="AL759" i="41"/>
  <c r="AL758" i="41"/>
  <c r="AL757" i="41"/>
  <c r="AL483" i="41"/>
  <c r="AL484" i="41" s="1"/>
  <c r="AL485" i="41" s="1"/>
  <c r="AL486" i="41" s="1"/>
  <c r="AL487" i="41" s="1"/>
  <c r="AL488" i="41" s="1"/>
  <c r="AL489" i="41" s="1"/>
  <c r="AL490" i="41" s="1"/>
  <c r="AL271" i="41"/>
  <c r="AL270" i="41"/>
  <c r="AL279" i="41"/>
  <c r="AL278" i="41"/>
  <c r="AL274" i="41" s="1"/>
  <c r="AL275" i="41"/>
  <c r="AL282" i="41"/>
  <c r="AL272" i="41" s="1"/>
  <c r="AM3" i="41"/>
  <c r="AL19" i="41"/>
  <c r="AL6" i="41"/>
  <c r="AI533" i="41"/>
  <c r="AI532" i="41" s="1"/>
  <c r="AH532" i="41"/>
  <c r="AL223" i="41"/>
  <c r="AL208" i="41"/>
  <c r="AL201" i="41"/>
  <c r="AL196" i="41"/>
  <c r="AL546" i="41"/>
  <c r="AM9" i="41"/>
  <c r="AL204" i="41"/>
  <c r="AJ304" i="41"/>
  <c r="AL224" i="41"/>
  <c r="AJ531" i="41"/>
  <c r="AK530" i="41"/>
  <c r="AL207" i="41"/>
  <c r="AL205" i="41"/>
  <c r="BF4" i="41"/>
  <c r="BE28" i="41"/>
  <c r="AL203" i="41"/>
  <c r="AL21" i="41"/>
  <c r="AK528" i="41"/>
  <c r="AL35" i="41"/>
  <c r="AL199" i="41"/>
  <c r="AI535" i="41"/>
  <c r="AJ534" i="41"/>
  <c r="AK511" i="41"/>
  <c r="AL510" i="41"/>
  <c r="BB281" i="41"/>
  <c r="BC242" i="41"/>
  <c r="AL206" i="41"/>
  <c r="AJ525" i="41"/>
  <c r="AJ524" i="41"/>
  <c r="AL198" i="41"/>
  <c r="AK41" i="41"/>
  <c r="AI40" i="41"/>
  <c r="AJ26" i="41"/>
  <c r="AK303" i="41"/>
  <c r="AK309" i="41"/>
  <c r="AL14" i="41"/>
  <c r="AK26" i="41"/>
  <c r="AK15" i="41"/>
  <c r="AK305" i="41" s="1"/>
  <c r="AK45" i="41"/>
  <c r="AK7" i="41"/>
  <c r="AL197" i="41"/>
  <c r="AO43" i="41"/>
  <c r="AN44" i="41"/>
  <c r="AL273" i="41"/>
  <c r="AM5" i="41"/>
  <c r="AL200" i="41"/>
  <c r="BE247" i="41"/>
  <c r="BD245" i="41"/>
  <c r="BD252" i="41" s="1"/>
  <c r="BE248" i="41"/>
  <c r="BD246" i="41"/>
  <c r="BD253" i="41" s="1"/>
  <c r="AK522" i="41"/>
  <c r="AJ523" i="41"/>
  <c r="AK509" i="41"/>
  <c r="AL48" i="41"/>
  <c r="AM47" i="41"/>
  <c r="AK514" i="41"/>
  <c r="AJ515" i="41"/>
  <c r="AJ512" i="41"/>
  <c r="AI512" i="41"/>
  <c r="AJ513" i="41"/>
  <c r="AH38" i="41"/>
  <c r="AH27" i="41"/>
  <c r="AL545" i="41"/>
  <c r="AL547" i="41"/>
  <c r="AL313" i="41" s="1"/>
  <c r="AL280" i="41"/>
  <c r="AM2" i="41"/>
  <c r="AL202" i="41"/>
  <c r="AJ529" i="41"/>
  <c r="AK36" i="41"/>
  <c r="AL11" i="41"/>
  <c r="F3" i="7"/>
  <c r="AL25" i="41" l="1"/>
  <c r="AL22" i="41"/>
  <c r="AL23" i="41"/>
  <c r="AO29" i="41"/>
  <c r="AN30" i="41"/>
  <c r="AM39" i="41"/>
  <c r="AM25" i="41" s="1"/>
  <c r="AM204" i="41"/>
  <c r="AK526" i="41"/>
  <c r="AJ527" i="41"/>
  <c r="BF250" i="41"/>
  <c r="BE255" i="41"/>
  <c r="AK519" i="41"/>
  <c r="AL518" i="41"/>
  <c r="AM208" i="41"/>
  <c r="BF254" i="41"/>
  <c r="BG249" i="41"/>
  <c r="BG254" i="41" s="1"/>
  <c r="AK517" i="41"/>
  <c r="AK516" i="41" s="1"/>
  <c r="AL42" i="41"/>
  <c r="AK24" i="41"/>
  <c r="BE127" i="41"/>
  <c r="BF126" i="41"/>
  <c r="AJ521" i="41"/>
  <c r="AJ520" i="41" s="1"/>
  <c r="AL49" i="41"/>
  <c r="AM49" i="41" s="1"/>
  <c r="F41" i="7"/>
  <c r="F29" i="7"/>
  <c r="F19" i="7"/>
  <c r="F40" i="7"/>
  <c r="F28" i="7"/>
  <c r="F18" i="7"/>
  <c r="F37" i="7"/>
  <c r="F27" i="7"/>
  <c r="F17" i="7"/>
  <c r="F36" i="7"/>
  <c r="F26" i="7"/>
  <c r="F90" i="36" s="1"/>
  <c r="F16" i="7"/>
  <c r="F35" i="7"/>
  <c r="F25" i="7"/>
  <c r="F15" i="7"/>
  <c r="F20" i="7"/>
  <c r="F34" i="7"/>
  <c r="F22" i="7"/>
  <c r="F14" i="7"/>
  <c r="F33" i="7"/>
  <c r="F21" i="7"/>
  <c r="F11" i="7"/>
  <c r="F13" i="36" s="1"/>
  <c r="F32" i="7"/>
  <c r="AL509" i="41"/>
  <c r="AL508" i="41"/>
  <c r="AK508" i="41"/>
  <c r="AK529" i="41"/>
  <c r="AL36" i="41"/>
  <c r="AL522" i="41"/>
  <c r="AK523" i="41"/>
  <c r="AL41" i="41"/>
  <c r="AL26" i="41" s="1"/>
  <c r="AJ40" i="41"/>
  <c r="AM206" i="41"/>
  <c r="AJ535" i="41"/>
  <c r="AK534" i="41"/>
  <c r="AM205" i="41"/>
  <c r="AL528" i="41"/>
  <c r="AM35" i="41"/>
  <c r="AM758" i="41"/>
  <c r="AM757" i="41"/>
  <c r="AM759" i="41"/>
  <c r="AM483" i="41"/>
  <c r="AM484" i="41" s="1"/>
  <c r="AM485" i="41" s="1"/>
  <c r="AM486" i="41" s="1"/>
  <c r="AM487" i="41" s="1"/>
  <c r="AM488" i="41" s="1"/>
  <c r="AM489" i="41" s="1"/>
  <c r="AM490" i="41" s="1"/>
  <c r="AM279" i="41"/>
  <c r="AM278" i="41"/>
  <c r="AM274" i="41" s="1"/>
  <c r="AM275" i="41"/>
  <c r="AM282" i="41"/>
  <c r="AM272" i="41" s="1"/>
  <c r="AM271" i="41"/>
  <c r="AM270" i="41"/>
  <c r="AM19" i="41"/>
  <c r="AM6" i="41"/>
  <c r="AN3" i="41"/>
  <c r="AM223" i="41"/>
  <c r="AN223" i="41" s="1"/>
  <c r="AK515" i="41"/>
  <c r="AL514" i="41"/>
  <c r="AO44" i="41"/>
  <c r="AP43" i="41"/>
  <c r="AL309" i="41"/>
  <c r="AL303" i="41"/>
  <c r="AL45" i="41"/>
  <c r="AL15" i="41"/>
  <c r="AL305" i="41" s="1"/>
  <c r="AM14" i="41"/>
  <c r="AL7" i="41"/>
  <c r="BD242" i="41"/>
  <c r="BC281" i="41"/>
  <c r="AM207" i="41"/>
  <c r="AM196" i="41"/>
  <c r="AM545" i="41"/>
  <c r="AM547" i="41"/>
  <c r="AM313" i="41" s="1"/>
  <c r="AM280" i="41"/>
  <c r="AN2" i="41"/>
  <c r="AM273" i="41"/>
  <c r="AN5" i="41"/>
  <c r="AL511" i="41"/>
  <c r="AM510" i="41"/>
  <c r="AM42" i="41"/>
  <c r="AM11" i="41"/>
  <c r="AI27" i="41"/>
  <c r="AI38" i="41"/>
  <c r="AM321" i="41"/>
  <c r="AN321" i="41" s="1"/>
  <c r="AK304" i="41"/>
  <c r="AM203" i="41"/>
  <c r="AK531" i="41"/>
  <c r="AL530" i="41"/>
  <c r="AM424" i="41"/>
  <c r="AJ533" i="41"/>
  <c r="AM199" i="41"/>
  <c r="AM323" i="41"/>
  <c r="AM422" i="41"/>
  <c r="AN422" i="41" s="1"/>
  <c r="AM546" i="41"/>
  <c r="AN9" i="41"/>
  <c r="AM197" i="41"/>
  <c r="AM202" i="41"/>
  <c r="AN202" i="41" s="1"/>
  <c r="AN47" i="41"/>
  <c r="AM48" i="41"/>
  <c r="BF28" i="41"/>
  <c r="BG4" i="41"/>
  <c r="BG28" i="41" s="1"/>
  <c r="AM224" i="41"/>
  <c r="AM201" i="41"/>
  <c r="AN201" i="41" s="1"/>
  <c r="AK521" i="41"/>
  <c r="BF248" i="41"/>
  <c r="BE246" i="41"/>
  <c r="BE253" i="41" s="1"/>
  <c r="AM425" i="41"/>
  <c r="BF247" i="41"/>
  <c r="BE245" i="41"/>
  <c r="BE252" i="41" s="1"/>
  <c r="AK513" i="41"/>
  <c r="AK512" i="41" s="1"/>
  <c r="AM200" i="41"/>
  <c r="AK46" i="41"/>
  <c r="AK8" i="41"/>
  <c r="AM198" i="41"/>
  <c r="AL517" i="41"/>
  <c r="AL24" i="41"/>
  <c r="AM23" i="41"/>
  <c r="AM423" i="41"/>
  <c r="BF127" i="41" l="1"/>
  <c r="BG126" i="41"/>
  <c r="BG127" i="41" s="1"/>
  <c r="AL519" i="41"/>
  <c r="AM518" i="41"/>
  <c r="AM22" i="41"/>
  <c r="AN22" i="41" s="1"/>
  <c r="AO22" i="41" s="1"/>
  <c r="AP29" i="41"/>
  <c r="AO30" i="41"/>
  <c r="AN423" i="41"/>
  <c r="AO423" i="41" s="1"/>
  <c r="AN424" i="41"/>
  <c r="AN39" i="41"/>
  <c r="AL526" i="41"/>
  <c r="AK527" i="41"/>
  <c r="AN11" i="41"/>
  <c r="AN198" i="41"/>
  <c r="AM21" i="41"/>
  <c r="AN21" i="41" s="1"/>
  <c r="AO21" i="41" s="1"/>
  <c r="BG250" i="41"/>
  <c r="BG255" i="41" s="1"/>
  <c r="BF255" i="41"/>
  <c r="AN425" i="41"/>
  <c r="AK525" i="41"/>
  <c r="AK524" i="41" s="1"/>
  <c r="W13" i="36"/>
  <c r="T13" i="36"/>
  <c r="Z13" i="36"/>
  <c r="Q13" i="36"/>
  <c r="P13" i="36"/>
  <c r="J13" i="36"/>
  <c r="H13" i="36"/>
  <c r="X13" i="36"/>
  <c r="I13" i="36"/>
  <c r="O13" i="36"/>
  <c r="U13" i="36"/>
  <c r="K13" i="36"/>
  <c r="G13" i="36"/>
  <c r="Y13" i="36"/>
  <c r="V13" i="36"/>
  <c r="L13" i="36"/>
  <c r="R13" i="36"/>
  <c r="S13" i="36"/>
  <c r="M13" i="36"/>
  <c r="N13" i="36"/>
  <c r="AK533" i="41"/>
  <c r="AN273" i="41"/>
  <c r="AO5" i="41"/>
  <c r="AN197" i="41"/>
  <c r="AO197" i="41" s="1"/>
  <c r="AN199" i="41"/>
  <c r="AO199" i="41" s="1"/>
  <c r="AN545" i="41"/>
  <c r="AN547" i="41"/>
  <c r="AN313" i="41" s="1"/>
  <c r="AN280" i="41"/>
  <c r="AO2" i="41"/>
  <c r="AO425" i="41" s="1"/>
  <c r="AN205" i="41"/>
  <c r="BF245" i="41"/>
  <c r="BF252" i="41" s="1"/>
  <c r="BG247" i="41"/>
  <c r="BG245" i="41" s="1"/>
  <c r="BG252" i="41" s="1"/>
  <c r="AM522" i="41"/>
  <c r="AL523" i="41"/>
  <c r="AL534" i="41"/>
  <c r="AK535" i="41"/>
  <c r="AL529" i="41"/>
  <c r="AM36" i="41"/>
  <c r="BE242" i="41"/>
  <c r="BD281" i="41"/>
  <c r="AQ43" i="41"/>
  <c r="AP44" i="41"/>
  <c r="AL521" i="41"/>
  <c r="AL520" i="41" s="1"/>
  <c r="AK520" i="41"/>
  <c r="AO202" i="41"/>
  <c r="AN758" i="41"/>
  <c r="AN757" i="41"/>
  <c r="AN759" i="41"/>
  <c r="AN483" i="41"/>
  <c r="AN484" i="41" s="1"/>
  <c r="AN485" i="41" s="1"/>
  <c r="AN486" i="41" s="1"/>
  <c r="AN487" i="41" s="1"/>
  <c r="AN488" i="41" s="1"/>
  <c r="AN489" i="41" s="1"/>
  <c r="AN490" i="41" s="1"/>
  <c r="AN282" i="41"/>
  <c r="AN272" i="41" s="1"/>
  <c r="AN279" i="41"/>
  <c r="AN278" i="41"/>
  <c r="AN274" i="41" s="1"/>
  <c r="AN275" i="41"/>
  <c r="AN271" i="41"/>
  <c r="AN270" i="41"/>
  <c r="AN19" i="41"/>
  <c r="AN6" i="41"/>
  <c r="AO3" i="41"/>
  <c r="AN224" i="41"/>
  <c r="AO224" i="41" s="1"/>
  <c r="AM517" i="41"/>
  <c r="AM516" i="41" s="1"/>
  <c r="AN203" i="41"/>
  <c r="AN42" i="41"/>
  <c r="AO39" i="41"/>
  <c r="AL46" i="41"/>
  <c r="AL8" i="41"/>
  <c r="AN206" i="41"/>
  <c r="AO206" i="41" s="1"/>
  <c r="AO47" i="41"/>
  <c r="AN48" i="41"/>
  <c r="AJ532" i="41"/>
  <c r="AM24" i="41"/>
  <c r="AN23" i="41"/>
  <c r="AN546" i="41"/>
  <c r="AO9" i="41"/>
  <c r="BF246" i="41"/>
  <c r="BF253" i="41" s="1"/>
  <c r="BG248" i="41"/>
  <c r="BG246" i="41" s="1"/>
  <c r="BG253" i="41" s="1"/>
  <c r="AL516" i="41"/>
  <c r="AL525" i="41"/>
  <c r="AL524" i="41"/>
  <c r="AN510" i="41"/>
  <c r="AM511" i="41"/>
  <c r="AN196" i="41"/>
  <c r="AM303" i="41"/>
  <c r="AM45" i="41"/>
  <c r="AM309" i="41"/>
  <c r="AN309" i="41" s="1"/>
  <c r="AO309" i="41" s="1"/>
  <c r="AP309" i="41" s="1"/>
  <c r="AQ309" i="41" s="1"/>
  <c r="AR309" i="41" s="1"/>
  <c r="AS309" i="41" s="1"/>
  <c r="AT309" i="41" s="1"/>
  <c r="AU309" i="41" s="1"/>
  <c r="AV309" i="41" s="1"/>
  <c r="AW309" i="41" s="1"/>
  <c r="AX309" i="41" s="1"/>
  <c r="AY309" i="41" s="1"/>
  <c r="AZ309" i="41" s="1"/>
  <c r="BA309" i="41" s="1"/>
  <c r="BB309" i="41" s="1"/>
  <c r="BC309" i="41" s="1"/>
  <c r="BD309" i="41" s="1"/>
  <c r="BE309" i="41" s="1"/>
  <c r="BF309" i="41" s="1"/>
  <c r="BG309" i="41" s="1"/>
  <c r="AM15" i="41"/>
  <c r="AM305" i="41" s="1"/>
  <c r="AN305" i="41" s="1"/>
  <c r="AO305" i="41" s="1"/>
  <c r="AP305" i="41" s="1"/>
  <c r="AQ305" i="41" s="1"/>
  <c r="AR305" i="41" s="1"/>
  <c r="AS305" i="41" s="1"/>
  <c r="AT305" i="41" s="1"/>
  <c r="AU305" i="41" s="1"/>
  <c r="AV305" i="41" s="1"/>
  <c r="AW305" i="41" s="1"/>
  <c r="AX305" i="41" s="1"/>
  <c r="AY305" i="41" s="1"/>
  <c r="AZ305" i="41" s="1"/>
  <c r="BA305" i="41" s="1"/>
  <c r="BB305" i="41" s="1"/>
  <c r="BC305" i="41" s="1"/>
  <c r="BD305" i="41" s="1"/>
  <c r="BE305" i="41" s="1"/>
  <c r="BF305" i="41" s="1"/>
  <c r="BG305" i="41" s="1"/>
  <c r="AM7" i="41"/>
  <c r="AN14" i="41"/>
  <c r="AL515" i="41"/>
  <c r="AM514" i="41"/>
  <c r="AJ27" i="41"/>
  <c r="AJ38" i="41"/>
  <c r="AO223" i="41"/>
  <c r="AN323" i="41"/>
  <c r="AO323" i="41" s="1"/>
  <c r="AL304" i="41"/>
  <c r="AL531" i="41"/>
  <c r="AM530" i="41"/>
  <c r="AN200" i="41"/>
  <c r="AO200" i="41" s="1"/>
  <c r="AL513" i="41"/>
  <c r="AL512" i="41" s="1"/>
  <c r="AN49" i="41"/>
  <c r="AN204" i="41"/>
  <c r="AO204" i="41" s="1"/>
  <c r="AN208" i="41"/>
  <c r="AO208" i="41" s="1"/>
  <c r="AN25" i="41"/>
  <c r="AO25" i="41" s="1"/>
  <c r="AN207" i="41"/>
  <c r="AO207" i="41" s="1"/>
  <c r="AM528" i="41"/>
  <c r="AN35" i="41"/>
  <c r="AK40" i="41"/>
  <c r="AM41" i="41"/>
  <c r="AM509" i="41"/>
  <c r="AM508" i="41"/>
  <c r="G9" i="16"/>
  <c r="H9" i="16"/>
  <c r="I9" i="16"/>
  <c r="J9" i="16"/>
  <c r="K9" i="16"/>
  <c r="L9" i="16"/>
  <c r="M9" i="16"/>
  <c r="N9" i="16"/>
  <c r="O9" i="16"/>
  <c r="P9" i="16"/>
  <c r="H120" i="36"/>
  <c r="R30" i="40"/>
  <c r="N21" i="16"/>
  <c r="J17" i="42" s="1"/>
  <c r="J14" i="42" s="1"/>
  <c r="O21" i="16"/>
  <c r="P21" i="16"/>
  <c r="G26" i="28"/>
  <c r="H26" i="28"/>
  <c r="I26" i="28"/>
  <c r="J26" i="28"/>
  <c r="K26" i="28"/>
  <c r="L26" i="28"/>
  <c r="M26" i="28"/>
  <c r="N26" i="28"/>
  <c r="O26" i="28"/>
  <c r="P26" i="28"/>
  <c r="P25" i="28" s="1"/>
  <c r="L25" i="42" s="1"/>
  <c r="G27" i="28"/>
  <c r="H27" i="28"/>
  <c r="I27" i="28"/>
  <c r="J27" i="28"/>
  <c r="K27" i="28"/>
  <c r="L27" i="28"/>
  <c r="M27" i="28"/>
  <c r="N27" i="28"/>
  <c r="O27" i="28"/>
  <c r="P27" i="28"/>
  <c r="P22" i="28"/>
  <c r="O22" i="28"/>
  <c r="N22" i="28"/>
  <c r="M22" i="28"/>
  <c r="L22" i="28"/>
  <c r="K22" i="28"/>
  <c r="J22" i="28"/>
  <c r="I22" i="28"/>
  <c r="H22" i="28"/>
  <c r="G22" i="28"/>
  <c r="P21" i="28"/>
  <c r="O21" i="28"/>
  <c r="N21" i="28"/>
  <c r="M21" i="28"/>
  <c r="L21" i="28"/>
  <c r="K21" i="28"/>
  <c r="J21" i="28"/>
  <c r="I21" i="28"/>
  <c r="H21" i="28"/>
  <c r="G21" i="28"/>
  <c r="P20" i="28"/>
  <c r="O20" i="28"/>
  <c r="N20" i="28"/>
  <c r="M20" i="28"/>
  <c r="L20" i="28"/>
  <c r="K20" i="28"/>
  <c r="J20" i="28"/>
  <c r="I20" i="28"/>
  <c r="H20" i="28"/>
  <c r="G20" i="28"/>
  <c r="N19" i="28"/>
  <c r="M19" i="28"/>
  <c r="L19" i="28"/>
  <c r="K19" i="28"/>
  <c r="J19" i="28"/>
  <c r="I19" i="28"/>
  <c r="H19" i="28"/>
  <c r="G19" i="28"/>
  <c r="O36" i="16"/>
  <c r="M36" i="16"/>
  <c r="I36" i="16"/>
  <c r="H36" i="16"/>
  <c r="G36" i="16"/>
  <c r="P36" i="16"/>
  <c r="G32" i="16"/>
  <c r="G23" i="28" s="1"/>
  <c r="H32" i="16"/>
  <c r="H23" i="28" s="1"/>
  <c r="I32" i="16"/>
  <c r="I23" i="28" s="1"/>
  <c r="J32" i="16"/>
  <c r="J23" i="28" s="1"/>
  <c r="K32" i="16"/>
  <c r="K23" i="28" s="1"/>
  <c r="L32" i="16"/>
  <c r="M32" i="16"/>
  <c r="N32" i="16"/>
  <c r="O32" i="16"/>
  <c r="G31" i="16"/>
  <c r="H31" i="16"/>
  <c r="I31" i="16"/>
  <c r="J31" i="16"/>
  <c r="J36" i="16" s="1"/>
  <c r="K31" i="16"/>
  <c r="K36" i="16" s="1"/>
  <c r="L31" i="16"/>
  <c r="L36" i="16" s="1"/>
  <c r="M31" i="16"/>
  <c r="N31" i="16"/>
  <c r="N36" i="16" s="1"/>
  <c r="O31" i="16"/>
  <c r="P31" i="16"/>
  <c r="N23" i="28" l="1"/>
  <c r="J13" i="42"/>
  <c r="M23" i="28"/>
  <c r="I13" i="42"/>
  <c r="AP30" i="41"/>
  <c r="AQ29" i="41"/>
  <c r="AL527" i="41"/>
  <c r="AM526" i="41"/>
  <c r="L106" i="42"/>
  <c r="AO422" i="41"/>
  <c r="P19" i="28"/>
  <c r="L17" i="42"/>
  <c r="L14" i="42" s="1"/>
  <c r="O19" i="28"/>
  <c r="K17" i="42"/>
  <c r="K14" i="42" s="1"/>
  <c r="O23" i="28"/>
  <c r="K13" i="42"/>
  <c r="L23" i="28"/>
  <c r="H13" i="42"/>
  <c r="AM519" i="41"/>
  <c r="AN518" i="41"/>
  <c r="AO49" i="41"/>
  <c r="K25" i="28"/>
  <c r="K28" i="28" s="1"/>
  <c r="O25" i="28"/>
  <c r="K25" i="42" s="1"/>
  <c r="L86" i="36"/>
  <c r="R86" i="36"/>
  <c r="S86" i="36"/>
  <c r="T86" i="36"/>
  <c r="X86" i="36"/>
  <c r="W86" i="36"/>
  <c r="J86" i="36"/>
  <c r="P86" i="36"/>
  <c r="O86" i="36"/>
  <c r="N86" i="36"/>
  <c r="U86" i="36"/>
  <c r="V86" i="36"/>
  <c r="Y86" i="36"/>
  <c r="Q86" i="36"/>
  <c r="Z86" i="36"/>
  <c r="M86" i="36"/>
  <c r="K86" i="36"/>
  <c r="AM46" i="41"/>
  <c r="AM27" i="41"/>
  <c r="AM8" i="41"/>
  <c r="AN508" i="41"/>
  <c r="AN509" i="41"/>
  <c r="AO757" i="41"/>
  <c r="AO759" i="41"/>
  <c r="AO758" i="41"/>
  <c r="AO483" i="41"/>
  <c r="AO484" i="41" s="1"/>
  <c r="AO485" i="41" s="1"/>
  <c r="AO486" i="41" s="1"/>
  <c r="AO487" i="41" s="1"/>
  <c r="AO488" i="41" s="1"/>
  <c r="AO489" i="41" s="1"/>
  <c r="AO490" i="41" s="1"/>
  <c r="AO282" i="41"/>
  <c r="AO272" i="41" s="1"/>
  <c r="AO279" i="41"/>
  <c r="AO278" i="41"/>
  <c r="AO274" i="41" s="1"/>
  <c r="AO275" i="41"/>
  <c r="AO271" i="41"/>
  <c r="AO270" i="41"/>
  <c r="AO19" i="41"/>
  <c r="AO6" i="41"/>
  <c r="AP3" i="41"/>
  <c r="BE281" i="41"/>
  <c r="BF242" i="41"/>
  <c r="AO205" i="41"/>
  <c r="AO201" i="41"/>
  <c r="AN24" i="41"/>
  <c r="AO23" i="41"/>
  <c r="AN41" i="41"/>
  <c r="AO41" i="41" s="1"/>
  <c r="AM40" i="41"/>
  <c r="AM38" i="41" s="1"/>
  <c r="AL40" i="41"/>
  <c r="AP422" i="41"/>
  <c r="AM26" i="41"/>
  <c r="AM525" i="41"/>
  <c r="AM524" i="41"/>
  <c r="AM534" i="41"/>
  <c r="AL535" i="41"/>
  <c r="AO545" i="41"/>
  <c r="AO547" i="41"/>
  <c r="AO313" i="41" s="1"/>
  <c r="AO280" i="41"/>
  <c r="AP2" i="41"/>
  <c r="AO273" i="41"/>
  <c r="AP5" i="41"/>
  <c r="AP323" i="41" s="1"/>
  <c r="AN303" i="41"/>
  <c r="AN26" i="41"/>
  <c r="AN15" i="41"/>
  <c r="AN7" i="41"/>
  <c r="AN45" i="41"/>
  <c r="AO14" i="41"/>
  <c r="AO42" i="41"/>
  <c r="AP39" i="41"/>
  <c r="AP25" i="41" s="1"/>
  <c r="AM521" i="41"/>
  <c r="AM520" i="41"/>
  <c r="AP425" i="41"/>
  <c r="AO11" i="41"/>
  <c r="AL533" i="41"/>
  <c r="AN528" i="41"/>
  <c r="AN36" i="41"/>
  <c r="AO35" i="41"/>
  <c r="AM304" i="41"/>
  <c r="AM531" i="41"/>
  <c r="AN530" i="41"/>
  <c r="AN514" i="41"/>
  <c r="AM515" i="41"/>
  <c r="AP47" i="41"/>
  <c r="AO48" i="41"/>
  <c r="AO203" i="41"/>
  <c r="AQ44" i="41"/>
  <c r="AR43" i="41"/>
  <c r="AO321" i="41"/>
  <c r="AK532" i="41"/>
  <c r="AO510" i="41"/>
  <c r="AN511" i="41"/>
  <c r="AP21" i="41"/>
  <c r="AK27" i="41"/>
  <c r="AK38" i="41"/>
  <c r="AM513" i="41"/>
  <c r="AM512" i="41"/>
  <c r="AO196" i="41"/>
  <c r="AO546" i="41"/>
  <c r="AP9" i="41"/>
  <c r="AO198" i="41"/>
  <c r="AN517" i="41"/>
  <c r="AM529" i="41"/>
  <c r="AN522" i="41"/>
  <c r="AM523" i="41"/>
  <c r="AO424" i="41"/>
  <c r="G25" i="28"/>
  <c r="G28" i="28" s="1"/>
  <c r="H25" i="28"/>
  <c r="H28" i="28" s="1"/>
  <c r="I25" i="28"/>
  <c r="I28" i="28" s="1"/>
  <c r="J25" i="28"/>
  <c r="J28" i="28" s="1"/>
  <c r="L25" i="28"/>
  <c r="M25" i="28"/>
  <c r="N25" i="28"/>
  <c r="O28" i="28"/>
  <c r="K28" i="42" s="1"/>
  <c r="F89" i="36"/>
  <c r="Q26" i="16"/>
  <c r="Q25" i="16"/>
  <c r="Z196" i="36"/>
  <c r="Y196" i="36"/>
  <c r="X196" i="36"/>
  <c r="W196" i="36"/>
  <c r="V196" i="36"/>
  <c r="U196" i="36"/>
  <c r="T196" i="36"/>
  <c r="S196" i="36"/>
  <c r="R196" i="36"/>
  <c r="Q196" i="36"/>
  <c r="Q13" i="40"/>
  <c r="Q12" i="40"/>
  <c r="Q14" i="40"/>
  <c r="P16" i="16"/>
  <c r="P17" i="28" s="1"/>
  <c r="O16" i="16"/>
  <c r="O17" i="28" s="1"/>
  <c r="N16" i="16"/>
  <c r="N17" i="28" s="1"/>
  <c r="M16" i="16"/>
  <c r="M17" i="28" s="1"/>
  <c r="L16" i="16"/>
  <c r="L17" i="28" s="1"/>
  <c r="K16" i="16"/>
  <c r="K17" i="28" s="1"/>
  <c r="J16" i="16"/>
  <c r="J17" i="28" s="1"/>
  <c r="I16" i="16"/>
  <c r="I17" i="28" s="1"/>
  <c r="H16" i="16"/>
  <c r="H17" i="28" s="1"/>
  <c r="G16" i="16"/>
  <c r="G17" i="28" s="1"/>
  <c r="P15" i="16"/>
  <c r="O15" i="16"/>
  <c r="N15" i="16"/>
  <c r="M15" i="16"/>
  <c r="L15" i="16"/>
  <c r="K15" i="16"/>
  <c r="K16" i="28" s="1"/>
  <c r="J15" i="16"/>
  <c r="J16" i="28" s="1"/>
  <c r="I15" i="16"/>
  <c r="I16" i="28" s="1"/>
  <c r="H15" i="16"/>
  <c r="H16" i="28" s="1"/>
  <c r="G15" i="16"/>
  <c r="G16" i="28" s="1"/>
  <c r="P18" i="28"/>
  <c r="O18" i="28"/>
  <c r="N18" i="28"/>
  <c r="M18" i="28"/>
  <c r="L18" i="28"/>
  <c r="K18" i="28"/>
  <c r="J18" i="28"/>
  <c r="I18" i="28"/>
  <c r="H18" i="28"/>
  <c r="G18" i="28"/>
  <c r="P15" i="28"/>
  <c r="M15" i="28"/>
  <c r="L15" i="28"/>
  <c r="H15" i="28"/>
  <c r="G15" i="28"/>
  <c r="I15" i="28"/>
  <c r="J15" i="28"/>
  <c r="K15" i="28"/>
  <c r="N15" i="28"/>
  <c r="O15" i="28"/>
  <c r="G4" i="28"/>
  <c r="R29" i="40"/>
  <c r="R33" i="40"/>
  <c r="P32" i="16"/>
  <c r="Q30" i="18"/>
  <c r="R30" i="18" s="1"/>
  <c r="S30" i="18" s="1"/>
  <c r="T30" i="18" s="1"/>
  <c r="U30" i="18" s="1"/>
  <c r="V30" i="18" s="1"/>
  <c r="W30" i="18" s="1"/>
  <c r="X30" i="18" s="1"/>
  <c r="Y30" i="18" s="1"/>
  <c r="Z30" i="18" s="1"/>
  <c r="V183" i="36"/>
  <c r="W183" i="36" s="1"/>
  <c r="X183" i="36" s="1"/>
  <c r="Y183" i="36" s="1"/>
  <c r="Z183" i="36" s="1"/>
  <c r="V181" i="36"/>
  <c r="W181" i="36" s="1"/>
  <c r="X181" i="36" s="1"/>
  <c r="Y181" i="36" s="1"/>
  <c r="Z181" i="36" s="1"/>
  <c r="Q182" i="36"/>
  <c r="Q178" i="36" s="1"/>
  <c r="Q34" i="18" s="1"/>
  <c r="Q27" i="28" s="1"/>
  <c r="F173" i="36"/>
  <c r="F167" i="36"/>
  <c r="F161" i="36"/>
  <c r="F152" i="36"/>
  <c r="F146" i="36"/>
  <c r="F140" i="36"/>
  <c r="F134" i="36"/>
  <c r="K106" i="42" l="1"/>
  <c r="AM527" i="41"/>
  <c r="AN526" i="41"/>
  <c r="P16" i="28"/>
  <c r="L23" i="42"/>
  <c r="AQ30" i="41"/>
  <c r="AR29" i="41"/>
  <c r="K107" i="42"/>
  <c r="AP424" i="41"/>
  <c r="M16" i="28"/>
  <c r="I23" i="42"/>
  <c r="N28" i="28"/>
  <c r="J28" i="42" s="1"/>
  <c r="J25" i="42"/>
  <c r="N16" i="28"/>
  <c r="J23" i="42"/>
  <c r="M28" i="28"/>
  <c r="I28" i="42" s="1"/>
  <c r="I25" i="42"/>
  <c r="AO518" i="41"/>
  <c r="AN519" i="41"/>
  <c r="L16" i="28"/>
  <c r="H23" i="42"/>
  <c r="P23" i="28"/>
  <c r="P28" i="28" s="1"/>
  <c r="L28" i="42" s="1"/>
  <c r="L13" i="42"/>
  <c r="O16" i="28"/>
  <c r="K23" i="42"/>
  <c r="L28" i="28"/>
  <c r="H28" i="42" s="1"/>
  <c r="H25" i="42"/>
  <c r="AN534" i="41"/>
  <c r="AM535" i="41"/>
  <c r="AP546" i="41"/>
  <c r="AQ9" i="41"/>
  <c r="AP196" i="41"/>
  <c r="AQ196" i="41" s="1"/>
  <c r="AP200" i="41"/>
  <c r="AN529" i="41"/>
  <c r="AP11" i="41"/>
  <c r="AP202" i="41"/>
  <c r="AL38" i="41"/>
  <c r="AL27" i="41"/>
  <c r="AP205" i="41"/>
  <c r="AQ205" i="41" s="1"/>
  <c r="AR44" i="41"/>
  <c r="AS43" i="41"/>
  <c r="AQ422" i="41"/>
  <c r="AP48" i="41"/>
  <c r="AQ47" i="41"/>
  <c r="AO303" i="41"/>
  <c r="AO26" i="41"/>
  <c r="AO15" i="41"/>
  <c r="AO7" i="41"/>
  <c r="AO45" i="41"/>
  <c r="AP14" i="41"/>
  <c r="AP545" i="41"/>
  <c r="AP547" i="41"/>
  <c r="AP313" i="41" s="1"/>
  <c r="AP280" i="41"/>
  <c r="AQ2" i="41"/>
  <c r="BF281" i="41"/>
  <c r="BG242" i="41"/>
  <c r="AQ39" i="41"/>
  <c r="AP42" i="41"/>
  <c r="AP757" i="41"/>
  <c r="AP759" i="41"/>
  <c r="AP758" i="41"/>
  <c r="AP483" i="41"/>
  <c r="AP484" i="41" s="1"/>
  <c r="AP485" i="41" s="1"/>
  <c r="AP486" i="41" s="1"/>
  <c r="AP487" i="41" s="1"/>
  <c r="AP488" i="41" s="1"/>
  <c r="AP489" i="41" s="1"/>
  <c r="AP490" i="41" s="1"/>
  <c r="AP279" i="41"/>
  <c r="AP278" i="41"/>
  <c r="AP274" i="41" s="1"/>
  <c r="AP275" i="41"/>
  <c r="AP282" i="41"/>
  <c r="AP272" i="41" s="1"/>
  <c r="AP271" i="41"/>
  <c r="AP270" i="41"/>
  <c r="AP6" i="41"/>
  <c r="AQ3" i="41"/>
  <c r="AO304" i="41" s="1"/>
  <c r="AP19" i="41"/>
  <c r="AO528" i="41"/>
  <c r="AP35" i="41"/>
  <c r="AO36" i="41"/>
  <c r="AO517" i="41"/>
  <c r="AO516" i="41"/>
  <c r="AN512" i="41"/>
  <c r="AN513" i="41"/>
  <c r="AP199" i="41"/>
  <c r="AQ199" i="41" s="1"/>
  <c r="AP22" i="41"/>
  <c r="AP49" i="41"/>
  <c r="AQ49" i="41" s="1"/>
  <c r="AP423" i="41"/>
  <c r="AQ423" i="41" s="1"/>
  <c r="AN40" i="41"/>
  <c r="AN27" i="41" s="1"/>
  <c r="AP41" i="41"/>
  <c r="AO24" i="41"/>
  <c r="AP23" i="41"/>
  <c r="AM533" i="41"/>
  <c r="AM532" i="41" s="1"/>
  <c r="AN523" i="41"/>
  <c r="AO522" i="41"/>
  <c r="AP510" i="41"/>
  <c r="AO511" i="41"/>
  <c r="AL532" i="41"/>
  <c r="AP273" i="41"/>
  <c r="AQ5" i="41"/>
  <c r="AP201" i="41"/>
  <c r="AQ201" i="41" s="1"/>
  <c r="AN516" i="41"/>
  <c r="AN515" i="41"/>
  <c r="AO514" i="41"/>
  <c r="AP224" i="41"/>
  <c r="AQ224" i="41" s="1"/>
  <c r="AN46" i="41"/>
  <c r="AN8" i="41"/>
  <c r="AP208" i="41"/>
  <c r="AQ208" i="41" s="1"/>
  <c r="AP223" i="41"/>
  <c r="AQ223" i="41" s="1"/>
  <c r="AP206" i="41"/>
  <c r="AQ206" i="41" s="1"/>
  <c r="AP203" i="41"/>
  <c r="AQ203" i="41" s="1"/>
  <c r="AP204" i="41"/>
  <c r="AQ204" i="41" s="1"/>
  <c r="AN304" i="41"/>
  <c r="AP198" i="41"/>
  <c r="AQ198" i="41" s="1"/>
  <c r="AP321" i="41"/>
  <c r="AQ321" i="41" s="1"/>
  <c r="AO530" i="41"/>
  <c r="AN531" i="41"/>
  <c r="AN521" i="41"/>
  <c r="AN525" i="41"/>
  <c r="AP197" i="41"/>
  <c r="AQ197" i="41" s="1"/>
  <c r="AO509" i="41"/>
  <c r="AP207" i="41"/>
  <c r="AQ207" i="41" s="1"/>
  <c r="P31" i="28"/>
  <c r="P32" i="28"/>
  <c r="K31" i="28"/>
  <c r="K32" i="28"/>
  <c r="N31" i="28"/>
  <c r="N32" i="28"/>
  <c r="O32" i="28"/>
  <c r="O31" i="28"/>
  <c r="L32" i="28"/>
  <c r="L31" i="28"/>
  <c r="G31" i="28"/>
  <c r="G32" i="28"/>
  <c r="H31" i="28"/>
  <c r="H32" i="28"/>
  <c r="I32" i="28"/>
  <c r="I31" i="28"/>
  <c r="J32" i="28"/>
  <c r="J31" i="28"/>
  <c r="M32" i="28"/>
  <c r="M31" i="28"/>
  <c r="R180" i="36"/>
  <c r="R182" i="36" s="1"/>
  <c r="Q211" i="36"/>
  <c r="R211" i="36" s="1"/>
  <c r="O210" i="36"/>
  <c r="O212" i="36" s="1"/>
  <c r="O215" i="36" s="1"/>
  <c r="N210" i="36"/>
  <c r="N212" i="36" s="1"/>
  <c r="N215" i="36" s="1"/>
  <c r="M210" i="36"/>
  <c r="L210" i="36"/>
  <c r="K210" i="36"/>
  <c r="K212" i="36" s="1"/>
  <c r="K215" i="36" s="1"/>
  <c r="J210" i="36"/>
  <c r="I210" i="36"/>
  <c r="I212" i="36" s="1"/>
  <c r="I215" i="36" s="1"/>
  <c r="H210" i="36"/>
  <c r="H212" i="36" s="1"/>
  <c r="H215" i="36" s="1"/>
  <c r="G210" i="36"/>
  <c r="G212" i="36" s="1"/>
  <c r="G215" i="36" s="1"/>
  <c r="P210" i="36"/>
  <c r="P212" i="36" s="1"/>
  <c r="P215" i="36" s="1"/>
  <c r="P217" i="36" s="1"/>
  <c r="P15" i="9" s="1"/>
  <c r="H25" i="9"/>
  <c r="G25" i="9"/>
  <c r="I25" i="9"/>
  <c r="Q31" i="9"/>
  <c r="H106" i="42" l="1"/>
  <c r="H107" i="42"/>
  <c r="H78" i="42"/>
  <c r="AP518" i="41"/>
  <c r="AO519" i="41"/>
  <c r="L19" i="42"/>
  <c r="L97" i="42"/>
  <c r="L96" i="42" s="1"/>
  <c r="L74" i="42"/>
  <c r="L89" i="42" s="1"/>
  <c r="L21" i="42"/>
  <c r="K21" i="42"/>
  <c r="K97" i="42"/>
  <c r="K96" i="42" s="1"/>
  <c r="K74" i="42"/>
  <c r="K89" i="42" s="1"/>
  <c r="K19" i="42"/>
  <c r="I106" i="42"/>
  <c r="I21" i="42"/>
  <c r="I97" i="42"/>
  <c r="I96" i="42" s="1"/>
  <c r="I19" i="42"/>
  <c r="I74" i="42"/>
  <c r="I89" i="42" s="1"/>
  <c r="I107" i="42"/>
  <c r="I78" i="42"/>
  <c r="AN527" i="41"/>
  <c r="AO526" i="41"/>
  <c r="AN38" i="41"/>
  <c r="AQ22" i="41"/>
  <c r="J21" i="42"/>
  <c r="J19" i="42"/>
  <c r="J74" i="42"/>
  <c r="J89" i="42" s="1"/>
  <c r="J97" i="42"/>
  <c r="J96" i="42" s="1"/>
  <c r="L107" i="42"/>
  <c r="L78" i="42"/>
  <c r="K78" i="42"/>
  <c r="AQ200" i="41"/>
  <c r="H97" i="42"/>
  <c r="H96" i="42" s="1"/>
  <c r="H21" i="42"/>
  <c r="H74" i="42"/>
  <c r="H19" i="42"/>
  <c r="J106" i="42"/>
  <c r="J107" i="42"/>
  <c r="J78" i="42"/>
  <c r="AR30" i="41"/>
  <c r="AS29" i="41"/>
  <c r="AO515" i="41"/>
  <c r="AP514" i="41"/>
  <c r="AP509" i="41"/>
  <c r="AP508" i="41" s="1"/>
  <c r="AP517" i="41"/>
  <c r="AP516" i="41" s="1"/>
  <c r="AT43" i="41"/>
  <c r="AS44" i="41"/>
  <c r="AO508" i="41"/>
  <c r="AP530" i="41"/>
  <c r="AO531" i="41"/>
  <c r="AR423" i="41"/>
  <c r="AO529" i="41"/>
  <c r="AO38" i="41"/>
  <c r="AQ547" i="41"/>
  <c r="AQ313" i="41" s="1"/>
  <c r="AQ545" i="41"/>
  <c r="AQ280" i="41"/>
  <c r="AR2" i="41"/>
  <c r="AO521" i="41"/>
  <c r="AO520" i="41" s="1"/>
  <c r="AQ273" i="41"/>
  <c r="AR5" i="41"/>
  <c r="AR321" i="41" s="1"/>
  <c r="AN533" i="41"/>
  <c r="AN532" i="41"/>
  <c r="AP528" i="41"/>
  <c r="AQ35" i="41"/>
  <c r="AP36" i="41"/>
  <c r="AR200" i="41"/>
  <c r="AO534" i="41"/>
  <c r="AN535" i="41"/>
  <c r="AP511" i="41"/>
  <c r="AQ510" i="41"/>
  <c r="AN520" i="41"/>
  <c r="AQ546" i="41"/>
  <c r="AR9" i="41"/>
  <c r="AQ23" i="41"/>
  <c r="AP24" i="41"/>
  <c r="AR39" i="41"/>
  <c r="AR49" i="41" s="1"/>
  <c r="AQ42" i="41"/>
  <c r="AQ425" i="41"/>
  <c r="AR425" i="41" s="1"/>
  <c r="AQ21" i="41"/>
  <c r="AR207" i="41"/>
  <c r="AO40" i="41"/>
  <c r="AO27" i="41" s="1"/>
  <c r="AQ41" i="41"/>
  <c r="AO46" i="41"/>
  <c r="AO8" i="41"/>
  <c r="AQ424" i="41"/>
  <c r="AR424" i="41" s="1"/>
  <c r="AQ48" i="41"/>
  <c r="AR47" i="41"/>
  <c r="AQ202" i="41"/>
  <c r="AO523" i="41"/>
  <c r="AP522" i="41"/>
  <c r="AN524" i="41"/>
  <c r="AO513" i="41"/>
  <c r="AO512" i="41" s="1"/>
  <c r="AQ759" i="41"/>
  <c r="AQ758" i="41"/>
  <c r="AQ757" i="41"/>
  <c r="AQ483" i="41"/>
  <c r="AQ484" i="41" s="1"/>
  <c r="AQ485" i="41" s="1"/>
  <c r="AQ486" i="41" s="1"/>
  <c r="AQ487" i="41" s="1"/>
  <c r="AQ488" i="41" s="1"/>
  <c r="AQ489" i="41" s="1"/>
  <c r="AQ490" i="41" s="1"/>
  <c r="AQ282" i="41"/>
  <c r="AQ272" i="41" s="1"/>
  <c r="AQ271" i="41"/>
  <c r="AQ270" i="41"/>
  <c r="AQ278" i="41"/>
  <c r="AQ275" i="41"/>
  <c r="AQ279" i="41"/>
  <c r="AQ6" i="41"/>
  <c r="AR3" i="41"/>
  <c r="AR196" i="41" s="1"/>
  <c r="AQ19" i="41"/>
  <c r="AP304" i="41"/>
  <c r="BG281" i="41"/>
  <c r="AP303" i="41"/>
  <c r="AP45" i="41"/>
  <c r="AP26" i="41"/>
  <c r="AQ14" i="41"/>
  <c r="AP7" i="41"/>
  <c r="AP15" i="41"/>
  <c r="AQ11" i="41"/>
  <c r="AQ323" i="41"/>
  <c r="AQ25" i="41"/>
  <c r="AR25" i="41" s="1"/>
  <c r="S180" i="36"/>
  <c r="S182" i="36" s="1"/>
  <c r="R178" i="36"/>
  <c r="R34" i="18" s="1"/>
  <c r="R27" i="28" s="1"/>
  <c r="K213" i="36"/>
  <c r="N213" i="36"/>
  <c r="G213" i="36"/>
  <c r="O213" i="36"/>
  <c r="H213" i="36"/>
  <c r="P213" i="36"/>
  <c r="I213" i="36"/>
  <c r="N217" i="36"/>
  <c r="N220" i="36" s="1"/>
  <c r="O217" i="36"/>
  <c r="O220" i="36" s="1"/>
  <c r="J212" i="36"/>
  <c r="H217" i="36"/>
  <c r="H220" i="36" s="1"/>
  <c r="L212" i="36"/>
  <c r="I217" i="36"/>
  <c r="I220" i="36" s="1"/>
  <c r="M212" i="36"/>
  <c r="K217" i="36"/>
  <c r="K220" i="36" s="1"/>
  <c r="G217" i="36"/>
  <c r="G220" i="36" s="1"/>
  <c r="P220" i="36"/>
  <c r="S211" i="36"/>
  <c r="T211" i="36" s="1"/>
  <c r="F113" i="36"/>
  <c r="I75" i="42" l="1"/>
  <c r="I90" i="42" s="1"/>
  <c r="I76" i="42"/>
  <c r="L76" i="42"/>
  <c r="L75" i="42"/>
  <c r="L90" i="42" s="1"/>
  <c r="K75" i="42"/>
  <c r="K90" i="42" s="1"/>
  <c r="K76" i="42"/>
  <c r="AR323" i="41"/>
  <c r="AS30" i="41"/>
  <c r="AT29" i="41"/>
  <c r="AO527" i="41"/>
  <c r="AP526" i="41"/>
  <c r="H75" i="42"/>
  <c r="H76" i="42"/>
  <c r="AR203" i="41"/>
  <c r="AR223" i="41"/>
  <c r="AR11" i="41"/>
  <c r="AO525" i="41"/>
  <c r="AR21" i="41"/>
  <c r="H89" i="42"/>
  <c r="J75" i="42"/>
  <c r="J90" i="42" s="1"/>
  <c r="J76" i="42"/>
  <c r="AQ518" i="41"/>
  <c r="AP519" i="41"/>
  <c r="AQ303" i="41"/>
  <c r="AQ45" i="41"/>
  <c r="AQ15" i="41"/>
  <c r="AQ26" i="41"/>
  <c r="AQ7" i="41"/>
  <c r="AR14" i="41"/>
  <c r="AR546" i="41"/>
  <c r="AS9" i="41"/>
  <c r="AR197" i="41"/>
  <c r="AQ528" i="41"/>
  <c r="AQ36" i="41"/>
  <c r="AR35" i="41"/>
  <c r="AU43" i="41"/>
  <c r="AT44" i="41"/>
  <c r="AP525" i="41"/>
  <c r="AS203" i="41"/>
  <c r="AR224" i="41"/>
  <c r="AP521" i="41"/>
  <c r="AP520" i="41" s="1"/>
  <c r="AQ509" i="41"/>
  <c r="AQ508" i="41"/>
  <c r="AR23" i="41"/>
  <c r="AQ24" i="41"/>
  <c r="AP529" i="41"/>
  <c r="AR759" i="41"/>
  <c r="AR758" i="41"/>
  <c r="AR757" i="41"/>
  <c r="AR483" i="41"/>
  <c r="AR484" i="41" s="1"/>
  <c r="AR485" i="41" s="1"/>
  <c r="AR486" i="41" s="1"/>
  <c r="AR487" i="41" s="1"/>
  <c r="AR488" i="41" s="1"/>
  <c r="AR489" i="41" s="1"/>
  <c r="AR490" i="41" s="1"/>
  <c r="AR282" i="41"/>
  <c r="AR272" i="41" s="1"/>
  <c r="AR275" i="41"/>
  <c r="AR271" i="41"/>
  <c r="AR270" i="41"/>
  <c r="AR19" i="41"/>
  <c r="AR278" i="41"/>
  <c r="AS3" i="41"/>
  <c r="AR6" i="41"/>
  <c r="AR279" i="41"/>
  <c r="AR204" i="41"/>
  <c r="AS47" i="41"/>
  <c r="AR48" i="41"/>
  <c r="AQ511" i="41"/>
  <c r="AR510" i="41"/>
  <c r="AR205" i="41"/>
  <c r="AR201" i="41"/>
  <c r="AR206" i="41"/>
  <c r="AR202" i="41"/>
  <c r="AR42" i="41"/>
  <c r="AS39" i="41"/>
  <c r="AS49" i="41" s="1"/>
  <c r="AR547" i="41"/>
  <c r="AR313" i="41" s="1"/>
  <c r="AR545" i="41"/>
  <c r="AR280" i="41"/>
  <c r="AS2" i="41"/>
  <c r="AS423" i="41" s="1"/>
  <c r="AR208" i="41"/>
  <c r="AR422" i="41"/>
  <c r="AS422" i="41" s="1"/>
  <c r="AQ274" i="41"/>
  <c r="AR198" i="41"/>
  <c r="AP40" i="41"/>
  <c r="AP38" i="41" s="1"/>
  <c r="AR41" i="41"/>
  <c r="AR22" i="41"/>
  <c r="AO533" i="41"/>
  <c r="AO532" i="41" s="1"/>
  <c r="AQ514" i="41"/>
  <c r="AP515" i="41"/>
  <c r="AP46" i="41"/>
  <c r="AP27" i="41"/>
  <c r="AP8" i="41"/>
  <c r="AO524" i="41"/>
  <c r="AP513" i="41"/>
  <c r="AP512" i="41" s="1"/>
  <c r="AP523" i="41"/>
  <c r="AQ522" i="41"/>
  <c r="AR199" i="41"/>
  <c r="AO535" i="41"/>
  <c r="AP534" i="41"/>
  <c r="AR273" i="41"/>
  <c r="AS5" i="41"/>
  <c r="AQ530" i="41"/>
  <c r="AP531" i="41"/>
  <c r="AQ516" i="41"/>
  <c r="AQ517" i="41"/>
  <c r="T180" i="36"/>
  <c r="T182" i="36" s="1"/>
  <c r="S178" i="36"/>
  <c r="S34" i="18" s="1"/>
  <c r="S27" i="28" s="1"/>
  <c r="N15" i="9"/>
  <c r="I15" i="9"/>
  <c r="L215" i="36"/>
  <c r="L217" i="36" s="1"/>
  <c r="L220" i="36" s="1"/>
  <c r="L213" i="36"/>
  <c r="J215" i="36"/>
  <c r="J217" i="36" s="1"/>
  <c r="J15" i="9" s="1"/>
  <c r="J213" i="36"/>
  <c r="M215" i="36"/>
  <c r="M217" i="36" s="1"/>
  <c r="M15" i="9" s="1"/>
  <c r="M213" i="36"/>
  <c r="H15" i="9"/>
  <c r="O15" i="9"/>
  <c r="K15" i="9"/>
  <c r="G15" i="9"/>
  <c r="U211" i="36"/>
  <c r="V211" i="36" s="1"/>
  <c r="Q35" i="18"/>
  <c r="R35" i="18" s="1"/>
  <c r="S35" i="18" s="1"/>
  <c r="T35" i="18" s="1"/>
  <c r="U35" i="18" s="1"/>
  <c r="V35" i="18" s="1"/>
  <c r="W35" i="18" s="1"/>
  <c r="X35" i="18" s="1"/>
  <c r="Y35" i="18" s="1"/>
  <c r="Z35" i="18" s="1"/>
  <c r="Q36" i="18"/>
  <c r="R36" i="18" s="1"/>
  <c r="S36" i="18" s="1"/>
  <c r="T36" i="18" s="1"/>
  <c r="U36" i="18" s="1"/>
  <c r="V36" i="18" s="1"/>
  <c r="W36" i="18" s="1"/>
  <c r="X36" i="18" s="1"/>
  <c r="Y36" i="18" s="1"/>
  <c r="Z36" i="18" s="1"/>
  <c r="Q15" i="18"/>
  <c r="R15" i="18" s="1"/>
  <c r="S15" i="18" s="1"/>
  <c r="T15" i="18" s="1"/>
  <c r="U15" i="18" s="1"/>
  <c r="V15" i="18" s="1"/>
  <c r="W15" i="18" s="1"/>
  <c r="X15" i="18" s="1"/>
  <c r="Y15" i="18" s="1"/>
  <c r="Z15" i="18" s="1"/>
  <c r="Q20" i="18"/>
  <c r="R20" i="18" s="1"/>
  <c r="S20" i="18" s="1"/>
  <c r="T20" i="18" s="1"/>
  <c r="U20" i="18" s="1"/>
  <c r="V20" i="18" s="1"/>
  <c r="W20" i="18" s="1"/>
  <c r="X20" i="18" s="1"/>
  <c r="Y20" i="18" s="1"/>
  <c r="Z20" i="18" s="1"/>
  <c r="Q21" i="18"/>
  <c r="R21" i="18" s="1"/>
  <c r="S21" i="18" s="1"/>
  <c r="T21" i="18" s="1"/>
  <c r="U21" i="18" s="1"/>
  <c r="V21" i="18" s="1"/>
  <c r="W21" i="18" s="1"/>
  <c r="X21" i="18" s="1"/>
  <c r="Y21" i="18" s="1"/>
  <c r="Z21" i="18" s="1"/>
  <c r="Q43" i="18"/>
  <c r="R43" i="18" s="1"/>
  <c r="S43" i="18" s="1"/>
  <c r="T43" i="18" s="1"/>
  <c r="U43" i="18" s="1"/>
  <c r="V43" i="18" s="1"/>
  <c r="W43" i="18" s="1"/>
  <c r="X43" i="18" s="1"/>
  <c r="Y43" i="18" s="1"/>
  <c r="Z43" i="18" s="1"/>
  <c r="Q42" i="18"/>
  <c r="R42" i="18" s="1"/>
  <c r="S42" i="18" s="1"/>
  <c r="T42" i="18" s="1"/>
  <c r="U42" i="18" s="1"/>
  <c r="V42" i="18" s="1"/>
  <c r="W42" i="18" s="1"/>
  <c r="X42" i="18" s="1"/>
  <c r="Y42" i="18" s="1"/>
  <c r="Z42" i="18" s="1"/>
  <c r="Q40" i="18"/>
  <c r="R40" i="18" s="1"/>
  <c r="S40" i="18" s="1"/>
  <c r="T40" i="18" s="1"/>
  <c r="U40" i="18" s="1"/>
  <c r="V40" i="18" s="1"/>
  <c r="W40" i="18" s="1"/>
  <c r="X40" i="18" s="1"/>
  <c r="Y40" i="18" s="1"/>
  <c r="Z40" i="18" s="1"/>
  <c r="Q39" i="18"/>
  <c r="R39" i="18" s="1"/>
  <c r="S39" i="18" s="1"/>
  <c r="T39" i="18" s="1"/>
  <c r="U39" i="18" s="1"/>
  <c r="V39" i="18" s="1"/>
  <c r="W39" i="18" s="1"/>
  <c r="X39" i="18" s="1"/>
  <c r="Y39" i="18" s="1"/>
  <c r="Z39" i="18" s="1"/>
  <c r="Q19" i="18"/>
  <c r="R19" i="18" s="1"/>
  <c r="S19" i="18" s="1"/>
  <c r="T19" i="18" s="1"/>
  <c r="U19" i="18" s="1"/>
  <c r="V19" i="18" s="1"/>
  <c r="W19" i="18" s="1"/>
  <c r="X19" i="18" s="1"/>
  <c r="Y19" i="18" s="1"/>
  <c r="Z19" i="18" s="1"/>
  <c r="H18" i="42"/>
  <c r="J18" i="42"/>
  <c r="K18" i="42"/>
  <c r="I18" i="42"/>
  <c r="L18" i="42"/>
  <c r="J77" i="42" l="1"/>
  <c r="H77" i="42"/>
  <c r="L77" i="42"/>
  <c r="I77" i="42"/>
  <c r="K77" i="42"/>
  <c r="H90" i="42"/>
  <c r="AP527" i="41"/>
  <c r="AQ526" i="41"/>
  <c r="AU29" i="41"/>
  <c r="AT30" i="41"/>
  <c r="AS424" i="41"/>
  <c r="AQ519" i="41"/>
  <c r="AR518" i="41"/>
  <c r="AR274" i="41"/>
  <c r="AR24" i="41"/>
  <c r="AS23" i="41"/>
  <c r="AQ525" i="41"/>
  <c r="AQ524" i="41" s="1"/>
  <c r="AS202" i="41"/>
  <c r="AR509" i="41"/>
  <c r="AP524" i="41"/>
  <c r="AQ523" i="41"/>
  <c r="AR522" i="41"/>
  <c r="AR511" i="41"/>
  <c r="AS510" i="41"/>
  <c r="AS21" i="41"/>
  <c r="AR530" i="41"/>
  <c r="AQ531" i="41"/>
  <c r="AS198" i="41"/>
  <c r="AS273" i="41"/>
  <c r="AT5" i="41"/>
  <c r="AQ513" i="41"/>
  <c r="AQ515" i="41"/>
  <c r="AR514" i="41"/>
  <c r="AS208" i="41"/>
  <c r="AS321" i="41"/>
  <c r="AS48" i="41"/>
  <c r="AT47" i="41"/>
  <c r="AS759" i="41"/>
  <c r="AS758" i="41"/>
  <c r="AS757" i="41"/>
  <c r="AS483" i="41"/>
  <c r="AS484" i="41" s="1"/>
  <c r="AS485" i="41" s="1"/>
  <c r="AS486" i="41" s="1"/>
  <c r="AS487" i="41" s="1"/>
  <c r="AS488" i="41" s="1"/>
  <c r="AS489" i="41" s="1"/>
  <c r="AS490" i="41" s="1"/>
  <c r="AS271" i="41"/>
  <c r="AS270" i="41"/>
  <c r="AS279" i="41"/>
  <c r="AS278" i="41"/>
  <c r="AS275" i="41"/>
  <c r="AS282" i="41"/>
  <c r="AS272" i="41" s="1"/>
  <c r="AT3" i="41"/>
  <c r="AS6" i="41"/>
  <c r="AS19" i="41"/>
  <c r="AS547" i="41"/>
  <c r="AS313" i="41" s="1"/>
  <c r="AS545" i="41"/>
  <c r="AS280" i="41"/>
  <c r="AT2" i="41"/>
  <c r="AT424" i="41" s="1"/>
  <c r="AS200" i="41"/>
  <c r="AS204" i="41"/>
  <c r="AT204" i="41" s="1"/>
  <c r="AV43" i="41"/>
  <c r="AU44" i="41"/>
  <c r="AR45" i="41"/>
  <c r="AR303" i="41"/>
  <c r="AS14" i="41"/>
  <c r="AR26" i="41"/>
  <c r="AR15" i="41"/>
  <c r="AR7" i="41"/>
  <c r="AQ46" i="41"/>
  <c r="AQ8" i="41"/>
  <c r="AP533" i="41"/>
  <c r="AP532" i="41" s="1"/>
  <c r="AS206" i="41"/>
  <c r="AS25" i="41"/>
  <c r="AT25" i="41" s="1"/>
  <c r="AQ520" i="41"/>
  <c r="AQ521" i="41"/>
  <c r="AR528" i="41"/>
  <c r="AR36" i="41"/>
  <c r="AS35" i="41"/>
  <c r="AS11" i="41"/>
  <c r="AS323" i="41"/>
  <c r="AS207" i="41"/>
  <c r="AT207" i="41" s="1"/>
  <c r="AS22" i="41"/>
  <c r="AT22" i="41" s="1"/>
  <c r="AS201" i="41"/>
  <c r="AQ304" i="41"/>
  <c r="AS425" i="41"/>
  <c r="AT425" i="41" s="1"/>
  <c r="AQ529" i="41"/>
  <c r="AS546" i="41"/>
  <c r="AT9" i="41"/>
  <c r="AS42" i="41"/>
  <c r="AT39" i="41"/>
  <c r="AS197" i="41"/>
  <c r="AT197" i="41" s="1"/>
  <c r="AP535" i="41"/>
  <c r="AQ534" i="41"/>
  <c r="AS199" i="41"/>
  <c r="AS41" i="41"/>
  <c r="AQ40" i="41"/>
  <c r="AQ27" i="41" s="1"/>
  <c r="AS223" i="41"/>
  <c r="AT223" i="41" s="1"/>
  <c r="AS205" i="41"/>
  <c r="AT205" i="41" s="1"/>
  <c r="AS224" i="41"/>
  <c r="AS196" i="41"/>
  <c r="U180" i="36"/>
  <c r="U182" i="36" s="1"/>
  <c r="T178" i="36"/>
  <c r="T34" i="18" s="1"/>
  <c r="T27" i="28" s="1"/>
  <c r="J220" i="36"/>
  <c r="X213" i="36"/>
  <c r="Q213" i="36"/>
  <c r="S213" i="36"/>
  <c r="M220" i="36"/>
  <c r="Y213" i="36"/>
  <c r="U213" i="36"/>
  <c r="V213" i="36"/>
  <c r="W213" i="36"/>
  <c r="T213" i="36"/>
  <c r="L15" i="9"/>
  <c r="Z213" i="36"/>
  <c r="R213" i="36"/>
  <c r="W211" i="36"/>
  <c r="X211" i="36" s="1"/>
  <c r="Y211" i="36" s="1"/>
  <c r="Z211" i="36" s="1"/>
  <c r="P190" i="36"/>
  <c r="O190" i="36"/>
  <c r="N190" i="36"/>
  <c r="M190" i="36"/>
  <c r="L190" i="36"/>
  <c r="K190" i="36"/>
  <c r="J190" i="36"/>
  <c r="I190" i="36"/>
  <c r="H190" i="36"/>
  <c r="P189" i="36"/>
  <c r="O189" i="36"/>
  <c r="N189" i="36"/>
  <c r="M189" i="36"/>
  <c r="L189" i="36"/>
  <c r="K189" i="36"/>
  <c r="J189" i="36"/>
  <c r="I189" i="36"/>
  <c r="H189" i="36"/>
  <c r="G190" i="36"/>
  <c r="H191" i="36"/>
  <c r="I191" i="36"/>
  <c r="J191" i="36"/>
  <c r="K191" i="36"/>
  <c r="L191" i="36"/>
  <c r="M191" i="36"/>
  <c r="N191" i="36"/>
  <c r="O191" i="36"/>
  <c r="P191" i="36"/>
  <c r="G191" i="36"/>
  <c r="G189" i="36"/>
  <c r="H201" i="36"/>
  <c r="I201" i="36"/>
  <c r="J201" i="36"/>
  <c r="K201" i="36"/>
  <c r="L201" i="36"/>
  <c r="M201" i="36"/>
  <c r="N201" i="36"/>
  <c r="O201" i="36"/>
  <c r="P201" i="36"/>
  <c r="G201" i="36"/>
  <c r="P200" i="36"/>
  <c r="O200" i="36"/>
  <c r="N200" i="36"/>
  <c r="M200" i="36"/>
  <c r="L200" i="36"/>
  <c r="K200" i="36"/>
  <c r="J200" i="36"/>
  <c r="I200" i="36"/>
  <c r="H200" i="36"/>
  <c r="G200" i="36"/>
  <c r="P199" i="36"/>
  <c r="O199" i="36"/>
  <c r="N199" i="36"/>
  <c r="M199" i="36"/>
  <c r="L199" i="36"/>
  <c r="K199" i="36"/>
  <c r="J199" i="36"/>
  <c r="I199" i="36"/>
  <c r="H199" i="36"/>
  <c r="G199" i="36"/>
  <c r="P198" i="36"/>
  <c r="O198" i="36"/>
  <c r="N198" i="36"/>
  <c r="M198" i="36"/>
  <c r="L198" i="36"/>
  <c r="K198" i="36"/>
  <c r="J198" i="36"/>
  <c r="I198" i="36"/>
  <c r="H198" i="36"/>
  <c r="G198" i="36"/>
  <c r="S18" i="40"/>
  <c r="T18" i="40" s="1"/>
  <c r="U18" i="40" s="1"/>
  <c r="V18" i="40" s="1"/>
  <c r="W18" i="40" s="1"/>
  <c r="X18" i="40" s="1"/>
  <c r="Y18" i="40" s="1"/>
  <c r="F24" i="40"/>
  <c r="F19" i="40"/>
  <c r="P61" i="36"/>
  <c r="O61" i="36"/>
  <c r="N61" i="36"/>
  <c r="M61" i="36"/>
  <c r="L61" i="36"/>
  <c r="K61" i="36"/>
  <c r="J61" i="36"/>
  <c r="I61" i="36"/>
  <c r="P58" i="36"/>
  <c r="O58" i="36"/>
  <c r="N58" i="36"/>
  <c r="M58" i="36"/>
  <c r="L58" i="36"/>
  <c r="K58" i="36"/>
  <c r="J58" i="36"/>
  <c r="I58" i="36"/>
  <c r="P35" i="36"/>
  <c r="O35" i="36"/>
  <c r="N35" i="36"/>
  <c r="M35" i="36"/>
  <c r="L35" i="36"/>
  <c r="K35" i="36"/>
  <c r="J35" i="36"/>
  <c r="I35" i="36"/>
  <c r="H35" i="36"/>
  <c r="G35" i="36"/>
  <c r="F112" i="36"/>
  <c r="P110" i="36"/>
  <c r="Q110" i="36" s="1"/>
  <c r="R110" i="36" s="1"/>
  <c r="S110" i="36" s="1"/>
  <c r="T110" i="36" s="1"/>
  <c r="U110" i="36" s="1"/>
  <c r="V110" i="36" s="1"/>
  <c r="W110" i="36" s="1"/>
  <c r="X110" i="36" s="1"/>
  <c r="Y110" i="36" s="1"/>
  <c r="Z110" i="36" s="1"/>
  <c r="O110" i="36"/>
  <c r="N110" i="36"/>
  <c r="M110" i="36"/>
  <c r="L110" i="36"/>
  <c r="K110" i="36"/>
  <c r="J110" i="36"/>
  <c r="I110" i="36"/>
  <c r="H110" i="36"/>
  <c r="G110" i="36"/>
  <c r="F109" i="36"/>
  <c r="H124" i="36"/>
  <c r="H123" i="36"/>
  <c r="I123" i="36"/>
  <c r="J120" i="36" s="1"/>
  <c r="J124" i="36" s="1"/>
  <c r="J123" i="36"/>
  <c r="K120" i="36" s="1"/>
  <c r="K124" i="36" s="1"/>
  <c r="K123" i="36"/>
  <c r="L120" i="36" s="1"/>
  <c r="L124" i="36" s="1"/>
  <c r="L123" i="36"/>
  <c r="M120" i="36" s="1"/>
  <c r="M124" i="36" s="1"/>
  <c r="M123" i="36"/>
  <c r="N120" i="36" s="1"/>
  <c r="N124" i="36" s="1"/>
  <c r="N123" i="36"/>
  <c r="O120" i="36" s="1"/>
  <c r="O124" i="36" s="1"/>
  <c r="O123" i="36"/>
  <c r="P120" i="36" s="1"/>
  <c r="P124" i="36" s="1"/>
  <c r="P123" i="36"/>
  <c r="H20" i="9"/>
  <c r="I20" i="9"/>
  <c r="J20" i="9"/>
  <c r="K20" i="9"/>
  <c r="L20" i="9"/>
  <c r="H8" i="42" s="1"/>
  <c r="M20" i="9"/>
  <c r="I8" i="42" s="1"/>
  <c r="N20" i="9"/>
  <c r="J8" i="42" s="1"/>
  <c r="O20" i="9"/>
  <c r="K8" i="42" s="1"/>
  <c r="P20" i="9"/>
  <c r="L8" i="42" s="1"/>
  <c r="G20" i="9"/>
  <c r="P38" i="18"/>
  <c r="O38" i="18"/>
  <c r="N38" i="18"/>
  <c r="M38" i="18"/>
  <c r="L38" i="18"/>
  <c r="K38" i="18"/>
  <c r="J38" i="18"/>
  <c r="I38" i="18"/>
  <c r="H38" i="18"/>
  <c r="G38" i="18"/>
  <c r="P32" i="18"/>
  <c r="O32" i="18"/>
  <c r="N32" i="18"/>
  <c r="M32" i="18"/>
  <c r="L32" i="18"/>
  <c r="K32" i="18"/>
  <c r="J32" i="18"/>
  <c r="I32" i="18"/>
  <c r="H32" i="18"/>
  <c r="G32" i="18"/>
  <c r="P26" i="18"/>
  <c r="O26" i="18"/>
  <c r="N26" i="18"/>
  <c r="M26" i="18"/>
  <c r="L26" i="18"/>
  <c r="K26" i="18"/>
  <c r="J26" i="18"/>
  <c r="I26" i="18"/>
  <c r="H26" i="18"/>
  <c r="G26" i="18"/>
  <c r="P17" i="18"/>
  <c r="O17" i="18"/>
  <c r="N17" i="18"/>
  <c r="M17" i="18"/>
  <c r="L17" i="18"/>
  <c r="K17" i="18"/>
  <c r="J17" i="18"/>
  <c r="I17" i="18"/>
  <c r="H17" i="18"/>
  <c r="G17" i="18"/>
  <c r="O10" i="18"/>
  <c r="N10" i="18"/>
  <c r="M10" i="18"/>
  <c r="L10" i="18"/>
  <c r="K10" i="18"/>
  <c r="J10" i="18"/>
  <c r="I10" i="18"/>
  <c r="H10" i="18"/>
  <c r="G10" i="18"/>
  <c r="P10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G2" i="18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G2" i="16"/>
  <c r="P13" i="9"/>
  <c r="O13" i="9"/>
  <c r="N13" i="9"/>
  <c r="M13" i="9"/>
  <c r="L13" i="9"/>
  <c r="K13" i="9"/>
  <c r="J13" i="9"/>
  <c r="I13" i="9"/>
  <c r="H13" i="9"/>
  <c r="P12" i="9"/>
  <c r="O12" i="9"/>
  <c r="N12" i="9"/>
  <c r="M12" i="9"/>
  <c r="L12" i="9"/>
  <c r="K12" i="9"/>
  <c r="J12" i="9"/>
  <c r="I12" i="9"/>
  <c r="H12" i="9"/>
  <c r="P11" i="9"/>
  <c r="O11" i="9"/>
  <c r="N11" i="9"/>
  <c r="M11" i="9"/>
  <c r="L11" i="9"/>
  <c r="K11" i="9"/>
  <c r="J11" i="9"/>
  <c r="I11" i="9"/>
  <c r="H11" i="9"/>
  <c r="P10" i="9"/>
  <c r="O10" i="9"/>
  <c r="N10" i="9"/>
  <c r="M10" i="9"/>
  <c r="L10" i="9"/>
  <c r="K10" i="9"/>
  <c r="J10" i="9"/>
  <c r="I10" i="9"/>
  <c r="H10" i="9"/>
  <c r="G11" i="9"/>
  <c r="G10" i="9"/>
  <c r="F96" i="36"/>
  <c r="F103" i="36"/>
  <c r="F102" i="36"/>
  <c r="P8" i="9"/>
  <c r="O8" i="9"/>
  <c r="N8" i="9"/>
  <c r="M8" i="9"/>
  <c r="L8" i="9"/>
  <c r="K8" i="9"/>
  <c r="K11" i="28" s="1"/>
  <c r="J8" i="9"/>
  <c r="J11" i="28" s="1"/>
  <c r="I8" i="9"/>
  <c r="I11" i="28" s="1"/>
  <c r="H8" i="9"/>
  <c r="H11" i="28" s="1"/>
  <c r="G13" i="9"/>
  <c r="G12" i="9"/>
  <c r="G8" i="9"/>
  <c r="G11" i="28" s="1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11" i="36"/>
  <c r="G10" i="36"/>
  <c r="G9" i="36"/>
  <c r="P63" i="36"/>
  <c r="P90" i="36" s="1"/>
  <c r="O63" i="36"/>
  <c r="O90" i="36" s="1"/>
  <c r="N63" i="36"/>
  <c r="N90" i="36" s="1"/>
  <c r="M63" i="36"/>
  <c r="M90" i="36" s="1"/>
  <c r="L63" i="36"/>
  <c r="L90" i="36" s="1"/>
  <c r="K63" i="36"/>
  <c r="K90" i="36" s="1"/>
  <c r="J63" i="36"/>
  <c r="J90" i="36" s="1"/>
  <c r="I63" i="36"/>
  <c r="I90" i="36" s="1"/>
  <c r="H63" i="36"/>
  <c r="H90" i="36" s="1"/>
  <c r="G63" i="36"/>
  <c r="G90" i="36" s="1"/>
  <c r="F61" i="36"/>
  <c r="F58" i="36"/>
  <c r="F55" i="36"/>
  <c r="Z73" i="36"/>
  <c r="Y73" i="36"/>
  <c r="X73" i="36"/>
  <c r="W73" i="36"/>
  <c r="V73" i="36"/>
  <c r="U73" i="36"/>
  <c r="T73" i="36"/>
  <c r="S73" i="36"/>
  <c r="R73" i="36"/>
  <c r="Q73" i="36"/>
  <c r="P73" i="36"/>
  <c r="O73" i="36"/>
  <c r="N73" i="36"/>
  <c r="M73" i="36"/>
  <c r="L73" i="36"/>
  <c r="K73" i="36"/>
  <c r="J73" i="36"/>
  <c r="I73" i="36"/>
  <c r="H73" i="36"/>
  <c r="Z72" i="36"/>
  <c r="Y72" i="36"/>
  <c r="X72" i="36"/>
  <c r="W72" i="36"/>
  <c r="V72" i="36"/>
  <c r="U72" i="36"/>
  <c r="T72" i="36"/>
  <c r="S72" i="36"/>
  <c r="R72" i="36"/>
  <c r="Q72" i="36"/>
  <c r="P72" i="36"/>
  <c r="O72" i="36"/>
  <c r="N72" i="36"/>
  <c r="M72" i="36"/>
  <c r="L72" i="36"/>
  <c r="K72" i="36"/>
  <c r="J72" i="36"/>
  <c r="I72" i="36"/>
  <c r="H72" i="36"/>
  <c r="Z71" i="36"/>
  <c r="Y71" i="36"/>
  <c r="X71" i="36"/>
  <c r="W71" i="36"/>
  <c r="V71" i="36"/>
  <c r="U71" i="36"/>
  <c r="T71" i="36"/>
  <c r="S71" i="36"/>
  <c r="R71" i="36"/>
  <c r="Q71" i="36"/>
  <c r="P71" i="36"/>
  <c r="O71" i="36"/>
  <c r="N71" i="36"/>
  <c r="M71" i="36"/>
  <c r="L71" i="36"/>
  <c r="K71" i="36"/>
  <c r="J71" i="36"/>
  <c r="I71" i="36"/>
  <c r="H71" i="36"/>
  <c r="G73" i="36"/>
  <c r="G72" i="36"/>
  <c r="G71" i="36"/>
  <c r="BC998" i="39"/>
  <c r="BD998" i="39" s="1"/>
  <c r="BE998" i="39" s="1"/>
  <c r="BF998" i="39" s="1"/>
  <c r="BG998" i="39" s="1"/>
  <c r="BE997" i="39"/>
  <c r="BF997" i="39" s="1"/>
  <c r="BG997" i="39" s="1"/>
  <c r="BC997" i="39"/>
  <c r="BD997" i="39" s="1"/>
  <c r="BC996" i="39"/>
  <c r="BD996" i="39" s="1"/>
  <c r="BE996" i="39" s="1"/>
  <c r="BF996" i="39" s="1"/>
  <c r="BG996" i="39" s="1"/>
  <c r="BC995" i="39"/>
  <c r="BD995" i="39" s="1"/>
  <c r="BE995" i="39" s="1"/>
  <c r="BF995" i="39" s="1"/>
  <c r="BG995" i="39" s="1"/>
  <c r="BD994" i="39"/>
  <c r="BE994" i="39" s="1"/>
  <c r="BF994" i="39" s="1"/>
  <c r="BG994" i="39" s="1"/>
  <c r="BC994" i="39"/>
  <c r="BD993" i="39"/>
  <c r="BE993" i="39" s="1"/>
  <c r="BF993" i="39" s="1"/>
  <c r="BG993" i="39" s="1"/>
  <c r="BC993" i="39"/>
  <c r="BC992" i="39"/>
  <c r="BD992" i="39" s="1"/>
  <c r="BE992" i="39" s="1"/>
  <c r="BF992" i="39" s="1"/>
  <c r="BG992" i="39" s="1"/>
  <c r="BG991" i="39"/>
  <c r="BC991" i="39"/>
  <c r="BD991" i="39" s="1"/>
  <c r="BE991" i="39" s="1"/>
  <c r="BF991" i="39" s="1"/>
  <c r="BF990" i="39"/>
  <c r="BG990" i="39" s="1"/>
  <c r="BC990" i="39"/>
  <c r="BD990" i="39" s="1"/>
  <c r="BE990" i="39" s="1"/>
  <c r="BC989" i="39"/>
  <c r="BD989" i="39" s="1"/>
  <c r="BE989" i="39" s="1"/>
  <c r="BF989" i="39" s="1"/>
  <c r="BG989" i="39" s="1"/>
  <c r="BC988" i="39"/>
  <c r="BD988" i="39" s="1"/>
  <c r="BE988" i="39" s="1"/>
  <c r="BF988" i="39" s="1"/>
  <c r="BG988" i="39" s="1"/>
  <c r="AM760" i="39"/>
  <c r="AN760" i="39" s="1"/>
  <c r="AO760" i="39" s="1"/>
  <c r="AP760" i="39" s="1"/>
  <c r="AQ760" i="39" s="1"/>
  <c r="AR760" i="39" s="1"/>
  <c r="AS760" i="39" s="1"/>
  <c r="AT760" i="39" s="1"/>
  <c r="AU760" i="39" s="1"/>
  <c r="AV760" i="39" s="1"/>
  <c r="AW760" i="39" s="1"/>
  <c r="AX760" i="39" s="1"/>
  <c r="AY760" i="39" s="1"/>
  <c r="AZ760" i="39" s="1"/>
  <c r="BA760" i="39" s="1"/>
  <c r="BB760" i="39" s="1"/>
  <c r="BC760" i="39" s="1"/>
  <c r="BD760" i="39" s="1"/>
  <c r="BE760" i="39" s="1"/>
  <c r="BF760" i="39" s="1"/>
  <c r="BG760" i="39" s="1"/>
  <c r="AL760" i="39"/>
  <c r="AK760" i="39"/>
  <c r="AJ760" i="39"/>
  <c r="AG760" i="39"/>
  <c r="AJ759" i="39"/>
  <c r="AG759" i="39"/>
  <c r="AJ758" i="39"/>
  <c r="AG758" i="39"/>
  <c r="AJ757" i="39"/>
  <c r="AG757" i="39"/>
  <c r="AF757" i="39"/>
  <c r="AM756" i="39"/>
  <c r="AN756" i="39" s="1"/>
  <c r="AO756" i="39" s="1"/>
  <c r="AP756" i="39" s="1"/>
  <c r="AQ756" i="39" s="1"/>
  <c r="AR756" i="39" s="1"/>
  <c r="AS756" i="39" s="1"/>
  <c r="AT756" i="39" s="1"/>
  <c r="AU756" i="39" s="1"/>
  <c r="AV756" i="39" s="1"/>
  <c r="AW756" i="39" s="1"/>
  <c r="AX756" i="39" s="1"/>
  <c r="AY756" i="39" s="1"/>
  <c r="AZ756" i="39" s="1"/>
  <c r="BA756" i="39" s="1"/>
  <c r="BB756" i="39" s="1"/>
  <c r="BC756" i="39" s="1"/>
  <c r="BD756" i="39" s="1"/>
  <c r="BE756" i="39" s="1"/>
  <c r="BF756" i="39" s="1"/>
  <c r="BG756" i="39" s="1"/>
  <c r="AL756" i="39"/>
  <c r="AK756" i="39"/>
  <c r="AJ756" i="39"/>
  <c r="AG756" i="39"/>
  <c r="AM755" i="39"/>
  <c r="AN755" i="39" s="1"/>
  <c r="AO755" i="39" s="1"/>
  <c r="AP755" i="39" s="1"/>
  <c r="AQ755" i="39" s="1"/>
  <c r="AR755" i="39" s="1"/>
  <c r="AS755" i="39" s="1"/>
  <c r="AT755" i="39" s="1"/>
  <c r="AU755" i="39" s="1"/>
  <c r="AV755" i="39" s="1"/>
  <c r="AW755" i="39" s="1"/>
  <c r="AX755" i="39" s="1"/>
  <c r="AY755" i="39" s="1"/>
  <c r="AZ755" i="39" s="1"/>
  <c r="BA755" i="39" s="1"/>
  <c r="BB755" i="39" s="1"/>
  <c r="BC755" i="39" s="1"/>
  <c r="BD755" i="39" s="1"/>
  <c r="BE755" i="39" s="1"/>
  <c r="BF755" i="39" s="1"/>
  <c r="BG755" i="39" s="1"/>
  <c r="AL755" i="39"/>
  <c r="AK755" i="39"/>
  <c r="AJ755" i="39"/>
  <c r="AG755" i="39"/>
  <c r="AO754" i="39"/>
  <c r="AP754" i="39" s="1"/>
  <c r="AQ754" i="39" s="1"/>
  <c r="AR754" i="39" s="1"/>
  <c r="AS754" i="39" s="1"/>
  <c r="AT754" i="39" s="1"/>
  <c r="AU754" i="39" s="1"/>
  <c r="AV754" i="39" s="1"/>
  <c r="AW754" i="39" s="1"/>
  <c r="AX754" i="39" s="1"/>
  <c r="AY754" i="39" s="1"/>
  <c r="AZ754" i="39" s="1"/>
  <c r="BA754" i="39" s="1"/>
  <c r="BB754" i="39" s="1"/>
  <c r="BC754" i="39" s="1"/>
  <c r="BD754" i="39" s="1"/>
  <c r="BE754" i="39" s="1"/>
  <c r="BF754" i="39" s="1"/>
  <c r="BG754" i="39" s="1"/>
  <c r="AM754" i="39"/>
  <c r="AN754" i="39" s="1"/>
  <c r="AL754" i="39"/>
  <c r="AK754" i="39"/>
  <c r="AJ754" i="39"/>
  <c r="AG754" i="39"/>
  <c r="AN753" i="39"/>
  <c r="AO753" i="39" s="1"/>
  <c r="AP753" i="39" s="1"/>
  <c r="AQ753" i="39" s="1"/>
  <c r="AR753" i="39" s="1"/>
  <c r="AS753" i="39" s="1"/>
  <c r="AT753" i="39" s="1"/>
  <c r="AU753" i="39" s="1"/>
  <c r="AV753" i="39" s="1"/>
  <c r="AW753" i="39" s="1"/>
  <c r="AX753" i="39" s="1"/>
  <c r="AY753" i="39" s="1"/>
  <c r="AZ753" i="39" s="1"/>
  <c r="BA753" i="39" s="1"/>
  <c r="BB753" i="39" s="1"/>
  <c r="BC753" i="39" s="1"/>
  <c r="BD753" i="39" s="1"/>
  <c r="BE753" i="39" s="1"/>
  <c r="BF753" i="39" s="1"/>
  <c r="BG753" i="39" s="1"/>
  <c r="AM753" i="39"/>
  <c r="AL753" i="39"/>
  <c r="AK753" i="39"/>
  <c r="AJ753" i="39"/>
  <c r="AG753" i="39"/>
  <c r="AM752" i="39"/>
  <c r="AN752" i="39" s="1"/>
  <c r="AO752" i="39" s="1"/>
  <c r="AP752" i="39" s="1"/>
  <c r="AQ752" i="39" s="1"/>
  <c r="AR752" i="39" s="1"/>
  <c r="AS752" i="39" s="1"/>
  <c r="AT752" i="39" s="1"/>
  <c r="AU752" i="39" s="1"/>
  <c r="AV752" i="39" s="1"/>
  <c r="AW752" i="39" s="1"/>
  <c r="AX752" i="39" s="1"/>
  <c r="AY752" i="39" s="1"/>
  <c r="AZ752" i="39" s="1"/>
  <c r="BA752" i="39" s="1"/>
  <c r="BB752" i="39" s="1"/>
  <c r="BC752" i="39" s="1"/>
  <c r="BD752" i="39" s="1"/>
  <c r="BE752" i="39" s="1"/>
  <c r="BF752" i="39" s="1"/>
  <c r="BG752" i="39" s="1"/>
  <c r="AL752" i="39"/>
  <c r="AK752" i="39"/>
  <c r="AJ752" i="39"/>
  <c r="AG752" i="39"/>
  <c r="AM751" i="39"/>
  <c r="AN751" i="39" s="1"/>
  <c r="AO751" i="39" s="1"/>
  <c r="AP751" i="39" s="1"/>
  <c r="AQ751" i="39" s="1"/>
  <c r="AR751" i="39" s="1"/>
  <c r="AS751" i="39" s="1"/>
  <c r="AT751" i="39" s="1"/>
  <c r="AU751" i="39" s="1"/>
  <c r="AV751" i="39" s="1"/>
  <c r="AW751" i="39" s="1"/>
  <c r="AX751" i="39" s="1"/>
  <c r="AY751" i="39" s="1"/>
  <c r="AZ751" i="39" s="1"/>
  <c r="BA751" i="39" s="1"/>
  <c r="BB751" i="39" s="1"/>
  <c r="BC751" i="39" s="1"/>
  <c r="BD751" i="39" s="1"/>
  <c r="BE751" i="39" s="1"/>
  <c r="BF751" i="39" s="1"/>
  <c r="BG751" i="39" s="1"/>
  <c r="AL751" i="39"/>
  <c r="AK751" i="39"/>
  <c r="AJ751" i="39"/>
  <c r="AG751" i="39"/>
  <c r="AM750" i="39"/>
  <c r="AN750" i="39" s="1"/>
  <c r="AO750" i="39" s="1"/>
  <c r="AP750" i="39" s="1"/>
  <c r="AQ750" i="39" s="1"/>
  <c r="AR750" i="39" s="1"/>
  <c r="AS750" i="39" s="1"/>
  <c r="AT750" i="39" s="1"/>
  <c r="AU750" i="39" s="1"/>
  <c r="AV750" i="39" s="1"/>
  <c r="AW750" i="39" s="1"/>
  <c r="AX750" i="39" s="1"/>
  <c r="AY750" i="39" s="1"/>
  <c r="AZ750" i="39" s="1"/>
  <c r="BA750" i="39" s="1"/>
  <c r="BB750" i="39" s="1"/>
  <c r="BC750" i="39" s="1"/>
  <c r="BD750" i="39" s="1"/>
  <c r="BE750" i="39" s="1"/>
  <c r="BF750" i="39" s="1"/>
  <c r="BG750" i="39" s="1"/>
  <c r="AL750" i="39"/>
  <c r="AK750" i="39"/>
  <c r="AJ750" i="39"/>
  <c r="AG750" i="39"/>
  <c r="BC700" i="39"/>
  <c r="BD700" i="39" s="1"/>
  <c r="BE700" i="39" s="1"/>
  <c r="BF700" i="39" s="1"/>
  <c r="BG700" i="39" s="1"/>
  <c r="BC675" i="39"/>
  <c r="BD675" i="39" s="1"/>
  <c r="BE675" i="39" s="1"/>
  <c r="BF675" i="39" s="1"/>
  <c r="BG675" i="39" s="1"/>
  <c r="BC674" i="39"/>
  <c r="BD674" i="39" s="1"/>
  <c r="BE674" i="39" s="1"/>
  <c r="BF674" i="39" s="1"/>
  <c r="BG674" i="39" s="1"/>
  <c r="BC673" i="39"/>
  <c r="BD673" i="39" s="1"/>
  <c r="BE673" i="39" s="1"/>
  <c r="BF673" i="39" s="1"/>
  <c r="BG673" i="39" s="1"/>
  <c r="BC672" i="39"/>
  <c r="BD672" i="39" s="1"/>
  <c r="BE672" i="39" s="1"/>
  <c r="BF672" i="39" s="1"/>
  <c r="BG672" i="39" s="1"/>
  <c r="BD671" i="39"/>
  <c r="BE671" i="39" s="1"/>
  <c r="BF671" i="39" s="1"/>
  <c r="BG671" i="39" s="1"/>
  <c r="BC671" i="39"/>
  <c r="BC670" i="39"/>
  <c r="BD670" i="39" s="1"/>
  <c r="BE670" i="39" s="1"/>
  <c r="BF670" i="39" s="1"/>
  <c r="BG670" i="39" s="1"/>
  <c r="BC669" i="39"/>
  <c r="BD669" i="39" s="1"/>
  <c r="BE669" i="39" s="1"/>
  <c r="BF669" i="39" s="1"/>
  <c r="BG669" i="39" s="1"/>
  <c r="BC668" i="39"/>
  <c r="BD668" i="39" s="1"/>
  <c r="BE668" i="39" s="1"/>
  <c r="BF668" i="39" s="1"/>
  <c r="BG668" i="39" s="1"/>
  <c r="BE654" i="39"/>
  <c r="BF654" i="39" s="1"/>
  <c r="BG654" i="39" s="1"/>
  <c r="BC654" i="39"/>
  <c r="BD654" i="39" s="1"/>
  <c r="BC653" i="39"/>
  <c r="BD653" i="39" s="1"/>
  <c r="BE653" i="39" s="1"/>
  <c r="BF653" i="39" s="1"/>
  <c r="BG653" i="39" s="1"/>
  <c r="BC652" i="39"/>
  <c r="BD652" i="39" s="1"/>
  <c r="BE652" i="39" s="1"/>
  <c r="BF652" i="39" s="1"/>
  <c r="BG652" i="39" s="1"/>
  <c r="BG651" i="39"/>
  <c r="BC651" i="39"/>
  <c r="BD651" i="39" s="1"/>
  <c r="BE651" i="39" s="1"/>
  <c r="BF651" i="39" s="1"/>
  <c r="BC650" i="39"/>
  <c r="BD650" i="39" s="1"/>
  <c r="BE650" i="39" s="1"/>
  <c r="BF650" i="39" s="1"/>
  <c r="BG650" i="39" s="1"/>
  <c r="BC638" i="39"/>
  <c r="BD638" i="39" s="1"/>
  <c r="BE638" i="39" s="1"/>
  <c r="BF638" i="39" s="1"/>
  <c r="BG638" i="39" s="1"/>
  <c r="BC637" i="39"/>
  <c r="BD637" i="39" s="1"/>
  <c r="BE637" i="39" s="1"/>
  <c r="BF637" i="39" s="1"/>
  <c r="BG637" i="39" s="1"/>
  <c r="BC636" i="39"/>
  <c r="BD636" i="39" s="1"/>
  <c r="BE636" i="39" s="1"/>
  <c r="BF636" i="39" s="1"/>
  <c r="BG636" i="39" s="1"/>
  <c r="BC635" i="39"/>
  <c r="BD635" i="39" s="1"/>
  <c r="BE635" i="39" s="1"/>
  <c r="BF635" i="39" s="1"/>
  <c r="BG635" i="39" s="1"/>
  <c r="BC634" i="39"/>
  <c r="BD634" i="39" s="1"/>
  <c r="BE634" i="39" s="1"/>
  <c r="BF634" i="39" s="1"/>
  <c r="BG634" i="39" s="1"/>
  <c r="BC633" i="39"/>
  <c r="BD633" i="39" s="1"/>
  <c r="BE633" i="39" s="1"/>
  <c r="BF633" i="39" s="1"/>
  <c r="BG633" i="39" s="1"/>
  <c r="BC632" i="39"/>
  <c r="BD632" i="39" s="1"/>
  <c r="BE632" i="39" s="1"/>
  <c r="BF632" i="39" s="1"/>
  <c r="BG632" i="39" s="1"/>
  <c r="BD631" i="39"/>
  <c r="BE631" i="39" s="1"/>
  <c r="BF631" i="39" s="1"/>
  <c r="BG631" i="39" s="1"/>
  <c r="BC631" i="39"/>
  <c r="BC630" i="39"/>
  <c r="BD630" i="39" s="1"/>
  <c r="BE630" i="39" s="1"/>
  <c r="BF630" i="39" s="1"/>
  <c r="BG630" i="39" s="1"/>
  <c r="BD629" i="39"/>
  <c r="BE629" i="39" s="1"/>
  <c r="BF629" i="39" s="1"/>
  <c r="BG629" i="39" s="1"/>
  <c r="BC629" i="39"/>
  <c r="BD628" i="39"/>
  <c r="BE628" i="39" s="1"/>
  <c r="BF628" i="39" s="1"/>
  <c r="BG628" i="39" s="1"/>
  <c r="BC628" i="39"/>
  <c r="BC627" i="39"/>
  <c r="BD627" i="39" s="1"/>
  <c r="BE627" i="39" s="1"/>
  <c r="BF627" i="39" s="1"/>
  <c r="BG627" i="39" s="1"/>
  <c r="BC626" i="39"/>
  <c r="BD626" i="39" s="1"/>
  <c r="BE626" i="39" s="1"/>
  <c r="BF626" i="39" s="1"/>
  <c r="BG626" i="39" s="1"/>
  <c r="BC625" i="39"/>
  <c r="BD625" i="39" s="1"/>
  <c r="BE625" i="39" s="1"/>
  <c r="BF625" i="39" s="1"/>
  <c r="BG625" i="39" s="1"/>
  <c r="BF599" i="39"/>
  <c r="BG599" i="39" s="1"/>
  <c r="BC599" i="39"/>
  <c r="BD599" i="39" s="1"/>
  <c r="BE599" i="39" s="1"/>
  <c r="BC594" i="39"/>
  <c r="BD594" i="39" s="1"/>
  <c r="BE594" i="39" s="1"/>
  <c r="BF594" i="39" s="1"/>
  <c r="BG594" i="39" s="1"/>
  <c r="BC593" i="39"/>
  <c r="BD593" i="39" s="1"/>
  <c r="BE593" i="39" s="1"/>
  <c r="BF593" i="39" s="1"/>
  <c r="BG593" i="39" s="1"/>
  <c r="BD592" i="39"/>
  <c r="BE592" i="39" s="1"/>
  <c r="BF592" i="39" s="1"/>
  <c r="BG592" i="39" s="1"/>
  <c r="BC592" i="39"/>
  <c r="BC591" i="39"/>
  <c r="BD591" i="39" s="1"/>
  <c r="BE591" i="39" s="1"/>
  <c r="BF591" i="39" s="1"/>
  <c r="BG591" i="39" s="1"/>
  <c r="BF590" i="39"/>
  <c r="BG590" i="39" s="1"/>
  <c r="BC590" i="39"/>
  <c r="BD590" i="39" s="1"/>
  <c r="BE590" i="39" s="1"/>
  <c r="BC589" i="39"/>
  <c r="BD589" i="39" s="1"/>
  <c r="BE589" i="39" s="1"/>
  <c r="BF589" i="39" s="1"/>
  <c r="BG589" i="39" s="1"/>
  <c r="BC588" i="39"/>
  <c r="BD588" i="39" s="1"/>
  <c r="BE588" i="39" s="1"/>
  <c r="BF588" i="39" s="1"/>
  <c r="BG588" i="39" s="1"/>
  <c r="BC586" i="39"/>
  <c r="BD586" i="39" s="1"/>
  <c r="BE586" i="39" s="1"/>
  <c r="BF586" i="39" s="1"/>
  <c r="BG586" i="39" s="1"/>
  <c r="BD585" i="39"/>
  <c r="BE585" i="39" s="1"/>
  <c r="BF585" i="39" s="1"/>
  <c r="BG585" i="39" s="1"/>
  <c r="BC585" i="39"/>
  <c r="BD584" i="39"/>
  <c r="BE584" i="39" s="1"/>
  <c r="BF584" i="39" s="1"/>
  <c r="BG584" i="39" s="1"/>
  <c r="BC584" i="39"/>
  <c r="BC583" i="39"/>
  <c r="BD583" i="39" s="1"/>
  <c r="BE583" i="39" s="1"/>
  <c r="BF583" i="39" s="1"/>
  <c r="BG583" i="39" s="1"/>
  <c r="BC582" i="39"/>
  <c r="BD582" i="39" s="1"/>
  <c r="BE582" i="39" s="1"/>
  <c r="BF582" i="39" s="1"/>
  <c r="BG582" i="39" s="1"/>
  <c r="BC581" i="39"/>
  <c r="BD581" i="39" s="1"/>
  <c r="BE581" i="39" s="1"/>
  <c r="BF581" i="39" s="1"/>
  <c r="BG581" i="39" s="1"/>
  <c r="BC580" i="39"/>
  <c r="BD580" i="39" s="1"/>
  <c r="BE580" i="39" s="1"/>
  <c r="BF580" i="39" s="1"/>
  <c r="BG580" i="39" s="1"/>
  <c r="BC579" i="39"/>
  <c r="BD579" i="39" s="1"/>
  <c r="BE579" i="39" s="1"/>
  <c r="BF579" i="39" s="1"/>
  <c r="BG579" i="39" s="1"/>
  <c r="BG578" i="39"/>
  <c r="BC578" i="39"/>
  <c r="BD578" i="39" s="1"/>
  <c r="BE578" i="39" s="1"/>
  <c r="BF578" i="39" s="1"/>
  <c r="BC577" i="39"/>
  <c r="BD577" i="39" s="1"/>
  <c r="BE577" i="39" s="1"/>
  <c r="BF577" i="39" s="1"/>
  <c r="BG577" i="39" s="1"/>
  <c r="BC576" i="39"/>
  <c r="BD576" i="39" s="1"/>
  <c r="BE576" i="39" s="1"/>
  <c r="BF576" i="39" s="1"/>
  <c r="BG576" i="39" s="1"/>
  <c r="BC575" i="39"/>
  <c r="BD575" i="39" s="1"/>
  <c r="BE575" i="39" s="1"/>
  <c r="BF575" i="39" s="1"/>
  <c r="BG575" i="39" s="1"/>
  <c r="BC574" i="39"/>
  <c r="BD574" i="39" s="1"/>
  <c r="BE574" i="39" s="1"/>
  <c r="BF574" i="39" s="1"/>
  <c r="BG574" i="39" s="1"/>
  <c r="BC573" i="39"/>
  <c r="BD573" i="39" s="1"/>
  <c r="BE573" i="39" s="1"/>
  <c r="BF573" i="39" s="1"/>
  <c r="BG573" i="39" s="1"/>
  <c r="BC572" i="39"/>
  <c r="BD572" i="39" s="1"/>
  <c r="BE572" i="39" s="1"/>
  <c r="BF572" i="39" s="1"/>
  <c r="BG572" i="39" s="1"/>
  <c r="BC571" i="39"/>
  <c r="BD571" i="39" s="1"/>
  <c r="BE571" i="39" s="1"/>
  <c r="BF571" i="39" s="1"/>
  <c r="BG571" i="39" s="1"/>
  <c r="BC570" i="39"/>
  <c r="BD570" i="39" s="1"/>
  <c r="BE570" i="39" s="1"/>
  <c r="BF570" i="39" s="1"/>
  <c r="BG570" i="39" s="1"/>
  <c r="BC569" i="39"/>
  <c r="BD569" i="39" s="1"/>
  <c r="BE569" i="39" s="1"/>
  <c r="BF569" i="39" s="1"/>
  <c r="BG569" i="39" s="1"/>
  <c r="BC568" i="39"/>
  <c r="BD568" i="39" s="1"/>
  <c r="BE568" i="39" s="1"/>
  <c r="BF568" i="39" s="1"/>
  <c r="BG568" i="39" s="1"/>
  <c r="BC567" i="39"/>
  <c r="BD567" i="39" s="1"/>
  <c r="BE567" i="39" s="1"/>
  <c r="BF567" i="39" s="1"/>
  <c r="BG567" i="39" s="1"/>
  <c r="BD566" i="39"/>
  <c r="BE566" i="39" s="1"/>
  <c r="BF566" i="39" s="1"/>
  <c r="BG566" i="39" s="1"/>
  <c r="BC566" i="39"/>
  <c r="BD565" i="39"/>
  <c r="BE565" i="39" s="1"/>
  <c r="BF565" i="39" s="1"/>
  <c r="BG565" i="39" s="1"/>
  <c r="BC565" i="39"/>
  <c r="BC564" i="39"/>
  <c r="BD564" i="39" s="1"/>
  <c r="BE564" i="39" s="1"/>
  <c r="BF564" i="39" s="1"/>
  <c r="BG564" i="39" s="1"/>
  <c r="BC563" i="39"/>
  <c r="BD563" i="39" s="1"/>
  <c r="BE563" i="39" s="1"/>
  <c r="BF563" i="39" s="1"/>
  <c r="BG563" i="39" s="1"/>
  <c r="BC562" i="39"/>
  <c r="BD562" i="39" s="1"/>
  <c r="BE562" i="39" s="1"/>
  <c r="BF562" i="39" s="1"/>
  <c r="BG562" i="39" s="1"/>
  <c r="BC561" i="39"/>
  <c r="BD561" i="39" s="1"/>
  <c r="BE561" i="39" s="1"/>
  <c r="BF561" i="39" s="1"/>
  <c r="BG561" i="39" s="1"/>
  <c r="BC560" i="39"/>
  <c r="BD560" i="39" s="1"/>
  <c r="BE560" i="39" s="1"/>
  <c r="BF560" i="39" s="1"/>
  <c r="BG560" i="39" s="1"/>
  <c r="BC559" i="39"/>
  <c r="BD559" i="39" s="1"/>
  <c r="BE559" i="39" s="1"/>
  <c r="BF559" i="39" s="1"/>
  <c r="BG559" i="39" s="1"/>
  <c r="BC558" i="39"/>
  <c r="BD558" i="39" s="1"/>
  <c r="BE558" i="39" s="1"/>
  <c r="BF558" i="39" s="1"/>
  <c r="BG558" i="39" s="1"/>
  <c r="BE557" i="39"/>
  <c r="BF557" i="39" s="1"/>
  <c r="BG557" i="39" s="1"/>
  <c r="BC557" i="39"/>
  <c r="BD557" i="39" s="1"/>
  <c r="BC556" i="39"/>
  <c r="BD556" i="39" s="1"/>
  <c r="BE556" i="39" s="1"/>
  <c r="BF556" i="39" s="1"/>
  <c r="BG556" i="39" s="1"/>
  <c r="BC555" i="39"/>
  <c r="BD555" i="39" s="1"/>
  <c r="BE555" i="39" s="1"/>
  <c r="BF555" i="39" s="1"/>
  <c r="BG555" i="39" s="1"/>
  <c r="BC554" i="39"/>
  <c r="BD554" i="39" s="1"/>
  <c r="BE554" i="39" s="1"/>
  <c r="BF554" i="39" s="1"/>
  <c r="BG554" i="39" s="1"/>
  <c r="BD553" i="39"/>
  <c r="BE553" i="39" s="1"/>
  <c r="BF553" i="39" s="1"/>
  <c r="BG553" i="39" s="1"/>
  <c r="BC553" i="39"/>
  <c r="BD552" i="39"/>
  <c r="BE552" i="39" s="1"/>
  <c r="BF552" i="39" s="1"/>
  <c r="BG552" i="39" s="1"/>
  <c r="BC552" i="39"/>
  <c r="BC550" i="39"/>
  <c r="BD550" i="39" s="1"/>
  <c r="BE550" i="39" s="1"/>
  <c r="BF550" i="39" s="1"/>
  <c r="BG550" i="39" s="1"/>
  <c r="BD549" i="39"/>
  <c r="BE549" i="39" s="1"/>
  <c r="BF549" i="39" s="1"/>
  <c r="BG549" i="39" s="1"/>
  <c r="BC549" i="39"/>
  <c r="AJ548" i="39"/>
  <c r="AK548" i="39" s="1"/>
  <c r="AL548" i="39" s="1"/>
  <c r="AM548" i="39" s="1"/>
  <c r="AN548" i="39" s="1"/>
  <c r="AO548" i="39" s="1"/>
  <c r="AP548" i="39" s="1"/>
  <c r="AQ548" i="39" s="1"/>
  <c r="AR548" i="39" s="1"/>
  <c r="AS548" i="39" s="1"/>
  <c r="AT548" i="39" s="1"/>
  <c r="AU548" i="39" s="1"/>
  <c r="AV548" i="39" s="1"/>
  <c r="AW548" i="39" s="1"/>
  <c r="AX548" i="39" s="1"/>
  <c r="AY548" i="39" s="1"/>
  <c r="AZ548" i="39" s="1"/>
  <c r="BA548" i="39" s="1"/>
  <c r="BB548" i="39" s="1"/>
  <c r="BC548" i="39" s="1"/>
  <c r="BD548" i="39" s="1"/>
  <c r="BE548" i="39" s="1"/>
  <c r="BF548" i="39" s="1"/>
  <c r="BG548" i="39" s="1"/>
  <c r="AJ547" i="39"/>
  <c r="AJ313" i="39" s="1"/>
  <c r="AI546" i="39"/>
  <c r="AH546" i="39"/>
  <c r="AG546" i="39"/>
  <c r="AF546" i="39"/>
  <c r="AE546" i="39"/>
  <c r="AJ545" i="39"/>
  <c r="AH535" i="39"/>
  <c r="AG535" i="39"/>
  <c r="AF535" i="39"/>
  <c r="AE535" i="39"/>
  <c r="AI534" i="39"/>
  <c r="AH534" i="39"/>
  <c r="AH533" i="39" s="1"/>
  <c r="AH532" i="39"/>
  <c r="AG531" i="39"/>
  <c r="AF531" i="39"/>
  <c r="AE531" i="39"/>
  <c r="AH530" i="39"/>
  <c r="AI528" i="39"/>
  <c r="AH528" i="39"/>
  <c r="AG528" i="39"/>
  <c r="AF528" i="39"/>
  <c r="AE528" i="39"/>
  <c r="AG527" i="39"/>
  <c r="AF527" i="39"/>
  <c r="AE527" i="39"/>
  <c r="AH526" i="39"/>
  <c r="AI526" i="39" s="1"/>
  <c r="AH525" i="39"/>
  <c r="AH524" i="39" s="1"/>
  <c r="AG523" i="39"/>
  <c r="AF523" i="39"/>
  <c r="AE523" i="39"/>
  <c r="AH522" i="39"/>
  <c r="AH523" i="39" s="1"/>
  <c r="AG519" i="39"/>
  <c r="AF519" i="39"/>
  <c r="AE519" i="39"/>
  <c r="AI518" i="39"/>
  <c r="AH518" i="39"/>
  <c r="AH517" i="39" s="1"/>
  <c r="AH516" i="39"/>
  <c r="AI515" i="39"/>
  <c r="AH515" i="39"/>
  <c r="AG515" i="39"/>
  <c r="AF515" i="39"/>
  <c r="AE515" i="39"/>
  <c r="AK514" i="39"/>
  <c r="AL514" i="39" s="1"/>
  <c r="AL515" i="39" s="1"/>
  <c r="AI514" i="39"/>
  <c r="AJ514" i="39" s="1"/>
  <c r="AJ515" i="39" s="1"/>
  <c r="AI513" i="39"/>
  <c r="AJ513" i="39" s="1"/>
  <c r="AJ512" i="39"/>
  <c r="AI512" i="39"/>
  <c r="AH511" i="39"/>
  <c r="AG511" i="39"/>
  <c r="AF511" i="39"/>
  <c r="AE511" i="39"/>
  <c r="AI510" i="39"/>
  <c r="AJ510" i="39" s="1"/>
  <c r="AJ511" i="39" s="1"/>
  <c r="AJ492" i="39"/>
  <c r="AI492" i="39"/>
  <c r="AH492" i="39"/>
  <c r="AF484" i="39"/>
  <c r="AF485" i="39" s="1"/>
  <c r="AF486" i="39" s="1"/>
  <c r="AF487" i="39" s="1"/>
  <c r="AF488" i="39" s="1"/>
  <c r="AF489" i="39" s="1"/>
  <c r="AF490" i="39" s="1"/>
  <c r="AJ483" i="39"/>
  <c r="AJ484" i="39" s="1"/>
  <c r="AJ485" i="39" s="1"/>
  <c r="AJ486" i="39" s="1"/>
  <c r="AJ487" i="39" s="1"/>
  <c r="AJ488" i="39" s="1"/>
  <c r="AJ489" i="39" s="1"/>
  <c r="AJ490" i="39" s="1"/>
  <c r="AI483" i="39"/>
  <c r="AI484" i="39" s="1"/>
  <c r="AI485" i="39" s="1"/>
  <c r="AI486" i="39" s="1"/>
  <c r="AI487" i="39" s="1"/>
  <c r="AI488" i="39" s="1"/>
  <c r="AI489" i="39" s="1"/>
  <c r="AI490" i="39" s="1"/>
  <c r="AH483" i="39"/>
  <c r="AH484" i="39" s="1"/>
  <c r="AH485" i="39" s="1"/>
  <c r="AH486" i="39" s="1"/>
  <c r="AH487" i="39" s="1"/>
  <c r="AH488" i="39" s="1"/>
  <c r="AH489" i="39" s="1"/>
  <c r="AH490" i="39" s="1"/>
  <c r="AG483" i="39"/>
  <c r="AG484" i="39" s="1"/>
  <c r="AG485" i="39" s="1"/>
  <c r="AG486" i="39" s="1"/>
  <c r="AG487" i="39" s="1"/>
  <c r="AG488" i="39" s="1"/>
  <c r="AG489" i="39" s="1"/>
  <c r="AG490" i="39" s="1"/>
  <c r="AH425" i="39"/>
  <c r="AI425" i="39" s="1"/>
  <c r="AJ425" i="39" s="1"/>
  <c r="AG425" i="39"/>
  <c r="AI424" i="39"/>
  <c r="AJ424" i="39" s="1"/>
  <c r="AH423" i="39"/>
  <c r="AI423" i="39" s="1"/>
  <c r="AJ423" i="39" s="1"/>
  <c r="AH422" i="39"/>
  <c r="AI422" i="39" s="1"/>
  <c r="AJ422" i="39" s="1"/>
  <c r="BC346" i="39"/>
  <c r="BD346" i="39" s="1"/>
  <c r="BE346" i="39" s="1"/>
  <c r="BF346" i="39" s="1"/>
  <c r="BG346" i="39" s="1"/>
  <c r="BD345" i="39"/>
  <c r="BE345" i="39" s="1"/>
  <c r="BF345" i="39" s="1"/>
  <c r="BG345" i="39" s="1"/>
  <c r="BC345" i="39"/>
  <c r="BC344" i="39"/>
  <c r="BD344" i="39" s="1"/>
  <c r="BE344" i="39" s="1"/>
  <c r="BF344" i="39" s="1"/>
  <c r="BG344" i="39" s="1"/>
  <c r="BD342" i="39"/>
  <c r="BE342" i="39" s="1"/>
  <c r="BF342" i="39" s="1"/>
  <c r="BG342" i="39" s="1"/>
  <c r="BC342" i="39"/>
  <c r="BC341" i="39"/>
  <c r="BD341" i="39" s="1"/>
  <c r="BE341" i="39" s="1"/>
  <c r="BF341" i="39" s="1"/>
  <c r="BG341" i="39" s="1"/>
  <c r="BC340" i="39"/>
  <c r="BD340" i="39" s="1"/>
  <c r="BE340" i="39" s="1"/>
  <c r="BF340" i="39" s="1"/>
  <c r="BG340" i="39" s="1"/>
  <c r="BC339" i="39"/>
  <c r="BD339" i="39" s="1"/>
  <c r="BE339" i="39" s="1"/>
  <c r="BF339" i="39" s="1"/>
  <c r="BG339" i="39" s="1"/>
  <c r="BC338" i="39"/>
  <c r="BD338" i="39" s="1"/>
  <c r="BE338" i="39" s="1"/>
  <c r="BF338" i="39" s="1"/>
  <c r="BG338" i="39" s="1"/>
  <c r="AQ326" i="39"/>
  <c r="AR326" i="39" s="1"/>
  <c r="AS326" i="39" s="1"/>
  <c r="AT326" i="39" s="1"/>
  <c r="AU326" i="39" s="1"/>
  <c r="AV326" i="39" s="1"/>
  <c r="AW326" i="39" s="1"/>
  <c r="AX326" i="39" s="1"/>
  <c r="AY326" i="39" s="1"/>
  <c r="AZ326" i="39" s="1"/>
  <c r="BA326" i="39" s="1"/>
  <c r="BB326" i="39" s="1"/>
  <c r="BC326" i="39" s="1"/>
  <c r="BD326" i="39" s="1"/>
  <c r="BE326" i="39" s="1"/>
  <c r="BF326" i="39" s="1"/>
  <c r="BG326" i="39" s="1"/>
  <c r="AO326" i="39"/>
  <c r="AP326" i="39" s="1"/>
  <c r="AR325" i="39"/>
  <c r="AS325" i="39" s="1"/>
  <c r="AT325" i="39" s="1"/>
  <c r="AU325" i="39" s="1"/>
  <c r="AV325" i="39" s="1"/>
  <c r="AW325" i="39" s="1"/>
  <c r="AX325" i="39" s="1"/>
  <c r="AY325" i="39" s="1"/>
  <c r="AZ325" i="39" s="1"/>
  <c r="BA325" i="39" s="1"/>
  <c r="BB325" i="39" s="1"/>
  <c r="BC325" i="39" s="1"/>
  <c r="BD325" i="39" s="1"/>
  <c r="BE325" i="39" s="1"/>
  <c r="BF325" i="39" s="1"/>
  <c r="BG325" i="39" s="1"/>
  <c r="AO325" i="39"/>
  <c r="AP325" i="39" s="1"/>
  <c r="AQ325" i="39" s="1"/>
  <c r="AO324" i="39"/>
  <c r="AP324" i="39" s="1"/>
  <c r="AQ324" i="39" s="1"/>
  <c r="AR324" i="39" s="1"/>
  <c r="AS324" i="39" s="1"/>
  <c r="AT324" i="39" s="1"/>
  <c r="AU324" i="39" s="1"/>
  <c r="AV324" i="39" s="1"/>
  <c r="AW324" i="39" s="1"/>
  <c r="AX324" i="39" s="1"/>
  <c r="AY324" i="39" s="1"/>
  <c r="AZ324" i="39" s="1"/>
  <c r="BA324" i="39" s="1"/>
  <c r="BB324" i="39" s="1"/>
  <c r="BC324" i="39" s="1"/>
  <c r="BD324" i="39" s="1"/>
  <c r="BE324" i="39" s="1"/>
  <c r="BF324" i="39" s="1"/>
  <c r="BG324" i="39" s="1"/>
  <c r="BC322" i="39"/>
  <c r="BD322" i="39" s="1"/>
  <c r="BE322" i="39" s="1"/>
  <c r="BF322" i="39" s="1"/>
  <c r="BG322" i="39" s="1"/>
  <c r="AN322" i="39"/>
  <c r="AO322" i="39" s="1"/>
  <c r="AP322" i="39" s="1"/>
  <c r="AQ322" i="39" s="1"/>
  <c r="AR322" i="39" s="1"/>
  <c r="AS322" i="39" s="1"/>
  <c r="AT322" i="39" s="1"/>
  <c r="AU322" i="39" s="1"/>
  <c r="AV322" i="39" s="1"/>
  <c r="AW322" i="39" s="1"/>
  <c r="AX322" i="39" s="1"/>
  <c r="AO320" i="39"/>
  <c r="AP320" i="39" s="1"/>
  <c r="AQ320" i="39" s="1"/>
  <c r="AR320" i="39" s="1"/>
  <c r="AS320" i="39" s="1"/>
  <c r="AT320" i="39" s="1"/>
  <c r="AU320" i="39" s="1"/>
  <c r="AV320" i="39" s="1"/>
  <c r="AW320" i="39" s="1"/>
  <c r="AX320" i="39" s="1"/>
  <c r="AY320" i="39" s="1"/>
  <c r="AZ320" i="39" s="1"/>
  <c r="BA320" i="39" s="1"/>
  <c r="BB320" i="39" s="1"/>
  <c r="BC320" i="39" s="1"/>
  <c r="BD320" i="39" s="1"/>
  <c r="BE320" i="39" s="1"/>
  <c r="BF320" i="39" s="1"/>
  <c r="BG320" i="39" s="1"/>
  <c r="AP318" i="39"/>
  <c r="AQ318" i="39" s="1"/>
  <c r="AR318" i="39" s="1"/>
  <c r="AS318" i="39" s="1"/>
  <c r="AT318" i="39" s="1"/>
  <c r="AU318" i="39" s="1"/>
  <c r="AV318" i="39" s="1"/>
  <c r="AW318" i="39" s="1"/>
  <c r="AX318" i="39" s="1"/>
  <c r="AY318" i="39" s="1"/>
  <c r="AZ318" i="39" s="1"/>
  <c r="BA318" i="39" s="1"/>
  <c r="BB318" i="39" s="1"/>
  <c r="BC318" i="39" s="1"/>
  <c r="BD318" i="39" s="1"/>
  <c r="BE318" i="39" s="1"/>
  <c r="BF318" i="39" s="1"/>
  <c r="BG318" i="39" s="1"/>
  <c r="AN318" i="39"/>
  <c r="AO318" i="39" s="1"/>
  <c r="AI313" i="39"/>
  <c r="AH313" i="39"/>
  <c r="AG313" i="39"/>
  <c r="AF313" i="39"/>
  <c r="AJ309" i="39"/>
  <c r="AI309" i="39"/>
  <c r="AH309" i="39"/>
  <c r="AG309" i="39"/>
  <c r="AJ305" i="39"/>
  <c r="AI305" i="39"/>
  <c r="AH305" i="39"/>
  <c r="AG305" i="39"/>
  <c r="AH304" i="39"/>
  <c r="AG304" i="39"/>
  <c r="AE304" i="39"/>
  <c r="AI303" i="39"/>
  <c r="AH303" i="39"/>
  <c r="AG303" i="39"/>
  <c r="AF303" i="39"/>
  <c r="AJ282" i="39"/>
  <c r="AY281" i="39"/>
  <c r="AX281" i="39"/>
  <c r="AW281" i="39"/>
  <c r="AV281" i="39"/>
  <c r="AU281" i="39"/>
  <c r="AT281" i="39"/>
  <c r="AS281" i="39"/>
  <c r="AR281" i="39"/>
  <c r="AQ281" i="39"/>
  <c r="AP281" i="39"/>
  <c r="AO281" i="39"/>
  <c r="AN281" i="39"/>
  <c r="AM281" i="39"/>
  <c r="AL281" i="39"/>
  <c r="AK281" i="39"/>
  <c r="AJ281" i="39"/>
  <c r="AJ272" i="39" s="1"/>
  <c r="AJ280" i="39"/>
  <c r="AJ279" i="39"/>
  <c r="AJ274" i="39" s="1"/>
  <c r="AJ278" i="39"/>
  <c r="AJ275" i="39"/>
  <c r="AI275" i="39"/>
  <c r="AI274" i="39"/>
  <c r="AH274" i="39"/>
  <c r="AG274" i="39"/>
  <c r="AF274" i="39"/>
  <c r="AE274" i="39"/>
  <c r="AD274" i="39"/>
  <c r="AC274" i="39"/>
  <c r="AJ273" i="39"/>
  <c r="AI272" i="39"/>
  <c r="AH272" i="39"/>
  <c r="AG272" i="39"/>
  <c r="AF272" i="39"/>
  <c r="AE272" i="39"/>
  <c r="AK271" i="39"/>
  <c r="AJ271" i="39"/>
  <c r="AI271" i="39"/>
  <c r="AJ270" i="39"/>
  <c r="BC250" i="39"/>
  <c r="BD250" i="39" s="1"/>
  <c r="BE250" i="39" s="1"/>
  <c r="BF250" i="39" s="1"/>
  <c r="BG250" i="39" s="1"/>
  <c r="BC249" i="39"/>
  <c r="BD249" i="39" s="1"/>
  <c r="BE249" i="39" s="1"/>
  <c r="BF249" i="39" s="1"/>
  <c r="BG249" i="39" s="1"/>
  <c r="BC248" i="39"/>
  <c r="BD248" i="39" s="1"/>
  <c r="BC247" i="39"/>
  <c r="BD247" i="39" s="1"/>
  <c r="BB246" i="39"/>
  <c r="BA246" i="39"/>
  <c r="AZ246" i="39"/>
  <c r="AY246" i="39"/>
  <c r="AX246" i="39"/>
  <c r="AW246" i="39"/>
  <c r="AV246" i="39"/>
  <c r="AU246" i="39"/>
  <c r="AT246" i="39"/>
  <c r="AS246" i="39"/>
  <c r="AR246" i="39"/>
  <c r="AQ246" i="39"/>
  <c r="AP246" i="39"/>
  <c r="AO246" i="39"/>
  <c r="AN246" i="39"/>
  <c r="AM246" i="39"/>
  <c r="AL246" i="39"/>
  <c r="AK246" i="39"/>
  <c r="AJ246" i="39"/>
  <c r="AI246" i="39"/>
  <c r="AH246" i="39"/>
  <c r="AG246" i="39"/>
  <c r="AF246" i="39"/>
  <c r="AE246" i="39"/>
  <c r="BB245" i="39"/>
  <c r="BA245" i="39"/>
  <c r="AZ245" i="39"/>
  <c r="AY245" i="39"/>
  <c r="AX245" i="39"/>
  <c r="AW245" i="39"/>
  <c r="AV245" i="39"/>
  <c r="AU245" i="39"/>
  <c r="AT245" i="39"/>
  <c r="AS245" i="39"/>
  <c r="AR245" i="39"/>
  <c r="AQ245" i="39"/>
  <c r="AP245" i="39"/>
  <c r="AO245" i="39"/>
  <c r="AN245" i="39"/>
  <c r="AM245" i="39"/>
  <c r="AL245" i="39"/>
  <c r="AK245" i="39"/>
  <c r="AJ245" i="39"/>
  <c r="AI245" i="39"/>
  <c r="AH245" i="39"/>
  <c r="AG245" i="39"/>
  <c r="AF245" i="39"/>
  <c r="AE245" i="39"/>
  <c r="AZ244" i="39"/>
  <c r="BA244" i="39" s="1"/>
  <c r="BB244" i="39" s="1"/>
  <c r="BC244" i="39" s="1"/>
  <c r="BD244" i="39" s="1"/>
  <c r="BE244" i="39" s="1"/>
  <c r="BF244" i="39" s="1"/>
  <c r="BG244" i="39" s="1"/>
  <c r="AZ243" i="39"/>
  <c r="BA243" i="39" s="1"/>
  <c r="BB243" i="39" s="1"/>
  <c r="BC243" i="39" s="1"/>
  <c r="BD243" i="39" s="1"/>
  <c r="BE243" i="39" s="1"/>
  <c r="BF243" i="39" s="1"/>
  <c r="BG243" i="39" s="1"/>
  <c r="BA242" i="39"/>
  <c r="BB242" i="39" s="1"/>
  <c r="AZ242" i="39"/>
  <c r="AZ281" i="39" s="1"/>
  <c r="BD238" i="39"/>
  <c r="BE238" i="39" s="1"/>
  <c r="BF238" i="39" s="1"/>
  <c r="BG238" i="39" s="1"/>
  <c r="BC238" i="39"/>
  <c r="BC237" i="39"/>
  <c r="BD237" i="39" s="1"/>
  <c r="BE237" i="39" s="1"/>
  <c r="BF237" i="39" s="1"/>
  <c r="BG237" i="39" s="1"/>
  <c r="BC236" i="39"/>
  <c r="BD236" i="39" s="1"/>
  <c r="BE236" i="39" s="1"/>
  <c r="BF236" i="39" s="1"/>
  <c r="BG236" i="39" s="1"/>
  <c r="BC235" i="39"/>
  <c r="BD235" i="39" s="1"/>
  <c r="BE235" i="39" s="1"/>
  <c r="BF235" i="39" s="1"/>
  <c r="BG235" i="39" s="1"/>
  <c r="BC234" i="39"/>
  <c r="BD234" i="39" s="1"/>
  <c r="BE234" i="39" s="1"/>
  <c r="BF234" i="39" s="1"/>
  <c r="BG234" i="39" s="1"/>
  <c r="BC233" i="39"/>
  <c r="BD233" i="39" s="1"/>
  <c r="BE233" i="39" s="1"/>
  <c r="BF233" i="39" s="1"/>
  <c r="BG233" i="39" s="1"/>
  <c r="BC232" i="39"/>
  <c r="BD232" i="39" s="1"/>
  <c r="BE232" i="39" s="1"/>
  <c r="BF232" i="39" s="1"/>
  <c r="BG232" i="39" s="1"/>
  <c r="BD231" i="39"/>
  <c r="BE231" i="39" s="1"/>
  <c r="BF231" i="39" s="1"/>
  <c r="BG231" i="39" s="1"/>
  <c r="BC231" i="39"/>
  <c r="BC230" i="39"/>
  <c r="BD230" i="39" s="1"/>
  <c r="BE230" i="39" s="1"/>
  <c r="BF230" i="39" s="1"/>
  <c r="BG230" i="39" s="1"/>
  <c r="BE229" i="39"/>
  <c r="BF229" i="39" s="1"/>
  <c r="BG229" i="39" s="1"/>
  <c r="BC229" i="39"/>
  <c r="BD229" i="39" s="1"/>
  <c r="BC228" i="39"/>
  <c r="BD228" i="39" s="1"/>
  <c r="BE228" i="39" s="1"/>
  <c r="BF228" i="39" s="1"/>
  <c r="BG228" i="39" s="1"/>
  <c r="BG227" i="39"/>
  <c r="BC227" i="39"/>
  <c r="BD227" i="39" s="1"/>
  <c r="BE227" i="39" s="1"/>
  <c r="BF227" i="39" s="1"/>
  <c r="BD226" i="39"/>
  <c r="BE226" i="39" s="1"/>
  <c r="BF226" i="39" s="1"/>
  <c r="BG226" i="39" s="1"/>
  <c r="BC226" i="39"/>
  <c r="BD225" i="39"/>
  <c r="BE225" i="39" s="1"/>
  <c r="BF225" i="39" s="1"/>
  <c r="BG225" i="39" s="1"/>
  <c r="BC225" i="39"/>
  <c r="AJ224" i="39"/>
  <c r="AJ223" i="39"/>
  <c r="BC222" i="39"/>
  <c r="BD222" i="39" s="1"/>
  <c r="BE222" i="39" s="1"/>
  <c r="BF222" i="39" s="1"/>
  <c r="BG222" i="39" s="1"/>
  <c r="BC221" i="39"/>
  <c r="BD221" i="39" s="1"/>
  <c r="BE221" i="39" s="1"/>
  <c r="BF221" i="39" s="1"/>
  <c r="BG221" i="39" s="1"/>
  <c r="AZ220" i="39"/>
  <c r="BA220" i="39" s="1"/>
  <c r="BB220" i="39" s="1"/>
  <c r="BC220" i="39" s="1"/>
  <c r="BD220" i="39" s="1"/>
  <c r="BE220" i="39" s="1"/>
  <c r="BF220" i="39" s="1"/>
  <c r="BG220" i="39" s="1"/>
  <c r="AZ219" i="39"/>
  <c r="BA219" i="39" s="1"/>
  <c r="BB219" i="39" s="1"/>
  <c r="BC219" i="39" s="1"/>
  <c r="BD219" i="39" s="1"/>
  <c r="BE219" i="39" s="1"/>
  <c r="BF219" i="39" s="1"/>
  <c r="BG219" i="39" s="1"/>
  <c r="AZ218" i="39"/>
  <c r="BA218" i="39" s="1"/>
  <c r="BB218" i="39" s="1"/>
  <c r="BC218" i="39" s="1"/>
  <c r="BD218" i="39" s="1"/>
  <c r="BE218" i="39" s="1"/>
  <c r="BF218" i="39" s="1"/>
  <c r="BG218" i="39" s="1"/>
  <c r="AJ217" i="39"/>
  <c r="BC216" i="39"/>
  <c r="BD216" i="39" s="1"/>
  <c r="BE216" i="39" s="1"/>
  <c r="BF216" i="39" s="1"/>
  <c r="BG216" i="39" s="1"/>
  <c r="AZ215" i="39"/>
  <c r="BA215" i="39" s="1"/>
  <c r="BB215" i="39" s="1"/>
  <c r="BC215" i="39" s="1"/>
  <c r="BD215" i="39" s="1"/>
  <c r="BE215" i="39" s="1"/>
  <c r="BF215" i="39" s="1"/>
  <c r="BG215" i="39" s="1"/>
  <c r="AN215" i="39"/>
  <c r="AZ214" i="39"/>
  <c r="BA214" i="39" s="1"/>
  <c r="BB214" i="39" s="1"/>
  <c r="BC214" i="39" s="1"/>
  <c r="BD214" i="39" s="1"/>
  <c r="BE214" i="39" s="1"/>
  <c r="BF214" i="39" s="1"/>
  <c r="BG214" i="39" s="1"/>
  <c r="AN214" i="39"/>
  <c r="BB213" i="39"/>
  <c r="BC213" i="39" s="1"/>
  <c r="BD213" i="39" s="1"/>
  <c r="BE213" i="39" s="1"/>
  <c r="BF213" i="39" s="1"/>
  <c r="BG213" i="39" s="1"/>
  <c r="AZ213" i="39"/>
  <c r="BA213" i="39" s="1"/>
  <c r="AN213" i="39"/>
  <c r="AZ212" i="39"/>
  <c r="BA212" i="39" s="1"/>
  <c r="BB212" i="39" s="1"/>
  <c r="BC212" i="39" s="1"/>
  <c r="BD212" i="39" s="1"/>
  <c r="BE212" i="39" s="1"/>
  <c r="BF212" i="39" s="1"/>
  <c r="BG212" i="39" s="1"/>
  <c r="AN212" i="39"/>
  <c r="AZ211" i="39"/>
  <c r="BA211" i="39" s="1"/>
  <c r="BB211" i="39" s="1"/>
  <c r="BC211" i="39" s="1"/>
  <c r="BD211" i="39" s="1"/>
  <c r="BE211" i="39" s="1"/>
  <c r="BF211" i="39" s="1"/>
  <c r="BG211" i="39" s="1"/>
  <c r="AN211" i="39"/>
  <c r="AZ210" i="39"/>
  <c r="BA210" i="39" s="1"/>
  <c r="BB210" i="39" s="1"/>
  <c r="BC210" i="39" s="1"/>
  <c r="BD210" i="39" s="1"/>
  <c r="BE210" i="39" s="1"/>
  <c r="BF210" i="39" s="1"/>
  <c r="BG210" i="39" s="1"/>
  <c r="AN210" i="39"/>
  <c r="AZ209" i="39"/>
  <c r="BA209" i="39" s="1"/>
  <c r="BB209" i="39" s="1"/>
  <c r="BC209" i="39" s="1"/>
  <c r="BD209" i="39" s="1"/>
  <c r="BE209" i="39" s="1"/>
  <c r="BF209" i="39" s="1"/>
  <c r="BG209" i="39" s="1"/>
  <c r="AN209" i="39"/>
  <c r="AJ208" i="39"/>
  <c r="AH207" i="39"/>
  <c r="AI207" i="39" s="1"/>
  <c r="AJ207" i="39" s="1"/>
  <c r="AJ206" i="39"/>
  <c r="AJ205" i="39"/>
  <c r="AI202" i="39"/>
  <c r="AI203" i="39" s="1"/>
  <c r="AJ203" i="39" s="1"/>
  <c r="AH202" i="39"/>
  <c r="AH203" i="39" s="1"/>
  <c r="AH204" i="39" s="1"/>
  <c r="AG202" i="39"/>
  <c r="AG203" i="39" s="1"/>
  <c r="AG204" i="39" s="1"/>
  <c r="AJ201" i="39"/>
  <c r="AH200" i="39"/>
  <c r="AI200" i="39" s="1"/>
  <c r="AJ200" i="39" s="1"/>
  <c r="AJ199" i="39"/>
  <c r="AI197" i="39"/>
  <c r="AJ197" i="39" s="1"/>
  <c r="AH197" i="39"/>
  <c r="AH198" i="39" s="1"/>
  <c r="AG197" i="39"/>
  <c r="AG198" i="39" s="1"/>
  <c r="AJ196" i="39"/>
  <c r="AZ195" i="39"/>
  <c r="BA195" i="39" s="1"/>
  <c r="BB195" i="39" s="1"/>
  <c r="BC195" i="39" s="1"/>
  <c r="BD195" i="39" s="1"/>
  <c r="BE195" i="39" s="1"/>
  <c r="BF195" i="39" s="1"/>
  <c r="BG195" i="39" s="1"/>
  <c r="BC194" i="39"/>
  <c r="BC193" i="39"/>
  <c r="BD193" i="39" s="1"/>
  <c r="BE193" i="39" s="1"/>
  <c r="BF193" i="39" s="1"/>
  <c r="BG193" i="39" s="1"/>
  <c r="BC192" i="39"/>
  <c r="BD192" i="39" s="1"/>
  <c r="BE192" i="39" s="1"/>
  <c r="BF192" i="39" s="1"/>
  <c r="BG192" i="39" s="1"/>
  <c r="BD191" i="39"/>
  <c r="BE191" i="39" s="1"/>
  <c r="BF191" i="39" s="1"/>
  <c r="BG191" i="39" s="1"/>
  <c r="BC191" i="39"/>
  <c r="BC190" i="39"/>
  <c r="BD190" i="39" s="1"/>
  <c r="BE190" i="39" s="1"/>
  <c r="BF190" i="39" s="1"/>
  <c r="BG190" i="39" s="1"/>
  <c r="BD189" i="39"/>
  <c r="BE189" i="39" s="1"/>
  <c r="BF189" i="39" s="1"/>
  <c r="BG189" i="39" s="1"/>
  <c r="BC189" i="39"/>
  <c r="BD188" i="39"/>
  <c r="BE188" i="39" s="1"/>
  <c r="BF188" i="39" s="1"/>
  <c r="BG188" i="39" s="1"/>
  <c r="BC188" i="39"/>
  <c r="BC187" i="39"/>
  <c r="BD187" i="39" s="1"/>
  <c r="BE187" i="39" s="1"/>
  <c r="BF187" i="39" s="1"/>
  <c r="BG187" i="39" s="1"/>
  <c r="BC186" i="39"/>
  <c r="BD186" i="39" s="1"/>
  <c r="BE186" i="39" s="1"/>
  <c r="BF186" i="39" s="1"/>
  <c r="BG186" i="39" s="1"/>
  <c r="BC185" i="39"/>
  <c r="BD185" i="39" s="1"/>
  <c r="BE185" i="39" s="1"/>
  <c r="BF185" i="39" s="1"/>
  <c r="BG185" i="39" s="1"/>
  <c r="BC184" i="39"/>
  <c r="BD184" i="39" s="1"/>
  <c r="BE184" i="39" s="1"/>
  <c r="BF184" i="39" s="1"/>
  <c r="BG184" i="39" s="1"/>
  <c r="BC183" i="39"/>
  <c r="BD183" i="39" s="1"/>
  <c r="BE183" i="39" s="1"/>
  <c r="BF183" i="39" s="1"/>
  <c r="BG183" i="39" s="1"/>
  <c r="BC182" i="39"/>
  <c r="BD182" i="39" s="1"/>
  <c r="BE182" i="39" s="1"/>
  <c r="BF182" i="39" s="1"/>
  <c r="BG182" i="39" s="1"/>
  <c r="BC181" i="39"/>
  <c r="BD181" i="39" s="1"/>
  <c r="BE181" i="39" s="1"/>
  <c r="BF181" i="39" s="1"/>
  <c r="BG181" i="39" s="1"/>
  <c r="BD180" i="39"/>
  <c r="BE180" i="39" s="1"/>
  <c r="BF180" i="39" s="1"/>
  <c r="BG180" i="39" s="1"/>
  <c r="BC180" i="39"/>
  <c r="BD179" i="39"/>
  <c r="BE179" i="39" s="1"/>
  <c r="BF179" i="39" s="1"/>
  <c r="BG179" i="39" s="1"/>
  <c r="BC179" i="39"/>
  <c r="BC178" i="39"/>
  <c r="BD178" i="39" s="1"/>
  <c r="BE178" i="39" s="1"/>
  <c r="BF178" i="39" s="1"/>
  <c r="BG178" i="39" s="1"/>
  <c r="BC177" i="39"/>
  <c r="BD177" i="39" s="1"/>
  <c r="BE177" i="39" s="1"/>
  <c r="BF177" i="39" s="1"/>
  <c r="BG177" i="39" s="1"/>
  <c r="BC176" i="39"/>
  <c r="BD176" i="39" s="1"/>
  <c r="BE176" i="39" s="1"/>
  <c r="BF176" i="39" s="1"/>
  <c r="BG176" i="39" s="1"/>
  <c r="BC174" i="39"/>
  <c r="BD174" i="39" s="1"/>
  <c r="BE174" i="39" s="1"/>
  <c r="BF174" i="39" s="1"/>
  <c r="BG174" i="39" s="1"/>
  <c r="BC173" i="39"/>
  <c r="BD173" i="39" s="1"/>
  <c r="BE173" i="39" s="1"/>
  <c r="BF173" i="39" s="1"/>
  <c r="BG173" i="39" s="1"/>
  <c r="BD172" i="39"/>
  <c r="BE172" i="39" s="1"/>
  <c r="BF172" i="39" s="1"/>
  <c r="BG172" i="39" s="1"/>
  <c r="BC172" i="39"/>
  <c r="BC171" i="39"/>
  <c r="BD171" i="39" s="1"/>
  <c r="BE171" i="39" s="1"/>
  <c r="BF171" i="39" s="1"/>
  <c r="BG171" i="39" s="1"/>
  <c r="BC170" i="39"/>
  <c r="BD170" i="39" s="1"/>
  <c r="BE170" i="39" s="1"/>
  <c r="BF170" i="39" s="1"/>
  <c r="BG170" i="39" s="1"/>
  <c r="BE169" i="39"/>
  <c r="BF169" i="39" s="1"/>
  <c r="BG169" i="39" s="1"/>
  <c r="BC169" i="39"/>
  <c r="BD169" i="39" s="1"/>
  <c r="BC168" i="39"/>
  <c r="BD168" i="39" s="1"/>
  <c r="BE168" i="39" s="1"/>
  <c r="BF168" i="39" s="1"/>
  <c r="BG168" i="39" s="1"/>
  <c r="BC167" i="39"/>
  <c r="BD167" i="39" s="1"/>
  <c r="BE167" i="39" s="1"/>
  <c r="BF167" i="39" s="1"/>
  <c r="BG167" i="39" s="1"/>
  <c r="BD166" i="39"/>
  <c r="BE166" i="39" s="1"/>
  <c r="BF166" i="39" s="1"/>
  <c r="BG166" i="39" s="1"/>
  <c r="BC166" i="39"/>
  <c r="BD165" i="39"/>
  <c r="BE165" i="39" s="1"/>
  <c r="BF165" i="39" s="1"/>
  <c r="BG165" i="39" s="1"/>
  <c r="BC165" i="39"/>
  <c r="BC164" i="39"/>
  <c r="BD164" i="39" s="1"/>
  <c r="BE164" i="39" s="1"/>
  <c r="BF164" i="39" s="1"/>
  <c r="BG164" i="39" s="1"/>
  <c r="BC163" i="39"/>
  <c r="BD163" i="39" s="1"/>
  <c r="BE163" i="39" s="1"/>
  <c r="BF163" i="39" s="1"/>
  <c r="BG163" i="39" s="1"/>
  <c r="BC162" i="39"/>
  <c r="BD162" i="39" s="1"/>
  <c r="BE162" i="39" s="1"/>
  <c r="BF162" i="39" s="1"/>
  <c r="BG162" i="39" s="1"/>
  <c r="BC161" i="39"/>
  <c r="BD161" i="39" s="1"/>
  <c r="BE161" i="39" s="1"/>
  <c r="BF161" i="39" s="1"/>
  <c r="BG161" i="39" s="1"/>
  <c r="BC160" i="39"/>
  <c r="BD160" i="39" s="1"/>
  <c r="BE160" i="39" s="1"/>
  <c r="BF160" i="39" s="1"/>
  <c r="BG160" i="39" s="1"/>
  <c r="BC159" i="39"/>
  <c r="BD159" i="39" s="1"/>
  <c r="BE159" i="39" s="1"/>
  <c r="BF159" i="39" s="1"/>
  <c r="BG159" i="39" s="1"/>
  <c r="BC158" i="39"/>
  <c r="BD158" i="39" s="1"/>
  <c r="BE158" i="39" s="1"/>
  <c r="BF158" i="39" s="1"/>
  <c r="BG158" i="39" s="1"/>
  <c r="BC157" i="39"/>
  <c r="BD157" i="39" s="1"/>
  <c r="BE157" i="39" s="1"/>
  <c r="BF157" i="39" s="1"/>
  <c r="BG157" i="39" s="1"/>
  <c r="BC156" i="39"/>
  <c r="BD156" i="39" s="1"/>
  <c r="BE156" i="39" s="1"/>
  <c r="BF156" i="39" s="1"/>
  <c r="BG156" i="39" s="1"/>
  <c r="BC155" i="39"/>
  <c r="BD155" i="39" s="1"/>
  <c r="BE155" i="39" s="1"/>
  <c r="BF155" i="39" s="1"/>
  <c r="BG155" i="39" s="1"/>
  <c r="BD154" i="39"/>
  <c r="BE154" i="39" s="1"/>
  <c r="BF154" i="39" s="1"/>
  <c r="BG154" i="39" s="1"/>
  <c r="BC154" i="39"/>
  <c r="BC153" i="39"/>
  <c r="BD153" i="39" s="1"/>
  <c r="BE153" i="39" s="1"/>
  <c r="BF153" i="39" s="1"/>
  <c r="BG153" i="39" s="1"/>
  <c r="BC152" i="39"/>
  <c r="BD152" i="39" s="1"/>
  <c r="BE152" i="39" s="1"/>
  <c r="BF152" i="39" s="1"/>
  <c r="BG152" i="39" s="1"/>
  <c r="BC134" i="39"/>
  <c r="BD134" i="39" s="1"/>
  <c r="BE134" i="39" s="1"/>
  <c r="BF134" i="39" s="1"/>
  <c r="BG134" i="39" s="1"/>
  <c r="BB133" i="39"/>
  <c r="BC133" i="39" s="1"/>
  <c r="BD133" i="39" s="1"/>
  <c r="BE133" i="39" s="1"/>
  <c r="BF133" i="39" s="1"/>
  <c r="BG133" i="39" s="1"/>
  <c r="AZ133" i="39"/>
  <c r="BA133" i="39" s="1"/>
  <c r="BB132" i="39"/>
  <c r="BC132" i="39" s="1"/>
  <c r="BD132" i="39" s="1"/>
  <c r="BE132" i="39" s="1"/>
  <c r="BF132" i="39" s="1"/>
  <c r="BG132" i="39" s="1"/>
  <c r="AZ132" i="39"/>
  <c r="BA132" i="39" s="1"/>
  <c r="AZ131" i="39"/>
  <c r="BA131" i="39" s="1"/>
  <c r="BB131" i="39" s="1"/>
  <c r="BC131" i="39" s="1"/>
  <c r="BD131" i="39" s="1"/>
  <c r="BE131" i="39" s="1"/>
  <c r="BF131" i="39" s="1"/>
  <c r="BG131" i="39" s="1"/>
  <c r="AZ130" i="39"/>
  <c r="BA130" i="39" s="1"/>
  <c r="BB130" i="39" s="1"/>
  <c r="BC130" i="39" s="1"/>
  <c r="BD130" i="39" s="1"/>
  <c r="BE130" i="39" s="1"/>
  <c r="BF130" i="39" s="1"/>
  <c r="BG130" i="39" s="1"/>
  <c r="AZ129" i="39"/>
  <c r="BA129" i="39" s="1"/>
  <c r="BB129" i="39" s="1"/>
  <c r="BC129" i="39" s="1"/>
  <c r="BD129" i="39" s="1"/>
  <c r="BE129" i="39" s="1"/>
  <c r="BF129" i="39" s="1"/>
  <c r="BG129" i="39" s="1"/>
  <c r="AZ128" i="39"/>
  <c r="BA128" i="39" s="1"/>
  <c r="BB128" i="39" s="1"/>
  <c r="BC128" i="39" s="1"/>
  <c r="BD128" i="39" s="1"/>
  <c r="BE128" i="39" s="1"/>
  <c r="BF128" i="39" s="1"/>
  <c r="BG128" i="39" s="1"/>
  <c r="BB127" i="39"/>
  <c r="BA127" i="39"/>
  <c r="AZ127" i="39"/>
  <c r="AY127" i="39"/>
  <c r="AX127" i="39"/>
  <c r="AW127" i="39"/>
  <c r="AV127" i="39"/>
  <c r="AU127" i="39"/>
  <c r="AT127" i="39"/>
  <c r="AS127" i="39"/>
  <c r="AR127" i="39"/>
  <c r="AQ127" i="39"/>
  <c r="AP127" i="39"/>
  <c r="AO127" i="39"/>
  <c r="AN127" i="39"/>
  <c r="AM127" i="39"/>
  <c r="AL127" i="39"/>
  <c r="AK127" i="39"/>
  <c r="AJ127" i="39"/>
  <c r="AI127" i="39"/>
  <c r="AH127" i="39"/>
  <c r="AG127" i="39"/>
  <c r="AF127" i="39"/>
  <c r="AE127" i="39"/>
  <c r="BC126" i="39"/>
  <c r="BC127" i="39" s="1"/>
  <c r="BD125" i="39"/>
  <c r="BE125" i="39" s="1"/>
  <c r="BF125" i="39" s="1"/>
  <c r="BG125" i="39" s="1"/>
  <c r="BC125" i="39"/>
  <c r="BD124" i="39"/>
  <c r="BE124" i="39" s="1"/>
  <c r="BF124" i="39" s="1"/>
  <c r="BG124" i="39" s="1"/>
  <c r="BC124" i="39"/>
  <c r="BC123" i="39"/>
  <c r="BD123" i="39" s="1"/>
  <c r="BE123" i="39" s="1"/>
  <c r="BF123" i="39" s="1"/>
  <c r="BG123" i="39" s="1"/>
  <c r="BC122" i="39"/>
  <c r="BD122" i="39" s="1"/>
  <c r="BE122" i="39" s="1"/>
  <c r="BF122" i="39" s="1"/>
  <c r="BG122" i="39" s="1"/>
  <c r="BC121" i="39"/>
  <c r="BD121" i="39" s="1"/>
  <c r="BE121" i="39" s="1"/>
  <c r="BF121" i="39" s="1"/>
  <c r="BG121" i="39" s="1"/>
  <c r="AJ48" i="39"/>
  <c r="AI48" i="39"/>
  <c r="AH48" i="39"/>
  <c r="AG48" i="39"/>
  <c r="AF48" i="39"/>
  <c r="AK47" i="39"/>
  <c r="AL47" i="39" s="1"/>
  <c r="AI45" i="39"/>
  <c r="AH45" i="39"/>
  <c r="AG45" i="39"/>
  <c r="AF45" i="39"/>
  <c r="AE45" i="39"/>
  <c r="AG44" i="39"/>
  <c r="AH44" i="39" s="1"/>
  <c r="AI44" i="39" s="1"/>
  <c r="AJ44" i="39" s="1"/>
  <c r="AK44" i="39" s="1"/>
  <c r="AL44" i="39" s="1"/>
  <c r="AM44" i="39" s="1"/>
  <c r="AN44" i="39" s="1"/>
  <c r="AO44" i="39" s="1"/>
  <c r="AP44" i="39" s="1"/>
  <c r="AQ44" i="39" s="1"/>
  <c r="AR44" i="39" s="1"/>
  <c r="AS44" i="39" s="1"/>
  <c r="AT44" i="39" s="1"/>
  <c r="AU44" i="39" s="1"/>
  <c r="AV44" i="39" s="1"/>
  <c r="AW44" i="39" s="1"/>
  <c r="AX44" i="39" s="1"/>
  <c r="AY44" i="39" s="1"/>
  <c r="AZ44" i="39" s="1"/>
  <c r="BA44" i="39" s="1"/>
  <c r="BB44" i="39" s="1"/>
  <c r="BC44" i="39" s="1"/>
  <c r="BD44" i="39" s="1"/>
  <c r="BE44" i="39" s="1"/>
  <c r="BF44" i="39" s="1"/>
  <c r="BG44" i="39" s="1"/>
  <c r="AF44" i="39"/>
  <c r="AF46" i="39" s="1"/>
  <c r="AE44" i="39"/>
  <c r="AE46" i="39" s="1"/>
  <c r="AJ43" i="39"/>
  <c r="AK43" i="39" s="1"/>
  <c r="AL43" i="39" s="1"/>
  <c r="AM43" i="39" s="1"/>
  <c r="AN43" i="39" s="1"/>
  <c r="AO43" i="39" s="1"/>
  <c r="AP43" i="39" s="1"/>
  <c r="AQ43" i="39" s="1"/>
  <c r="AR43" i="39" s="1"/>
  <c r="AS43" i="39" s="1"/>
  <c r="AT43" i="39" s="1"/>
  <c r="AU43" i="39" s="1"/>
  <c r="AV43" i="39" s="1"/>
  <c r="AW43" i="39" s="1"/>
  <c r="AX43" i="39" s="1"/>
  <c r="AY43" i="39" s="1"/>
  <c r="AZ43" i="39" s="1"/>
  <c r="BA43" i="39" s="1"/>
  <c r="BB43" i="39" s="1"/>
  <c r="BC43" i="39" s="1"/>
  <c r="BD43" i="39" s="1"/>
  <c r="BE43" i="39" s="1"/>
  <c r="BF43" i="39" s="1"/>
  <c r="BG43" i="39" s="1"/>
  <c r="AI42" i="39"/>
  <c r="AH42" i="39"/>
  <c r="AH41" i="39"/>
  <c r="AH26" i="39" s="1"/>
  <c r="AJ39" i="39"/>
  <c r="AK39" i="39" s="1"/>
  <c r="AK49" i="39" s="1"/>
  <c r="AK37" i="39"/>
  <c r="AL37" i="39" s="1"/>
  <c r="AM37" i="39" s="1"/>
  <c r="AN37" i="39" s="1"/>
  <c r="AO37" i="39" s="1"/>
  <c r="AP37" i="39" s="1"/>
  <c r="AQ37" i="39" s="1"/>
  <c r="AR37" i="39" s="1"/>
  <c r="AS37" i="39" s="1"/>
  <c r="AT37" i="39" s="1"/>
  <c r="AU37" i="39" s="1"/>
  <c r="AV37" i="39" s="1"/>
  <c r="AW37" i="39" s="1"/>
  <c r="AX37" i="39" s="1"/>
  <c r="AY37" i="39" s="1"/>
  <c r="AZ37" i="39" s="1"/>
  <c r="BA37" i="39" s="1"/>
  <c r="BB37" i="39" s="1"/>
  <c r="BC37" i="39" s="1"/>
  <c r="BD37" i="39" s="1"/>
  <c r="BE37" i="39" s="1"/>
  <c r="BF37" i="39" s="1"/>
  <c r="BG37" i="39" s="1"/>
  <c r="AG36" i="39"/>
  <c r="AF36" i="39"/>
  <c r="AF529" i="39" s="1"/>
  <c r="AE36" i="39"/>
  <c r="AE529" i="39" s="1"/>
  <c r="AK35" i="39"/>
  <c r="AJ35" i="39"/>
  <c r="AJ528" i="39" s="1"/>
  <c r="AE34" i="39"/>
  <c r="AF34" i="39" s="1"/>
  <c r="AG34" i="39" s="1"/>
  <c r="AH34" i="39" s="1"/>
  <c r="AI34" i="39" s="1"/>
  <c r="AJ34" i="39" s="1"/>
  <c r="AK34" i="39" s="1"/>
  <c r="AL34" i="39" s="1"/>
  <c r="AM34" i="39" s="1"/>
  <c r="AN34" i="39" s="1"/>
  <c r="AO34" i="39" s="1"/>
  <c r="AP34" i="39" s="1"/>
  <c r="AQ34" i="39" s="1"/>
  <c r="AR34" i="39" s="1"/>
  <c r="AS34" i="39" s="1"/>
  <c r="AT34" i="39" s="1"/>
  <c r="AU34" i="39" s="1"/>
  <c r="AV34" i="39" s="1"/>
  <c r="AW34" i="39" s="1"/>
  <c r="AX34" i="39" s="1"/>
  <c r="AY34" i="39" s="1"/>
  <c r="AZ34" i="39" s="1"/>
  <c r="BA34" i="39" s="1"/>
  <c r="BB34" i="39" s="1"/>
  <c r="BC34" i="39" s="1"/>
  <c r="BD34" i="39" s="1"/>
  <c r="BE34" i="39" s="1"/>
  <c r="BF34" i="39" s="1"/>
  <c r="BG34" i="39" s="1"/>
  <c r="AE33" i="39"/>
  <c r="AF33" i="39" s="1"/>
  <c r="AG33" i="39" s="1"/>
  <c r="AH33" i="39" s="1"/>
  <c r="AI33" i="39" s="1"/>
  <c r="AJ33" i="39" s="1"/>
  <c r="AK33" i="39" s="1"/>
  <c r="AL33" i="39" s="1"/>
  <c r="AM33" i="39" s="1"/>
  <c r="AN33" i="39" s="1"/>
  <c r="AO33" i="39" s="1"/>
  <c r="AP33" i="39" s="1"/>
  <c r="AQ33" i="39" s="1"/>
  <c r="AR33" i="39" s="1"/>
  <c r="AS33" i="39" s="1"/>
  <c r="AT33" i="39" s="1"/>
  <c r="AU33" i="39" s="1"/>
  <c r="AV33" i="39" s="1"/>
  <c r="AW33" i="39" s="1"/>
  <c r="AX33" i="39" s="1"/>
  <c r="AY33" i="39" s="1"/>
  <c r="AZ33" i="39" s="1"/>
  <c r="BA33" i="39" s="1"/>
  <c r="BB33" i="39" s="1"/>
  <c r="BC33" i="39" s="1"/>
  <c r="BD33" i="39" s="1"/>
  <c r="BE33" i="39" s="1"/>
  <c r="BF33" i="39" s="1"/>
  <c r="BG33" i="39" s="1"/>
  <c r="AF32" i="39"/>
  <c r="AG32" i="39" s="1"/>
  <c r="AH32" i="39" s="1"/>
  <c r="AI32" i="39" s="1"/>
  <c r="AJ32" i="39" s="1"/>
  <c r="AK32" i="39" s="1"/>
  <c r="AL32" i="39" s="1"/>
  <c r="AM32" i="39" s="1"/>
  <c r="AN32" i="39" s="1"/>
  <c r="AO32" i="39" s="1"/>
  <c r="AP32" i="39" s="1"/>
  <c r="AQ32" i="39" s="1"/>
  <c r="AR32" i="39" s="1"/>
  <c r="AS32" i="39" s="1"/>
  <c r="AT32" i="39" s="1"/>
  <c r="AU32" i="39" s="1"/>
  <c r="AV32" i="39" s="1"/>
  <c r="AW32" i="39" s="1"/>
  <c r="AX32" i="39" s="1"/>
  <c r="AY32" i="39" s="1"/>
  <c r="AZ32" i="39" s="1"/>
  <c r="BA32" i="39" s="1"/>
  <c r="BB32" i="39" s="1"/>
  <c r="BC32" i="39" s="1"/>
  <c r="BD32" i="39" s="1"/>
  <c r="BE32" i="39" s="1"/>
  <c r="BF32" i="39" s="1"/>
  <c r="BG32" i="39" s="1"/>
  <c r="AE32" i="39"/>
  <c r="AF31" i="39"/>
  <c r="AG31" i="39" s="1"/>
  <c r="AH31" i="39" s="1"/>
  <c r="AI31" i="39" s="1"/>
  <c r="AJ31" i="39" s="1"/>
  <c r="AK31" i="39" s="1"/>
  <c r="AL31" i="39" s="1"/>
  <c r="AM31" i="39" s="1"/>
  <c r="AN31" i="39" s="1"/>
  <c r="AO31" i="39" s="1"/>
  <c r="AP31" i="39" s="1"/>
  <c r="AQ31" i="39" s="1"/>
  <c r="AR31" i="39" s="1"/>
  <c r="AS31" i="39" s="1"/>
  <c r="AT31" i="39" s="1"/>
  <c r="AU31" i="39" s="1"/>
  <c r="AV31" i="39" s="1"/>
  <c r="AW31" i="39" s="1"/>
  <c r="AX31" i="39" s="1"/>
  <c r="AY31" i="39" s="1"/>
  <c r="AZ31" i="39" s="1"/>
  <c r="BA31" i="39" s="1"/>
  <c r="BB31" i="39" s="1"/>
  <c r="BC31" i="39" s="1"/>
  <c r="BD31" i="39" s="1"/>
  <c r="BE31" i="39" s="1"/>
  <c r="BF31" i="39" s="1"/>
  <c r="BG31" i="39" s="1"/>
  <c r="AE31" i="39"/>
  <c r="AJ30" i="39"/>
  <c r="AI30" i="39"/>
  <c r="AH30" i="39"/>
  <c r="AG30" i="39"/>
  <c r="AF30" i="39"/>
  <c r="AE30" i="39"/>
  <c r="AK29" i="39"/>
  <c r="AL29" i="39" s="1"/>
  <c r="AM29" i="39" s="1"/>
  <c r="AI29" i="39"/>
  <c r="BB28" i="39"/>
  <c r="BA28" i="39"/>
  <c r="AZ28" i="39"/>
  <c r="AY28" i="39"/>
  <c r="AK28" i="39"/>
  <c r="AJ28" i="39"/>
  <c r="AI28" i="39"/>
  <c r="AH28" i="39"/>
  <c r="AG28" i="39"/>
  <c r="AF28" i="39"/>
  <c r="AE28" i="39"/>
  <c r="AF27" i="39"/>
  <c r="AE27" i="39"/>
  <c r="AG26" i="39"/>
  <c r="AF26" i="39"/>
  <c r="AE26" i="39"/>
  <c r="AJ24" i="39"/>
  <c r="AI24" i="39"/>
  <c r="AH24" i="39"/>
  <c r="AG24" i="39"/>
  <c r="AF24" i="39"/>
  <c r="AE24" i="39"/>
  <c r="AK22" i="39"/>
  <c r="AK20" i="39"/>
  <c r="AL20" i="39" s="1"/>
  <c r="AM20" i="39" s="1"/>
  <c r="AN20" i="39" s="1"/>
  <c r="AO20" i="39" s="1"/>
  <c r="AP20" i="39" s="1"/>
  <c r="AQ20" i="39" s="1"/>
  <c r="AR20" i="39" s="1"/>
  <c r="AS20" i="39" s="1"/>
  <c r="AT20" i="39" s="1"/>
  <c r="AU20" i="39" s="1"/>
  <c r="AV20" i="39" s="1"/>
  <c r="AW20" i="39" s="1"/>
  <c r="AX20" i="39" s="1"/>
  <c r="AY20" i="39" s="1"/>
  <c r="AZ20" i="39" s="1"/>
  <c r="BA20" i="39" s="1"/>
  <c r="BB20" i="39" s="1"/>
  <c r="BC20" i="39" s="1"/>
  <c r="BD20" i="39" s="1"/>
  <c r="BE20" i="39" s="1"/>
  <c r="BF20" i="39" s="1"/>
  <c r="BG20" i="39" s="1"/>
  <c r="AF18" i="39"/>
  <c r="AG18" i="39" s="1"/>
  <c r="AH18" i="39" s="1"/>
  <c r="AI18" i="39" s="1"/>
  <c r="AJ18" i="39" s="1"/>
  <c r="AK18" i="39" s="1"/>
  <c r="AL18" i="39" s="1"/>
  <c r="AM18" i="39" s="1"/>
  <c r="AN18" i="39" s="1"/>
  <c r="AO18" i="39" s="1"/>
  <c r="AP18" i="39" s="1"/>
  <c r="AQ18" i="39" s="1"/>
  <c r="AR18" i="39" s="1"/>
  <c r="AS18" i="39" s="1"/>
  <c r="AT18" i="39" s="1"/>
  <c r="AU18" i="39" s="1"/>
  <c r="AV18" i="39" s="1"/>
  <c r="AW18" i="39" s="1"/>
  <c r="AX18" i="39" s="1"/>
  <c r="AY18" i="39" s="1"/>
  <c r="AZ18" i="39" s="1"/>
  <c r="BA18" i="39" s="1"/>
  <c r="BB18" i="39" s="1"/>
  <c r="BC18" i="39" s="1"/>
  <c r="BD18" i="39" s="1"/>
  <c r="BE18" i="39" s="1"/>
  <c r="BF18" i="39" s="1"/>
  <c r="BG18" i="39" s="1"/>
  <c r="AE18" i="39"/>
  <c r="AM17" i="39"/>
  <c r="AN17" i="39" s="1"/>
  <c r="AO17" i="39" s="1"/>
  <c r="AP17" i="39" s="1"/>
  <c r="AQ17" i="39" s="1"/>
  <c r="AR17" i="39" s="1"/>
  <c r="AS17" i="39" s="1"/>
  <c r="AT17" i="39" s="1"/>
  <c r="AU17" i="39" s="1"/>
  <c r="AV17" i="39" s="1"/>
  <c r="AW17" i="39" s="1"/>
  <c r="AX17" i="39" s="1"/>
  <c r="AY17" i="39" s="1"/>
  <c r="AZ17" i="39" s="1"/>
  <c r="BA17" i="39" s="1"/>
  <c r="BB17" i="39" s="1"/>
  <c r="BC17" i="39" s="1"/>
  <c r="BD17" i="39" s="1"/>
  <c r="BE17" i="39" s="1"/>
  <c r="BF17" i="39" s="1"/>
  <c r="BG17" i="39" s="1"/>
  <c r="AE17" i="39"/>
  <c r="AF17" i="39" s="1"/>
  <c r="AG17" i="39" s="1"/>
  <c r="AH17" i="39" s="1"/>
  <c r="AI17" i="39" s="1"/>
  <c r="AJ17" i="39" s="1"/>
  <c r="AK17" i="39" s="1"/>
  <c r="AL17" i="39" s="1"/>
  <c r="AE16" i="39"/>
  <c r="AF16" i="39" s="1"/>
  <c r="AG16" i="39" s="1"/>
  <c r="AH16" i="39" s="1"/>
  <c r="AI16" i="39" s="1"/>
  <c r="AJ16" i="39" s="1"/>
  <c r="AK16" i="39" s="1"/>
  <c r="AL16" i="39" s="1"/>
  <c r="AM16" i="39" s="1"/>
  <c r="AN16" i="39" s="1"/>
  <c r="AO16" i="39" s="1"/>
  <c r="AP16" i="39" s="1"/>
  <c r="AQ16" i="39" s="1"/>
  <c r="AR16" i="39" s="1"/>
  <c r="AS16" i="39" s="1"/>
  <c r="AT16" i="39" s="1"/>
  <c r="AU16" i="39" s="1"/>
  <c r="AV16" i="39" s="1"/>
  <c r="AW16" i="39" s="1"/>
  <c r="AX16" i="39" s="1"/>
  <c r="AY16" i="39" s="1"/>
  <c r="AZ16" i="39" s="1"/>
  <c r="BA16" i="39" s="1"/>
  <c r="BB16" i="39" s="1"/>
  <c r="BC16" i="39" s="1"/>
  <c r="BD16" i="39" s="1"/>
  <c r="BE16" i="39" s="1"/>
  <c r="BF16" i="39" s="1"/>
  <c r="BG16" i="39" s="1"/>
  <c r="AJ15" i="39"/>
  <c r="AI15" i="39"/>
  <c r="AH15" i="39"/>
  <c r="AG15" i="39"/>
  <c r="AF15" i="39"/>
  <c r="AE15" i="39"/>
  <c r="AJ14" i="39"/>
  <c r="AE13" i="39"/>
  <c r="AF13" i="39" s="1"/>
  <c r="AG13" i="39" s="1"/>
  <c r="AH13" i="39" s="1"/>
  <c r="AI13" i="39" s="1"/>
  <c r="AJ13" i="39" s="1"/>
  <c r="AK13" i="39" s="1"/>
  <c r="AL13" i="39" s="1"/>
  <c r="AM13" i="39" s="1"/>
  <c r="AN13" i="39" s="1"/>
  <c r="AO13" i="39" s="1"/>
  <c r="AP13" i="39" s="1"/>
  <c r="AQ13" i="39" s="1"/>
  <c r="AR13" i="39" s="1"/>
  <c r="AS13" i="39" s="1"/>
  <c r="AT13" i="39" s="1"/>
  <c r="AU13" i="39" s="1"/>
  <c r="AV13" i="39" s="1"/>
  <c r="AW13" i="39" s="1"/>
  <c r="AX13" i="39" s="1"/>
  <c r="AY13" i="39" s="1"/>
  <c r="AZ13" i="39" s="1"/>
  <c r="BA13" i="39" s="1"/>
  <c r="BB13" i="39" s="1"/>
  <c r="BC13" i="39" s="1"/>
  <c r="BD13" i="39" s="1"/>
  <c r="BE13" i="39" s="1"/>
  <c r="BF13" i="39" s="1"/>
  <c r="BG13" i="39" s="1"/>
  <c r="AE12" i="39"/>
  <c r="AF12" i="39" s="1"/>
  <c r="AG12" i="39" s="1"/>
  <c r="AH12" i="39" s="1"/>
  <c r="AI12" i="39" s="1"/>
  <c r="AJ12" i="39" s="1"/>
  <c r="AK12" i="39" s="1"/>
  <c r="AL12" i="39" s="1"/>
  <c r="AM12" i="39" s="1"/>
  <c r="AN12" i="39" s="1"/>
  <c r="AO12" i="39" s="1"/>
  <c r="AP12" i="39" s="1"/>
  <c r="AQ12" i="39" s="1"/>
  <c r="AR12" i="39" s="1"/>
  <c r="AS12" i="39" s="1"/>
  <c r="AT12" i="39" s="1"/>
  <c r="AU12" i="39" s="1"/>
  <c r="AV12" i="39" s="1"/>
  <c r="AW12" i="39" s="1"/>
  <c r="AX12" i="39" s="1"/>
  <c r="AY12" i="39" s="1"/>
  <c r="AZ12" i="39" s="1"/>
  <c r="BA12" i="39" s="1"/>
  <c r="BB12" i="39" s="1"/>
  <c r="BC12" i="39" s="1"/>
  <c r="BD12" i="39" s="1"/>
  <c r="BE12" i="39" s="1"/>
  <c r="BF12" i="39" s="1"/>
  <c r="BG12" i="39" s="1"/>
  <c r="AI11" i="39"/>
  <c r="AJ11" i="39" s="1"/>
  <c r="AK11" i="39" s="1"/>
  <c r="AH11" i="39"/>
  <c r="AJ10" i="39"/>
  <c r="AK10" i="39" s="1"/>
  <c r="AL10" i="39" s="1"/>
  <c r="AM10" i="39" s="1"/>
  <c r="AN10" i="39" s="1"/>
  <c r="AO10" i="39" s="1"/>
  <c r="AP10" i="39" s="1"/>
  <c r="AQ10" i="39" s="1"/>
  <c r="AR10" i="39" s="1"/>
  <c r="AS10" i="39" s="1"/>
  <c r="AT10" i="39" s="1"/>
  <c r="AU10" i="39" s="1"/>
  <c r="AV10" i="39" s="1"/>
  <c r="AW10" i="39" s="1"/>
  <c r="AX10" i="39" s="1"/>
  <c r="AY10" i="39" s="1"/>
  <c r="AZ10" i="39" s="1"/>
  <c r="BA10" i="39" s="1"/>
  <c r="BB10" i="39" s="1"/>
  <c r="BC10" i="39" s="1"/>
  <c r="BD10" i="39" s="1"/>
  <c r="BE10" i="39" s="1"/>
  <c r="BF10" i="39" s="1"/>
  <c r="BG10" i="39" s="1"/>
  <c r="AJ9" i="39"/>
  <c r="AJ546" i="39" s="1"/>
  <c r="AI7" i="39"/>
  <c r="AH7" i="39"/>
  <c r="AG7" i="39"/>
  <c r="AJ6" i="39"/>
  <c r="AK5" i="39"/>
  <c r="BC4" i="39"/>
  <c r="BD4" i="39" s="1"/>
  <c r="AL4" i="39"/>
  <c r="AL28" i="39" s="1"/>
  <c r="AK4" i="39"/>
  <c r="V11" i="36" s="1"/>
  <c r="AK3" i="39"/>
  <c r="AK2" i="39"/>
  <c r="AL2" i="39" s="1"/>
  <c r="AM2" i="39" s="1"/>
  <c r="AN2" i="39" s="1"/>
  <c r="BE248" i="39" l="1"/>
  <c r="BD246" i="39"/>
  <c r="BC246" i="39"/>
  <c r="AI511" i="39"/>
  <c r="AV29" i="41"/>
  <c r="AU30" i="41"/>
  <c r="AK205" i="39"/>
  <c r="AI41" i="39"/>
  <c r="AK48" i="39"/>
  <c r="AK510" i="39"/>
  <c r="L11" i="28"/>
  <c r="H2" i="42"/>
  <c r="AR526" i="41"/>
  <c r="AQ527" i="41"/>
  <c r="AL11" i="39"/>
  <c r="N11" i="28"/>
  <c r="J2" i="42"/>
  <c r="AI198" i="39"/>
  <c r="AJ198" i="39" s="1"/>
  <c r="AJ202" i="39"/>
  <c r="AK202" i="39" s="1"/>
  <c r="O11" i="28"/>
  <c r="K2" i="42"/>
  <c r="AR519" i="41"/>
  <c r="AS518" i="41"/>
  <c r="AM4" i="39"/>
  <c r="BC28" i="39"/>
  <c r="AJ42" i="39"/>
  <c r="BD126" i="39"/>
  <c r="P11" i="28"/>
  <c r="L2" i="42"/>
  <c r="AT206" i="41"/>
  <c r="AF8" i="39"/>
  <c r="AL30" i="39"/>
  <c r="AL39" i="39"/>
  <c r="AL49" i="39" s="1"/>
  <c r="W11" i="36"/>
  <c r="AT196" i="41"/>
  <c r="AR517" i="41"/>
  <c r="AR516" i="41" s="1"/>
  <c r="AQ38" i="41"/>
  <c r="AT11" i="41"/>
  <c r="M11" i="28"/>
  <c r="I2" i="42"/>
  <c r="AK9" i="39"/>
  <c r="AK196" i="39"/>
  <c r="AI509" i="39"/>
  <c r="AT224" i="41"/>
  <c r="AS274" i="41"/>
  <c r="AR46" i="41"/>
  <c r="AR8" i="41"/>
  <c r="AU224" i="41"/>
  <c r="AQ535" i="41"/>
  <c r="AR534" i="41"/>
  <c r="AT323" i="41"/>
  <c r="AW43" i="41"/>
  <c r="AV44" i="41"/>
  <c r="AR525" i="41"/>
  <c r="AR524" i="41" s="1"/>
  <c r="AT546" i="41"/>
  <c r="AU9" i="41"/>
  <c r="AR513" i="41"/>
  <c r="AS522" i="41"/>
  <c r="AR523" i="41"/>
  <c r="AS303" i="41"/>
  <c r="AS45" i="41"/>
  <c r="AT14" i="41"/>
  <c r="AS26" i="41"/>
  <c r="AS7" i="41"/>
  <c r="AS15" i="41"/>
  <c r="AU204" i="41"/>
  <c r="AT759" i="41"/>
  <c r="AT758" i="41"/>
  <c r="AT757" i="41"/>
  <c r="AT483" i="41"/>
  <c r="AT484" i="41" s="1"/>
  <c r="AT485" i="41" s="1"/>
  <c r="AT486" i="41" s="1"/>
  <c r="AT487" i="41" s="1"/>
  <c r="AT488" i="41" s="1"/>
  <c r="AT489" i="41" s="1"/>
  <c r="AT490" i="41" s="1"/>
  <c r="AT271" i="41"/>
  <c r="AT270" i="41"/>
  <c r="AT279" i="41"/>
  <c r="AT278" i="41"/>
  <c r="AT275" i="41"/>
  <c r="AT282" i="41"/>
  <c r="AT272" i="41" s="1"/>
  <c r="AU3" i="41"/>
  <c r="AU205" i="41" s="1"/>
  <c r="AT19" i="41"/>
  <c r="AT6" i="41"/>
  <c r="AT321" i="41"/>
  <c r="AT198" i="41"/>
  <c r="AU198" i="41" s="1"/>
  <c r="AS528" i="41"/>
  <c r="AS36" i="41"/>
  <c r="AT35" i="41"/>
  <c r="AQ533" i="41"/>
  <c r="AQ532" i="41"/>
  <c r="AT200" i="41"/>
  <c r="AT208" i="41"/>
  <c r="AS509" i="41"/>
  <c r="AS508" i="41" s="1"/>
  <c r="AT23" i="41"/>
  <c r="AS24" i="41"/>
  <c r="AT273" i="41"/>
  <c r="AU5" i="41"/>
  <c r="AT203" i="41"/>
  <c r="AR529" i="41"/>
  <c r="AR38" i="41"/>
  <c r="AT545" i="41"/>
  <c r="AT547" i="41"/>
  <c r="AT313" i="41" s="1"/>
  <c r="AT280" i="41"/>
  <c r="AU2" i="41"/>
  <c r="AR515" i="41"/>
  <c r="AS514" i="41"/>
  <c r="AR531" i="41"/>
  <c r="AS530" i="41"/>
  <c r="AR508" i="41"/>
  <c r="AT48" i="41"/>
  <c r="AU47" i="41"/>
  <c r="AT41" i="41"/>
  <c r="AR40" i="41"/>
  <c r="AR27" i="41" s="1"/>
  <c r="AT42" i="41"/>
  <c r="AU39" i="41"/>
  <c r="AU25" i="41" s="1"/>
  <c r="AT201" i="41"/>
  <c r="AU201" i="41" s="1"/>
  <c r="AT422" i="41"/>
  <c r="AT21" i="41"/>
  <c r="AT202" i="41"/>
  <c r="AU202" i="41" s="1"/>
  <c r="AT49" i="41"/>
  <c r="AU196" i="41"/>
  <c r="AT199" i="41"/>
  <c r="AU199" i="41" s="1"/>
  <c r="AR304" i="41"/>
  <c r="AR521" i="41"/>
  <c r="AQ512" i="41"/>
  <c r="AS511" i="41"/>
  <c r="AT510" i="41"/>
  <c r="AT423" i="41"/>
  <c r="AU423" i="41" s="1"/>
  <c r="K96" i="36"/>
  <c r="K7" i="28"/>
  <c r="L89" i="36"/>
  <c r="L87" i="36" s="1"/>
  <c r="L7" i="28"/>
  <c r="M89" i="36"/>
  <c r="M7" i="28"/>
  <c r="N89" i="36"/>
  <c r="N87" i="36" s="1"/>
  <c r="N7" i="28"/>
  <c r="G89" i="36"/>
  <c r="G7" i="28"/>
  <c r="O89" i="36"/>
  <c r="O87" i="36" s="1"/>
  <c r="O7" i="28"/>
  <c r="J96" i="36"/>
  <c r="J7" i="28"/>
  <c r="H96" i="36"/>
  <c r="H7" i="28"/>
  <c r="P89" i="36"/>
  <c r="P7" i="28"/>
  <c r="I96" i="36"/>
  <c r="I7" i="28"/>
  <c r="N24" i="18"/>
  <c r="M24" i="18"/>
  <c r="N8" i="18"/>
  <c r="AA24" i="40"/>
  <c r="G35" i="28"/>
  <c r="W19" i="40"/>
  <c r="W20" i="40" s="1"/>
  <c r="G34" i="28"/>
  <c r="N12" i="28"/>
  <c r="H12" i="28"/>
  <c r="J24" i="18"/>
  <c r="K24" i="18"/>
  <c r="L24" i="18"/>
  <c r="H8" i="18"/>
  <c r="G24" i="18"/>
  <c r="H24" i="18"/>
  <c r="I24" i="18"/>
  <c r="I12" i="28"/>
  <c r="J12" i="28"/>
  <c r="P12" i="28"/>
  <c r="K12" i="28"/>
  <c r="L12" i="28"/>
  <c r="M12" i="28"/>
  <c r="O12" i="28"/>
  <c r="V180" i="36"/>
  <c r="V182" i="36" s="1"/>
  <c r="U178" i="36"/>
  <c r="U34" i="18" s="1"/>
  <c r="U27" i="28" s="1"/>
  <c r="Z19" i="40"/>
  <c r="R19" i="40"/>
  <c r="R20" i="40" s="1"/>
  <c r="AA19" i="40"/>
  <c r="S19" i="40"/>
  <c r="S20" i="40" s="1"/>
  <c r="Y19" i="40"/>
  <c r="Y20" i="40" s="1"/>
  <c r="T19" i="40"/>
  <c r="T20" i="40" s="1"/>
  <c r="U19" i="40"/>
  <c r="U20" i="40" s="1"/>
  <c r="V19" i="40"/>
  <c r="V20" i="40" s="1"/>
  <c r="X19" i="40"/>
  <c r="X20" i="40" s="1"/>
  <c r="M194" i="36"/>
  <c r="M202" i="36"/>
  <c r="J202" i="36"/>
  <c r="K195" i="36"/>
  <c r="N194" i="36"/>
  <c r="G194" i="36"/>
  <c r="O194" i="36"/>
  <c r="F194" i="36" s="1"/>
  <c r="N202" i="36"/>
  <c r="G193" i="36"/>
  <c r="G202" i="36"/>
  <c r="G10" i="16" s="1"/>
  <c r="O193" i="36"/>
  <c r="F193" i="36" s="1"/>
  <c r="O202" i="36"/>
  <c r="K194" i="36"/>
  <c r="G17" i="9"/>
  <c r="M17" i="9"/>
  <c r="I6" i="42" s="1"/>
  <c r="H193" i="36"/>
  <c r="H202" i="36"/>
  <c r="P193" i="36"/>
  <c r="P202" i="36"/>
  <c r="G196" i="36"/>
  <c r="I196" i="36"/>
  <c r="I202" i="36"/>
  <c r="O17" i="9"/>
  <c r="K6" i="42" s="1"/>
  <c r="K202" i="36"/>
  <c r="I17" i="9"/>
  <c r="L202" i="36"/>
  <c r="M196" i="36"/>
  <c r="H194" i="36"/>
  <c r="P194" i="36"/>
  <c r="J17" i="9"/>
  <c r="K17" i="9"/>
  <c r="L17" i="9"/>
  <c r="H6" i="42" s="1"/>
  <c r="N17" i="9"/>
  <c r="J6" i="42" s="1"/>
  <c r="H17" i="9"/>
  <c r="P17" i="9"/>
  <c r="L6" i="42" s="1"/>
  <c r="L194" i="36"/>
  <c r="L195" i="36"/>
  <c r="I195" i="36"/>
  <c r="I193" i="36"/>
  <c r="J193" i="36"/>
  <c r="K196" i="36"/>
  <c r="P195" i="36"/>
  <c r="H195" i="36"/>
  <c r="N193" i="36"/>
  <c r="O196" i="36"/>
  <c r="N196" i="36"/>
  <c r="L196" i="36"/>
  <c r="I194" i="36"/>
  <c r="J194" i="36"/>
  <c r="J196" i="36"/>
  <c r="H196" i="36"/>
  <c r="P196" i="36"/>
  <c r="J195" i="36"/>
  <c r="M195" i="36"/>
  <c r="G195" i="36"/>
  <c r="N195" i="36"/>
  <c r="M193" i="36"/>
  <c r="O195" i="36"/>
  <c r="F195" i="36" s="1"/>
  <c r="L193" i="36"/>
  <c r="K193" i="36"/>
  <c r="F26" i="36"/>
  <c r="F35" i="36"/>
  <c r="Z18" i="40"/>
  <c r="AA18" i="40" s="1"/>
  <c r="P121" i="36"/>
  <c r="O121" i="36"/>
  <c r="N121" i="36"/>
  <c r="N96" i="36"/>
  <c r="K89" i="36"/>
  <c r="G96" i="36"/>
  <c r="K121" i="36"/>
  <c r="H121" i="36"/>
  <c r="L96" i="36"/>
  <c r="M121" i="36"/>
  <c r="I120" i="36"/>
  <c r="Q120" i="36"/>
  <c r="M96" i="36"/>
  <c r="L121" i="36"/>
  <c r="H89" i="36"/>
  <c r="O96" i="36"/>
  <c r="J121" i="36"/>
  <c r="O24" i="18"/>
  <c r="P24" i="18"/>
  <c r="G8" i="18"/>
  <c r="O8" i="18"/>
  <c r="J8" i="18"/>
  <c r="M8" i="18"/>
  <c r="I8" i="18"/>
  <c r="P8" i="18"/>
  <c r="L8" i="18"/>
  <c r="K8" i="18"/>
  <c r="I89" i="36"/>
  <c r="P96" i="36"/>
  <c r="J89" i="36"/>
  <c r="J87" i="36" s="1"/>
  <c r="Q55" i="36"/>
  <c r="R55" i="36" s="1"/>
  <c r="S55" i="36" s="1"/>
  <c r="T55" i="36" s="1"/>
  <c r="U55" i="36" s="1"/>
  <c r="V55" i="36" s="1"/>
  <c r="W55" i="36" s="1"/>
  <c r="X55" i="36" s="1"/>
  <c r="Y55" i="36" s="1"/>
  <c r="Z55" i="36" s="1"/>
  <c r="AN545" i="39"/>
  <c r="AN547" i="39"/>
  <c r="AN313" i="39" s="1"/>
  <c r="AN492" i="39"/>
  <c r="AN280" i="39"/>
  <c r="AO2" i="39"/>
  <c r="AK200" i="39"/>
  <c r="AK758" i="39"/>
  <c r="AK757" i="39"/>
  <c r="AK759" i="39"/>
  <c r="AK483" i="39"/>
  <c r="AK484" i="39" s="1"/>
  <c r="AK485" i="39" s="1"/>
  <c r="AK486" i="39" s="1"/>
  <c r="AK487" i="39" s="1"/>
  <c r="AK488" i="39" s="1"/>
  <c r="AK489" i="39" s="1"/>
  <c r="AK490" i="39" s="1"/>
  <c r="AK275" i="39"/>
  <c r="AL271" i="39"/>
  <c r="AI304" i="39"/>
  <c r="AK224" i="39"/>
  <c r="AL3" i="39"/>
  <c r="AJ304" i="39" s="1"/>
  <c r="AK199" i="39"/>
  <c r="AK19" i="39"/>
  <c r="AK6" i="39"/>
  <c r="AN29" i="39"/>
  <c r="AM30" i="39"/>
  <c r="AG27" i="39"/>
  <c r="AG8" i="39"/>
  <c r="AG46" i="39"/>
  <c r="AK546" i="39"/>
  <c r="AL9" i="39"/>
  <c r="AK528" i="39"/>
  <c r="AL35" i="39"/>
  <c r="BE126" i="39"/>
  <c r="BD127" i="39"/>
  <c r="AK223" i="39"/>
  <c r="BD28" i="39"/>
  <c r="BE4" i="39"/>
  <c r="AH46" i="39"/>
  <c r="AN4" i="39"/>
  <c r="Y11" i="36" s="1"/>
  <c r="AK270" i="39"/>
  <c r="AK279" i="39"/>
  <c r="AK282" i="39"/>
  <c r="AK272" i="39" s="1"/>
  <c r="AK278" i="39"/>
  <c r="AK273" i="39"/>
  <c r="AM547" i="39"/>
  <c r="AM313" i="39" s="1"/>
  <c r="AM545" i="39"/>
  <c r="AM492" i="39"/>
  <c r="AM280" i="39"/>
  <c r="AL5" i="39"/>
  <c r="AM39" i="39"/>
  <c r="AL42" i="39"/>
  <c r="AL22" i="39"/>
  <c r="AM22" i="39" s="1"/>
  <c r="AK25" i="39"/>
  <c r="AL25" i="39" s="1"/>
  <c r="AJ303" i="39"/>
  <c r="AJ45" i="39"/>
  <c r="AK14" i="39"/>
  <c r="AK203" i="39"/>
  <c r="AI204" i="39"/>
  <c r="AJ204" i="39" s="1"/>
  <c r="AK204" i="39" s="1"/>
  <c r="BC245" i="39"/>
  <c r="AK547" i="39"/>
  <c r="AK313" i="39" s="1"/>
  <c r="AK545" i="39"/>
  <c r="AK492" i="39"/>
  <c r="AK280" i="39"/>
  <c r="AL547" i="39"/>
  <c r="AL313" i="39" s="1"/>
  <c r="AL492" i="39"/>
  <c r="AL545" i="39"/>
  <c r="AL280" i="39"/>
  <c r="AK198" i="39"/>
  <c r="AK217" i="39"/>
  <c r="AJ19" i="39"/>
  <c r="AL48" i="39"/>
  <c r="AM47" i="39"/>
  <c r="AK208" i="39"/>
  <c r="BE247" i="39"/>
  <c r="BD245" i="39"/>
  <c r="AK201" i="39"/>
  <c r="AG529" i="39"/>
  <c r="AH36" i="39"/>
  <c r="AK197" i="39"/>
  <c r="AI46" i="39"/>
  <c r="AK30" i="39"/>
  <c r="AK42" i="39"/>
  <c r="AK23" i="39"/>
  <c r="AK21" i="39"/>
  <c r="AL21" i="39" s="1"/>
  <c r="AM21" i="39" s="1"/>
  <c r="AK206" i="39"/>
  <c r="AK207" i="39"/>
  <c r="BA281" i="39"/>
  <c r="AK424" i="39"/>
  <c r="AL424" i="39" s="1"/>
  <c r="AM424" i="39" s="1"/>
  <c r="AN424" i="39" s="1"/>
  <c r="AO424" i="39" s="1"/>
  <c r="BC242" i="39"/>
  <c r="AK425" i="39"/>
  <c r="AL425" i="39" s="1"/>
  <c r="AM425" i="39" s="1"/>
  <c r="AN425" i="39" s="1"/>
  <c r="BD194" i="39"/>
  <c r="BB281" i="39"/>
  <c r="AI519" i="39"/>
  <c r="AJ518" i="39"/>
  <c r="AH531" i="39"/>
  <c r="AI530" i="39"/>
  <c r="AK423" i="39"/>
  <c r="AL423" i="39" s="1"/>
  <c r="AM423" i="39" s="1"/>
  <c r="AN423" i="39" s="1"/>
  <c r="AO423" i="39" s="1"/>
  <c r="AH521" i="39"/>
  <c r="AI522" i="39"/>
  <c r="AK422" i="39"/>
  <c r="AL422" i="39" s="1"/>
  <c r="AM422" i="39" s="1"/>
  <c r="AN422" i="39" s="1"/>
  <c r="AO422" i="39" s="1"/>
  <c r="AI527" i="39"/>
  <c r="AJ526" i="39"/>
  <c r="AM514" i="39"/>
  <c r="AK515" i="39"/>
  <c r="AI525" i="39"/>
  <c r="AI524" i="39" s="1"/>
  <c r="AH527" i="39"/>
  <c r="AI517" i="39"/>
  <c r="AH519" i="39"/>
  <c r="AI535" i="39"/>
  <c r="AJ534" i="39"/>
  <c r="AI533" i="39"/>
  <c r="AK513" i="39"/>
  <c r="AK512" i="39" s="1"/>
  <c r="AS517" i="41" l="1"/>
  <c r="AS519" i="41"/>
  <c r="AT518" i="41"/>
  <c r="L80" i="42"/>
  <c r="L105" i="42"/>
  <c r="L3" i="42"/>
  <c r="AL223" i="39"/>
  <c r="K87" i="36"/>
  <c r="X87" i="36" s="1"/>
  <c r="K80" i="42"/>
  <c r="K105" i="42"/>
  <c r="K3" i="42"/>
  <c r="AR527" i="41"/>
  <c r="AS526" i="41"/>
  <c r="AW29" i="41"/>
  <c r="AV30" i="41"/>
  <c r="L72" i="42"/>
  <c r="L88" i="42" s="1"/>
  <c r="L7" i="42"/>
  <c r="L82" i="42" s="1"/>
  <c r="L156" i="42"/>
  <c r="L71" i="42"/>
  <c r="L81" i="42"/>
  <c r="L109" i="42"/>
  <c r="L110" i="42" s="1"/>
  <c r="L69" i="42"/>
  <c r="L70" i="42"/>
  <c r="P87" i="36"/>
  <c r="AJ509" i="39"/>
  <c r="AJ508" i="39"/>
  <c r="AI508" i="39"/>
  <c r="H105" i="42"/>
  <c r="H80" i="42"/>
  <c r="H3" i="42"/>
  <c r="AL196" i="39"/>
  <c r="J156" i="42"/>
  <c r="J7" i="42"/>
  <c r="J82" i="42" s="1"/>
  <c r="J72" i="42"/>
  <c r="J88" i="42" s="1"/>
  <c r="J109" i="42"/>
  <c r="J110" i="42" s="1"/>
  <c r="J81" i="42"/>
  <c r="J71" i="42"/>
  <c r="J69" i="42"/>
  <c r="J70" i="42"/>
  <c r="AL510" i="39"/>
  <c r="AK511" i="39"/>
  <c r="AL198" i="39"/>
  <c r="H156" i="42"/>
  <c r="H81" i="42"/>
  <c r="H72" i="42"/>
  <c r="H88" i="42" s="1"/>
  <c r="H109" i="42"/>
  <c r="H110" i="42" s="1"/>
  <c r="H71" i="42"/>
  <c r="H7" i="42"/>
  <c r="H82" i="42" s="1"/>
  <c r="H69" i="42"/>
  <c r="H70" i="42"/>
  <c r="AU21" i="41"/>
  <c r="I105" i="42"/>
  <c r="I80" i="42"/>
  <c r="I3" i="42"/>
  <c r="J105" i="42"/>
  <c r="J80" i="42"/>
  <c r="J3" i="42"/>
  <c r="BE246" i="39"/>
  <c r="BF248" i="39"/>
  <c r="Q87" i="36"/>
  <c r="AL208" i="39"/>
  <c r="AL197" i="39"/>
  <c r="AL204" i="39"/>
  <c r="K7" i="42"/>
  <c r="K82" i="42" s="1"/>
  <c r="K81" i="42"/>
  <c r="K156" i="42"/>
  <c r="K71" i="42"/>
  <c r="K72" i="42"/>
  <c r="K88" i="42" s="1"/>
  <c r="K109" i="42"/>
  <c r="K110" i="42" s="1"/>
  <c r="K69" i="42"/>
  <c r="K70" i="42"/>
  <c r="I7" i="42"/>
  <c r="I82" i="42" s="1"/>
  <c r="I156" i="42"/>
  <c r="I81" i="42"/>
  <c r="I109" i="42"/>
  <c r="I110" i="42" s="1"/>
  <c r="I71" i="42"/>
  <c r="I72" i="42"/>
  <c r="I88" i="42" s="1"/>
  <c r="I70" i="42"/>
  <c r="I69" i="42"/>
  <c r="N45" i="18"/>
  <c r="M87" i="36"/>
  <c r="V87" i="36" s="1"/>
  <c r="AS516" i="41"/>
  <c r="AU207" i="41"/>
  <c r="AM28" i="39"/>
  <c r="X11" i="36"/>
  <c r="AI26" i="39"/>
  <c r="AH40" i="39"/>
  <c r="AH27" i="39" s="1"/>
  <c r="AJ41" i="39"/>
  <c r="O10" i="16"/>
  <c r="L10" i="16"/>
  <c r="P10" i="16"/>
  <c r="H10" i="16"/>
  <c r="K10" i="16"/>
  <c r="I10" i="16"/>
  <c r="AU273" i="41"/>
  <c r="AV5" i="41"/>
  <c r="AU545" i="41"/>
  <c r="AU547" i="41"/>
  <c r="AU313" i="41" s="1"/>
  <c r="AU280" i="41"/>
  <c r="AV2" i="41"/>
  <c r="AT516" i="41"/>
  <c r="AT517" i="41"/>
  <c r="AU22" i="41"/>
  <c r="AT24" i="41"/>
  <c r="AU23" i="41"/>
  <c r="AS529" i="41"/>
  <c r="AW44" i="41"/>
  <c r="AX43" i="41"/>
  <c r="AU321" i="41"/>
  <c r="AV321" i="41" s="1"/>
  <c r="AT528" i="41"/>
  <c r="AT36" i="41"/>
  <c r="AU35" i="41"/>
  <c r="AV39" i="41"/>
  <c r="AU42" i="41"/>
  <c r="AU758" i="41"/>
  <c r="AU757" i="41"/>
  <c r="AU759" i="41"/>
  <c r="AU483" i="41"/>
  <c r="AU484" i="41" s="1"/>
  <c r="AU485" i="41" s="1"/>
  <c r="AU486" i="41" s="1"/>
  <c r="AU487" i="41" s="1"/>
  <c r="AU488" i="41" s="1"/>
  <c r="AU489" i="41" s="1"/>
  <c r="AU490" i="41" s="1"/>
  <c r="AU282" i="41"/>
  <c r="AU272" i="41" s="1"/>
  <c r="AU279" i="41"/>
  <c r="AU278" i="41"/>
  <c r="AU274" i="41" s="1"/>
  <c r="AU275" i="41"/>
  <c r="AU271" i="41"/>
  <c r="AU270" i="41"/>
  <c r="AV3" i="41"/>
  <c r="AV204" i="41" s="1"/>
  <c r="AU19" i="41"/>
  <c r="AU6" i="41"/>
  <c r="AS304" i="41"/>
  <c r="AT303" i="41"/>
  <c r="AT45" i="41"/>
  <c r="AU14" i="41"/>
  <c r="AT15" i="41"/>
  <c r="AT26" i="41"/>
  <c r="AT7" i="41"/>
  <c r="AS513" i="41"/>
  <c r="AU206" i="41"/>
  <c r="AV198" i="41"/>
  <c r="AS46" i="41"/>
  <c r="AS8" i="41"/>
  <c r="AS531" i="41"/>
  <c r="AT530" i="41"/>
  <c r="AT509" i="41"/>
  <c r="AT508" i="41"/>
  <c r="AU425" i="41"/>
  <c r="AR512" i="41"/>
  <c r="AU323" i="41"/>
  <c r="AV323" i="41" s="1"/>
  <c r="AU48" i="41"/>
  <c r="AV47" i="41"/>
  <c r="AT511" i="41"/>
  <c r="AU510" i="41"/>
  <c r="AR533" i="41"/>
  <c r="AU422" i="41"/>
  <c r="AV422" i="41" s="1"/>
  <c r="AS521" i="41"/>
  <c r="AS520" i="41" s="1"/>
  <c r="AV196" i="41"/>
  <c r="AU208" i="41"/>
  <c r="AU197" i="41"/>
  <c r="AU546" i="41"/>
  <c r="AV9" i="41"/>
  <c r="AR535" i="41"/>
  <c r="AS534" i="41"/>
  <c r="AT304" i="41"/>
  <c r="AV423" i="41"/>
  <c r="AS525" i="41"/>
  <c r="AS524" i="41"/>
  <c r="AV207" i="41"/>
  <c r="AT522" i="41"/>
  <c r="AS523" i="41"/>
  <c r="AR520" i="41"/>
  <c r="AU49" i="41"/>
  <c r="AS40" i="41"/>
  <c r="AS38" i="41" s="1"/>
  <c r="AU41" i="41"/>
  <c r="AS515" i="41"/>
  <c r="AT514" i="41"/>
  <c r="AU203" i="41"/>
  <c r="AU200" i="41"/>
  <c r="AV200" i="41" s="1"/>
  <c r="AU223" i="41"/>
  <c r="AV223" i="41" s="1"/>
  <c r="AT274" i="41"/>
  <c r="AU11" i="41"/>
  <c r="AU424" i="41"/>
  <c r="J13" i="28"/>
  <c r="J2" i="28" s="1"/>
  <c r="J8" i="16"/>
  <c r="G13" i="28"/>
  <c r="G2" i="28" s="1"/>
  <c r="G8" i="16"/>
  <c r="P13" i="28"/>
  <c r="P2" i="28" s="1"/>
  <c r="P8" i="16"/>
  <c r="J10" i="16"/>
  <c r="H13" i="28"/>
  <c r="H8" i="16"/>
  <c r="M10" i="16"/>
  <c r="N13" i="28"/>
  <c r="N8" i="16"/>
  <c r="I13" i="28"/>
  <c r="I2" i="28" s="1"/>
  <c r="I8" i="16"/>
  <c r="L13" i="28"/>
  <c r="L8" i="16"/>
  <c r="N10" i="16"/>
  <c r="K13" i="28"/>
  <c r="K2" i="28" s="1"/>
  <c r="K8" i="16"/>
  <c r="O13" i="28"/>
  <c r="O2" i="28" s="1"/>
  <c r="O8" i="16"/>
  <c r="M13" i="28"/>
  <c r="M2" i="28" s="1"/>
  <c r="M8" i="16"/>
  <c r="I121" i="36"/>
  <c r="I124" i="36"/>
  <c r="G45" i="18"/>
  <c r="H45" i="18"/>
  <c r="M45" i="18"/>
  <c r="P29" i="28"/>
  <c r="J45" i="18"/>
  <c r="X194" i="36"/>
  <c r="Y194" i="36"/>
  <c r="T194" i="36"/>
  <c r="W194" i="36"/>
  <c r="Z194" i="36"/>
  <c r="U194" i="36"/>
  <c r="S194" i="36"/>
  <c r="R194" i="36"/>
  <c r="Q194" i="36"/>
  <c r="V194" i="36"/>
  <c r="W193" i="36"/>
  <c r="Q193" i="36"/>
  <c r="X193" i="36"/>
  <c r="R193" i="36"/>
  <c r="Z193" i="36"/>
  <c r="S193" i="36"/>
  <c r="T193" i="36"/>
  <c r="V193" i="36"/>
  <c r="U193" i="36"/>
  <c r="Y193" i="36"/>
  <c r="X195" i="36"/>
  <c r="W195" i="36"/>
  <c r="Z195" i="36"/>
  <c r="S195" i="36"/>
  <c r="T195" i="36"/>
  <c r="U195" i="36"/>
  <c r="Q195" i="36"/>
  <c r="Y195" i="36"/>
  <c r="V195" i="36"/>
  <c r="R195" i="36"/>
  <c r="AA20" i="40"/>
  <c r="V178" i="36"/>
  <c r="V34" i="18" s="1"/>
  <c r="V27" i="28" s="1"/>
  <c r="W180" i="36"/>
  <c r="W182" i="36" s="1"/>
  <c r="Z20" i="40"/>
  <c r="O45" i="18"/>
  <c r="P45" i="18"/>
  <c r="K45" i="18"/>
  <c r="L45" i="18"/>
  <c r="I45" i="18"/>
  <c r="AK526" i="39"/>
  <c r="AJ527" i="39"/>
  <c r="AO425" i="39"/>
  <c r="AK309" i="39"/>
  <c r="AK303" i="39"/>
  <c r="AK45" i="39"/>
  <c r="AK15" i="39"/>
  <c r="AK305" i="39" s="1"/>
  <c r="AL14" i="39"/>
  <c r="AJ7" i="39"/>
  <c r="BE28" i="39"/>
  <c r="BF4" i="39"/>
  <c r="AO29" i="39"/>
  <c r="AN30" i="39"/>
  <c r="AL200" i="39"/>
  <c r="AJ519" i="39"/>
  <c r="AK518" i="39"/>
  <c r="AL207" i="39"/>
  <c r="AK274" i="39"/>
  <c r="AL202" i="39"/>
  <c r="AI516" i="39"/>
  <c r="AJ517" i="39"/>
  <c r="BC281" i="39"/>
  <c r="BD242" i="39"/>
  <c r="AL206" i="39"/>
  <c r="BF247" i="39"/>
  <c r="BE245" i="39"/>
  <c r="AL217" i="39"/>
  <c r="AL205" i="39"/>
  <c r="AM205" i="39" s="1"/>
  <c r="AL546" i="39"/>
  <c r="AM9" i="39"/>
  <c r="AO545" i="39"/>
  <c r="AO547" i="39"/>
  <c r="AO313" i="39" s="1"/>
  <c r="AO280" i="39"/>
  <c r="AO492" i="39"/>
  <c r="AP2" i="39"/>
  <c r="AL512" i="39"/>
  <c r="AL513" i="39"/>
  <c r="AP422" i="39"/>
  <c r="AM25" i="39"/>
  <c r="AM196" i="39"/>
  <c r="AL199" i="39"/>
  <c r="AJ525" i="39"/>
  <c r="AJ524" i="39"/>
  <c r="AI523" i="39"/>
  <c r="AJ522" i="39"/>
  <c r="BE194" i="39"/>
  <c r="AP424" i="39"/>
  <c r="AK24" i="39"/>
  <c r="AL23" i="39"/>
  <c r="AM48" i="39"/>
  <c r="AN47" i="39"/>
  <c r="AM223" i="39"/>
  <c r="AL759" i="39"/>
  <c r="AL758" i="39"/>
  <c r="AL757" i="39"/>
  <c r="AL483" i="39"/>
  <c r="AL484" i="39" s="1"/>
  <c r="AL485" i="39" s="1"/>
  <c r="AL486" i="39" s="1"/>
  <c r="AL487" i="39" s="1"/>
  <c r="AL488" i="39" s="1"/>
  <c r="AL489" i="39" s="1"/>
  <c r="AL490" i="39" s="1"/>
  <c r="AM271" i="39"/>
  <c r="AL275" i="39"/>
  <c r="AL19" i="39"/>
  <c r="AL6" i="39"/>
  <c r="AM3" i="39"/>
  <c r="AM197" i="39" s="1"/>
  <c r="AH520" i="39"/>
  <c r="AI521" i="39"/>
  <c r="AH529" i="39"/>
  <c r="AI36" i="39"/>
  <c r="AN28" i="39"/>
  <c r="AN218" i="39"/>
  <c r="AO4" i="39"/>
  <c r="Z11" i="36" s="1"/>
  <c r="AL224" i="39"/>
  <c r="AJ533" i="39"/>
  <c r="AI532" i="39"/>
  <c r="AM515" i="39"/>
  <c r="AN514" i="39"/>
  <c r="AP423" i="39"/>
  <c r="AM42" i="39"/>
  <c r="AN39" i="39"/>
  <c r="AM49" i="39"/>
  <c r="AN49" i="39" s="1"/>
  <c r="BF126" i="39"/>
  <c r="BE127" i="39"/>
  <c r="AJ535" i="39"/>
  <c r="AK534" i="39"/>
  <c r="AJ530" i="39"/>
  <c r="AI531" i="39"/>
  <c r="AL201" i="39"/>
  <c r="AM201" i="39" s="1"/>
  <c r="AL203" i="39"/>
  <c r="AL279" i="39"/>
  <c r="AL282" i="39"/>
  <c r="AL272" i="39" s="1"/>
  <c r="AL270" i="39"/>
  <c r="AL278" i="39"/>
  <c r="AL273" i="39"/>
  <c r="AM5" i="39"/>
  <c r="AM11" i="39"/>
  <c r="AL528" i="39"/>
  <c r="AM35" i="39"/>
  <c r="AK304" i="39"/>
  <c r="AH8" i="39"/>
  <c r="AV49" i="41" l="1"/>
  <c r="R87" i="36"/>
  <c r="Z87" i="36"/>
  <c r="I84" i="42"/>
  <c r="I86" i="42"/>
  <c r="AK41" i="39"/>
  <c r="AJ26" i="39"/>
  <c r="AI40" i="39"/>
  <c r="AI27" i="39" s="1"/>
  <c r="U87" i="36"/>
  <c r="AH38" i="39"/>
  <c r="AL274" i="39"/>
  <c r="K87" i="42"/>
  <c r="K83" i="42"/>
  <c r="K85" i="42"/>
  <c r="T87" i="36"/>
  <c r="BF246" i="39"/>
  <c r="BG248" i="39"/>
  <c r="BG246" i="39" s="1"/>
  <c r="H87" i="42"/>
  <c r="H83" i="42"/>
  <c r="H85" i="42"/>
  <c r="J83" i="42"/>
  <c r="J87" i="42"/>
  <c r="J85" i="42"/>
  <c r="H86" i="42"/>
  <c r="H84" i="42"/>
  <c r="AW30" i="41"/>
  <c r="AX29" i="41"/>
  <c r="AO218" i="39"/>
  <c r="AV203" i="41"/>
  <c r="AW203" i="41" s="1"/>
  <c r="AV425" i="41"/>
  <c r="Y87" i="36"/>
  <c r="L83" i="42"/>
  <c r="L87" i="42"/>
  <c r="L85" i="42"/>
  <c r="AS527" i="41"/>
  <c r="AT526" i="41"/>
  <c r="L84" i="42"/>
  <c r="L86" i="42"/>
  <c r="AI38" i="39"/>
  <c r="AV197" i="41"/>
  <c r="AW197" i="41" s="1"/>
  <c r="AV206" i="41"/>
  <c r="AT519" i="41"/>
  <c r="AU518" i="41"/>
  <c r="J84" i="42"/>
  <c r="J86" i="42"/>
  <c r="AP425" i="39"/>
  <c r="AQ425" i="39" s="1"/>
  <c r="AV424" i="41"/>
  <c r="AV205" i="41"/>
  <c r="S87" i="36"/>
  <c r="AL511" i="39"/>
  <c r="AM510" i="39"/>
  <c r="AK509" i="39"/>
  <c r="AK508" i="39"/>
  <c r="AV11" i="41"/>
  <c r="AW11" i="41" s="1"/>
  <c r="I87" i="42"/>
  <c r="I83" i="42"/>
  <c r="I85" i="42"/>
  <c r="W87" i="36"/>
  <c r="K84" i="42"/>
  <c r="K86" i="42"/>
  <c r="O29" i="28"/>
  <c r="P30" i="28"/>
  <c r="N14" i="28"/>
  <c r="N2" i="28"/>
  <c r="L29" i="28"/>
  <c r="L2" i="28"/>
  <c r="H14" i="28"/>
  <c r="H2" i="28"/>
  <c r="O30" i="28"/>
  <c r="K29" i="28"/>
  <c r="O14" i="28"/>
  <c r="J30" i="28"/>
  <c r="J29" i="28"/>
  <c r="J14" i="28"/>
  <c r="K30" i="28"/>
  <c r="G30" i="28"/>
  <c r="G29" i="28"/>
  <c r="P14" i="28"/>
  <c r="M14" i="28"/>
  <c r="N30" i="28"/>
  <c r="L30" i="28"/>
  <c r="M30" i="28"/>
  <c r="L14" i="28"/>
  <c r="M29" i="28"/>
  <c r="N29" i="28"/>
  <c r="H29" i="28"/>
  <c r="I14" i="28"/>
  <c r="K14" i="28"/>
  <c r="AW47" i="41"/>
  <c r="AV48" i="41"/>
  <c r="AS535" i="41"/>
  <c r="AT534" i="41"/>
  <c r="AT521" i="41"/>
  <c r="AT520" i="41" s="1"/>
  <c r="AT513" i="41"/>
  <c r="AT512" i="41"/>
  <c r="AV42" i="41"/>
  <c r="AW39" i="41"/>
  <c r="AW49" i="41" s="1"/>
  <c r="AS512" i="41"/>
  <c r="AV224" i="41"/>
  <c r="AV22" i="41"/>
  <c r="AV199" i="41"/>
  <c r="AU522" i="41"/>
  <c r="AT523" i="41"/>
  <c r="AV546" i="41"/>
  <c r="AW9" i="41"/>
  <c r="AS533" i="41"/>
  <c r="AT46" i="41"/>
  <c r="AT8" i="41"/>
  <c r="AV202" i="41"/>
  <c r="AV201" i="41"/>
  <c r="AU24" i="41"/>
  <c r="AV23" i="41"/>
  <c r="AT515" i="41"/>
  <c r="AU514" i="41"/>
  <c r="AW207" i="41"/>
  <c r="AR532" i="41"/>
  <c r="AS27" i="41"/>
  <c r="AV758" i="41"/>
  <c r="AV757" i="41"/>
  <c r="AV759" i="41"/>
  <c r="AV483" i="41"/>
  <c r="AV484" i="41" s="1"/>
  <c r="AV485" i="41" s="1"/>
  <c r="AV486" i="41" s="1"/>
  <c r="AV487" i="41" s="1"/>
  <c r="AV488" i="41" s="1"/>
  <c r="AV489" i="41" s="1"/>
  <c r="AV490" i="41" s="1"/>
  <c r="AV282" i="41"/>
  <c r="AV272" i="41" s="1"/>
  <c r="AV270" i="41"/>
  <c r="AV279" i="41"/>
  <c r="AV278" i="41"/>
  <c r="AV271" i="41"/>
  <c r="AW3" i="41"/>
  <c r="AW223" i="41" s="1"/>
  <c r="AV19" i="41"/>
  <c r="AV275" i="41"/>
  <c r="AV6" i="41"/>
  <c r="AU528" i="41"/>
  <c r="AU36" i="41"/>
  <c r="AV35" i="41"/>
  <c r="AX44" i="41"/>
  <c r="AY43" i="41"/>
  <c r="AU517" i="41"/>
  <c r="AU516" i="41" s="1"/>
  <c r="AV273" i="41"/>
  <c r="AW5" i="41"/>
  <c r="AW321" i="41" s="1"/>
  <c r="AT531" i="41"/>
  <c r="AU530" i="41"/>
  <c r="AU511" i="41"/>
  <c r="AV510" i="41"/>
  <c r="AT529" i="41"/>
  <c r="AW206" i="41"/>
  <c r="AV41" i="41"/>
  <c r="AT40" i="41"/>
  <c r="AT27" i="41" s="1"/>
  <c r="AV208" i="41"/>
  <c r="AU509" i="41"/>
  <c r="AU508" i="41" s="1"/>
  <c r="AV21" i="41"/>
  <c r="AU303" i="41"/>
  <c r="AU45" i="41"/>
  <c r="AU15" i="41"/>
  <c r="AU26" i="41"/>
  <c r="AU7" i="41"/>
  <c r="AV14" i="41"/>
  <c r="AV545" i="41"/>
  <c r="AV547" i="41"/>
  <c r="AV313" i="41" s="1"/>
  <c r="AV280" i="41"/>
  <c r="AW2" i="41"/>
  <c r="AW422" i="41" s="1"/>
  <c r="AV25" i="41"/>
  <c r="AW25" i="41" s="1"/>
  <c r="I30" i="28"/>
  <c r="I29" i="28"/>
  <c r="H30" i="28"/>
  <c r="Y124" i="36"/>
  <c r="Z124" i="36"/>
  <c r="Q124" i="36"/>
  <c r="Q122" i="36" s="1"/>
  <c r="Q20" i="9" s="1"/>
  <c r="R124" i="36"/>
  <c r="X124" i="36"/>
  <c r="W124" i="36"/>
  <c r="V124" i="36"/>
  <c r="S124" i="36"/>
  <c r="U124" i="36"/>
  <c r="T124" i="36"/>
  <c r="X180" i="36"/>
  <c r="X182" i="36" s="1"/>
  <c r="W178" i="36"/>
  <c r="W34" i="18" s="1"/>
  <c r="W27" i="28" s="1"/>
  <c r="AN197" i="39"/>
  <c r="BF194" i="39"/>
  <c r="AL303" i="39"/>
  <c r="AL45" i="39"/>
  <c r="AK7" i="39"/>
  <c r="AL309" i="39"/>
  <c r="AL15" i="39"/>
  <c r="AL305" i="39" s="1"/>
  <c r="AM14" i="39"/>
  <c r="AM528" i="39"/>
  <c r="AN35" i="39"/>
  <c r="AK530" i="39"/>
  <c r="AJ531" i="39"/>
  <c r="AO39" i="39"/>
  <c r="AO49" i="39" s="1"/>
  <c r="AN42" i="39"/>
  <c r="AK532" i="39"/>
  <c r="AK533" i="39"/>
  <c r="AJ521" i="39"/>
  <c r="AN22" i="39"/>
  <c r="AN25" i="39"/>
  <c r="AP547" i="39"/>
  <c r="AP313" i="39" s="1"/>
  <c r="AP545" i="39"/>
  <c r="AP492" i="39"/>
  <c r="AP280" i="39"/>
  <c r="AQ2" i="39"/>
  <c r="AQ423" i="39" s="1"/>
  <c r="AM217" i="39"/>
  <c r="AK517" i="39"/>
  <c r="AM200" i="39"/>
  <c r="AN200" i="39" s="1"/>
  <c r="AL526" i="39"/>
  <c r="AK527" i="39"/>
  <c r="AJ532" i="39"/>
  <c r="AO47" i="39"/>
  <c r="AN48" i="39"/>
  <c r="AM198" i="39"/>
  <c r="AM282" i="39"/>
  <c r="AM272" i="39" s="1"/>
  <c r="AM279" i="39"/>
  <c r="AM278" i="39"/>
  <c r="AM274" i="39" s="1"/>
  <c r="AM273" i="39"/>
  <c r="AM270" i="39"/>
  <c r="AN5" i="39"/>
  <c r="BF28" i="39"/>
  <c r="BG4" i="39"/>
  <c r="BG28" i="39" s="1"/>
  <c r="AN223" i="39"/>
  <c r="AN196" i="39"/>
  <c r="AM203" i="39"/>
  <c r="AN203" i="39" s="1"/>
  <c r="AM204" i="39"/>
  <c r="AM224" i="39"/>
  <c r="AN224" i="39" s="1"/>
  <c r="AI520" i="39"/>
  <c r="AJ523" i="39"/>
  <c r="AK522" i="39"/>
  <c r="AM208" i="39"/>
  <c r="AN208" i="39" s="1"/>
  <c r="BG247" i="39"/>
  <c r="BG245" i="39" s="1"/>
  <c r="BF245" i="39"/>
  <c r="AJ516" i="39"/>
  <c r="AN11" i="39"/>
  <c r="AO11" i="39" s="1"/>
  <c r="AK535" i="39"/>
  <c r="AL534" i="39"/>
  <c r="AO28" i="39"/>
  <c r="AP4" i="39"/>
  <c r="AN21" i="39"/>
  <c r="AM206" i="39"/>
  <c r="AN206" i="39" s="1"/>
  <c r="AM202" i="39"/>
  <c r="AP29" i="39"/>
  <c r="AO30" i="39"/>
  <c r="AO514" i="39"/>
  <c r="AN515" i="39"/>
  <c r="AM758" i="39"/>
  <c r="AN758" i="39" s="1"/>
  <c r="AO758" i="39" s="1"/>
  <c r="AP758" i="39" s="1"/>
  <c r="AQ758" i="39" s="1"/>
  <c r="AR758" i="39" s="1"/>
  <c r="AS758" i="39" s="1"/>
  <c r="AT758" i="39" s="1"/>
  <c r="AU758" i="39" s="1"/>
  <c r="AV758" i="39" s="1"/>
  <c r="AW758" i="39" s="1"/>
  <c r="AX758" i="39" s="1"/>
  <c r="AM759" i="39"/>
  <c r="AN759" i="39" s="1"/>
  <c r="AO759" i="39" s="1"/>
  <c r="AP759" i="39" s="1"/>
  <c r="AQ759" i="39" s="1"/>
  <c r="AR759" i="39" s="1"/>
  <c r="AS759" i="39" s="1"/>
  <c r="AT759" i="39" s="1"/>
  <c r="AU759" i="39" s="1"/>
  <c r="AV759" i="39" s="1"/>
  <c r="AW759" i="39" s="1"/>
  <c r="AX759" i="39" s="1"/>
  <c r="AM757" i="39"/>
  <c r="AN757" i="39" s="1"/>
  <c r="AO757" i="39" s="1"/>
  <c r="AP757" i="39" s="1"/>
  <c r="AQ757" i="39" s="1"/>
  <c r="AR757" i="39" s="1"/>
  <c r="AS757" i="39" s="1"/>
  <c r="AT757" i="39" s="1"/>
  <c r="AU757" i="39" s="1"/>
  <c r="AV757" i="39" s="1"/>
  <c r="AW757" i="39" s="1"/>
  <c r="AX757" i="39" s="1"/>
  <c r="AM275" i="39"/>
  <c r="AM483" i="39"/>
  <c r="AM484" i="39" s="1"/>
  <c r="AM485" i="39" s="1"/>
  <c r="AM486" i="39" s="1"/>
  <c r="AM487" i="39" s="1"/>
  <c r="AM488" i="39" s="1"/>
  <c r="AM489" i="39" s="1"/>
  <c r="AM490" i="39" s="1"/>
  <c r="AM19" i="39"/>
  <c r="AN271" i="39"/>
  <c r="AM6" i="39"/>
  <c r="AN3" i="39"/>
  <c r="AN205" i="39" s="1"/>
  <c r="AK525" i="39"/>
  <c r="AK524" i="39" s="1"/>
  <c r="AM546" i="39"/>
  <c r="AN9" i="39"/>
  <c r="BD281" i="39"/>
  <c r="BE242" i="39"/>
  <c r="AM207" i="39"/>
  <c r="AN207" i="39" s="1"/>
  <c r="AP218" i="39"/>
  <c r="AL24" i="39"/>
  <c r="AM23" i="39"/>
  <c r="BF127" i="39"/>
  <c r="BG126" i="39"/>
  <c r="BG127" i="39" s="1"/>
  <c r="AI529" i="39"/>
  <c r="AJ36" i="39"/>
  <c r="AI8" i="39"/>
  <c r="AM199" i="39"/>
  <c r="AN199" i="39" s="1"/>
  <c r="AM513" i="39"/>
  <c r="AM512" i="39" s="1"/>
  <c r="AL518" i="39"/>
  <c r="AK519" i="39"/>
  <c r="AJ46" i="39"/>
  <c r="AJ8" i="39"/>
  <c r="AJ40" i="39" l="1"/>
  <c r="AJ27" i="39" s="1"/>
  <c r="AL41" i="39"/>
  <c r="AK26" i="39"/>
  <c r="AQ422" i="39"/>
  <c r="R42" i="40"/>
  <c r="M8" i="42"/>
  <c r="AQ424" i="39"/>
  <c r="AR424" i="39" s="1"/>
  <c r="AW21" i="41"/>
  <c r="AL509" i="39"/>
  <c r="AM509" i="39" s="1"/>
  <c r="AT527" i="41"/>
  <c r="AU526" i="41"/>
  <c r="AM511" i="39"/>
  <c r="AN510" i="39"/>
  <c r="AW22" i="41"/>
  <c r="AV518" i="41"/>
  <c r="AU519" i="41"/>
  <c r="AL304" i="39"/>
  <c r="AX30" i="41"/>
  <c r="AY29" i="41"/>
  <c r="AN204" i="39"/>
  <c r="AN201" i="39"/>
  <c r="AN217" i="39"/>
  <c r="AT525" i="41"/>
  <c r="AU525" i="41" s="1"/>
  <c r="AU524" i="41" s="1"/>
  <c r="AW323" i="41"/>
  <c r="AW41" i="41"/>
  <c r="AU40" i="41"/>
  <c r="AU27" i="41" s="1"/>
  <c r="AW757" i="41"/>
  <c r="AW758" i="41"/>
  <c r="AW483" i="41"/>
  <c r="AW484" i="41" s="1"/>
  <c r="AW485" i="41" s="1"/>
  <c r="AW486" i="41" s="1"/>
  <c r="AW487" i="41" s="1"/>
  <c r="AW488" i="41" s="1"/>
  <c r="AW489" i="41" s="1"/>
  <c r="AW490" i="41" s="1"/>
  <c r="AW759" i="41"/>
  <c r="AW282" i="41"/>
  <c r="AW272" i="41" s="1"/>
  <c r="AW279" i="41"/>
  <c r="AW278" i="41"/>
  <c r="AW275" i="41"/>
  <c r="AW271" i="41"/>
  <c r="AW270" i="41"/>
  <c r="AW19" i="41"/>
  <c r="AW6" i="41"/>
  <c r="AX3" i="41"/>
  <c r="AX223" i="41" s="1"/>
  <c r="AV304" i="41"/>
  <c r="AT533" i="41"/>
  <c r="AW196" i="41"/>
  <c r="AU513" i="41"/>
  <c r="AU512" i="41" s="1"/>
  <c r="AW545" i="41"/>
  <c r="AW547" i="41"/>
  <c r="AW313" i="41" s="1"/>
  <c r="AW280" i="41"/>
  <c r="AX2" i="41"/>
  <c r="AY44" i="41"/>
  <c r="AZ43" i="41"/>
  <c r="AW424" i="41"/>
  <c r="AX424" i="41" s="1"/>
  <c r="AU531" i="41"/>
  <c r="AV530" i="41"/>
  <c r="AV528" i="41"/>
  <c r="AV36" i="41"/>
  <c r="AW35" i="41"/>
  <c r="AW23" i="41"/>
  <c r="AV24" i="41"/>
  <c r="AS532" i="41"/>
  <c r="AW199" i="41"/>
  <c r="AX199" i="41" s="1"/>
  <c r="AW200" i="41"/>
  <c r="AX200" i="41" s="1"/>
  <c r="AX47" i="41"/>
  <c r="AW48" i="41"/>
  <c r="AW510" i="41"/>
  <c r="AV511" i="41"/>
  <c r="AX206" i="41"/>
  <c r="AU529" i="41"/>
  <c r="AU38" i="41"/>
  <c r="AV274" i="41"/>
  <c r="AW546" i="41"/>
  <c r="AX9" i="41"/>
  <c r="AW205" i="41"/>
  <c r="AW201" i="41"/>
  <c r="AW224" i="41"/>
  <c r="AV514" i="41"/>
  <c r="AU515" i="41"/>
  <c r="AV303" i="41"/>
  <c r="AV26" i="41"/>
  <c r="AV45" i="41"/>
  <c r="AV15" i="41"/>
  <c r="AV7" i="41"/>
  <c r="AW14" i="41"/>
  <c r="AW423" i="41"/>
  <c r="AX423" i="41" s="1"/>
  <c r="AU46" i="41"/>
  <c r="AU8" i="41"/>
  <c r="AW208" i="41"/>
  <c r="AT38" i="41"/>
  <c r="AU304" i="41"/>
  <c r="AW425" i="41"/>
  <c r="AX425" i="41" s="1"/>
  <c r="AW202" i="41"/>
  <c r="AU521" i="41"/>
  <c r="AU520" i="41" s="1"/>
  <c r="AW198" i="41"/>
  <c r="AV509" i="41"/>
  <c r="AW273" i="41"/>
  <c r="AX5" i="41"/>
  <c r="AX323" i="41" s="1"/>
  <c r="AT524" i="41"/>
  <c r="AV517" i="41"/>
  <c r="AV516" i="41" s="1"/>
  <c r="AV522" i="41"/>
  <c r="AU523" i="41"/>
  <c r="AW42" i="41"/>
  <c r="AX39" i="41"/>
  <c r="AU534" i="41"/>
  <c r="AT535" i="41"/>
  <c r="AW204" i="41"/>
  <c r="Y180" i="36"/>
  <c r="Y182" i="36" s="1"/>
  <c r="X178" i="36"/>
  <c r="X34" i="18" s="1"/>
  <c r="X27" i="28" s="1"/>
  <c r="AN509" i="39"/>
  <c r="AM309" i="39"/>
  <c r="AM303" i="39"/>
  <c r="AM45" i="39"/>
  <c r="AM15" i="39"/>
  <c r="AM305" i="39" s="1"/>
  <c r="AN14" i="39"/>
  <c r="AL7" i="39"/>
  <c r="AM508" i="39"/>
  <c r="AO224" i="39"/>
  <c r="AL527" i="39"/>
  <c r="AM526" i="39"/>
  <c r="AJ529" i="39"/>
  <c r="AK36" i="39"/>
  <c r="AK8" i="39" s="1"/>
  <c r="AJ38" i="39"/>
  <c r="AQ29" i="39"/>
  <c r="AP30" i="39"/>
  <c r="AL517" i="39"/>
  <c r="AL516" i="39" s="1"/>
  <c r="AO25" i="39"/>
  <c r="AO197" i="39"/>
  <c r="AN275" i="39"/>
  <c r="AO271" i="39"/>
  <c r="AN483" i="39"/>
  <c r="AN484" i="39" s="1"/>
  <c r="AN485" i="39" s="1"/>
  <c r="AN486" i="39" s="1"/>
  <c r="AN487" i="39" s="1"/>
  <c r="AN488" i="39" s="1"/>
  <c r="AN489" i="39" s="1"/>
  <c r="AN490" i="39" s="1"/>
  <c r="AN321" i="39"/>
  <c r="AN6" i="39"/>
  <c r="AO3" i="39"/>
  <c r="AO207" i="39" s="1"/>
  <c r="AN19" i="39"/>
  <c r="AN202" i="39"/>
  <c r="AO202" i="39" s="1"/>
  <c r="AL535" i="39"/>
  <c r="AM534" i="39"/>
  <c r="AN198" i="39"/>
  <c r="AK516" i="39"/>
  <c r="AO22" i="39"/>
  <c r="AK531" i="39"/>
  <c r="AL530" i="39"/>
  <c r="AK46" i="39"/>
  <c r="AO223" i="39"/>
  <c r="BG194" i="39"/>
  <c r="AL525" i="39"/>
  <c r="AP28" i="39"/>
  <c r="AQ4" i="39"/>
  <c r="AQ218" i="39" s="1"/>
  <c r="AO42" i="39"/>
  <c r="AP39" i="39"/>
  <c r="AP11" i="39" s="1"/>
  <c r="AL519" i="39"/>
  <c r="AM518" i="39"/>
  <c r="BF242" i="39"/>
  <c r="BE281" i="39"/>
  <c r="AN323" i="39"/>
  <c r="AO323" i="39" s="1"/>
  <c r="AN270" i="39"/>
  <c r="AN273" i="39"/>
  <c r="AN279" i="39"/>
  <c r="AN282" i="39"/>
  <c r="AN272" i="39" s="1"/>
  <c r="AN278" i="39"/>
  <c r="AO5" i="39"/>
  <c r="AK521" i="39"/>
  <c r="AK520" i="39"/>
  <c r="AO21" i="39"/>
  <c r="AK523" i="39"/>
  <c r="AL522" i="39"/>
  <c r="AO48" i="39"/>
  <c r="AP47" i="39"/>
  <c r="AQ545" i="39"/>
  <c r="AQ547" i="39"/>
  <c r="AQ313" i="39" s="1"/>
  <c r="AQ492" i="39"/>
  <c r="AQ280" i="39"/>
  <c r="AR2" i="39"/>
  <c r="AJ520" i="39"/>
  <c r="AN528" i="39"/>
  <c r="AO35" i="39"/>
  <c r="AN513" i="39"/>
  <c r="AN512" i="39" s="1"/>
  <c r="AM24" i="39"/>
  <c r="AN23" i="39"/>
  <c r="AN546" i="39"/>
  <c r="AO9" i="39"/>
  <c r="AO515" i="39"/>
  <c r="AP514" i="39"/>
  <c r="AL533" i="39"/>
  <c r="AL532" i="39" s="1"/>
  <c r="AR425" i="39"/>
  <c r="AR422" i="39"/>
  <c r="AP22" i="39" l="1"/>
  <c r="AV519" i="41"/>
  <c r="AW518" i="41"/>
  <c r="AP49" i="39"/>
  <c r="AO510" i="39"/>
  <c r="AN511" i="39"/>
  <c r="AY30" i="41"/>
  <c r="AZ29" i="41"/>
  <c r="AU527" i="41"/>
  <c r="AV526" i="41"/>
  <c r="AP25" i="39"/>
  <c r="AM41" i="39"/>
  <c r="AK40" i="39"/>
  <c r="AK27" i="39" s="1"/>
  <c r="AL26" i="39"/>
  <c r="AN274" i="39"/>
  <c r="AL508" i="39"/>
  <c r="AV534" i="41"/>
  <c r="AU535" i="41"/>
  <c r="AY39" i="41"/>
  <c r="AX42" i="41"/>
  <c r="AW509" i="41"/>
  <c r="AV515" i="41"/>
  <c r="AW514" i="41"/>
  <c r="AV508" i="41"/>
  <c r="AW303" i="41"/>
  <c r="AW26" i="41"/>
  <c r="AW45" i="41"/>
  <c r="AW15" i="41"/>
  <c r="AW7" i="41"/>
  <c r="AX14" i="41"/>
  <c r="AX203" i="41"/>
  <c r="AX205" i="41"/>
  <c r="AX21" i="41"/>
  <c r="AX207" i="41"/>
  <c r="AX273" i="41"/>
  <c r="AY5" i="41"/>
  <c r="AX202" i="41"/>
  <c r="AV8" i="41"/>
  <c r="AV46" i="41"/>
  <c r="AX11" i="41"/>
  <c r="AX22" i="41"/>
  <c r="AX510" i="41"/>
  <c r="AW511" i="41"/>
  <c r="AX23" i="41"/>
  <c r="AW24" i="41"/>
  <c r="AX49" i="41"/>
  <c r="AV513" i="41"/>
  <c r="AV512" i="41" s="1"/>
  <c r="AX546" i="41"/>
  <c r="AY9" i="41"/>
  <c r="AX25" i="41"/>
  <c r="AW528" i="41"/>
  <c r="AX35" i="41"/>
  <c r="AW36" i="41"/>
  <c r="AZ44" i="41"/>
  <c r="BA43" i="41"/>
  <c r="AX196" i="41"/>
  <c r="AV525" i="41"/>
  <c r="AW530" i="41"/>
  <c r="AV531" i="41"/>
  <c r="AX757" i="41"/>
  <c r="AX759" i="41"/>
  <c r="AX758" i="41"/>
  <c r="AX483" i="41"/>
  <c r="AX484" i="41" s="1"/>
  <c r="AX485" i="41" s="1"/>
  <c r="AX486" i="41" s="1"/>
  <c r="AX487" i="41" s="1"/>
  <c r="AX488" i="41" s="1"/>
  <c r="AX489" i="41" s="1"/>
  <c r="AX490" i="41" s="1"/>
  <c r="AX279" i="41"/>
  <c r="AX278" i="41"/>
  <c r="AX274" i="41" s="1"/>
  <c r="AX275" i="41"/>
  <c r="AX282" i="41"/>
  <c r="AX272" i="41" s="1"/>
  <c r="AX271" i="41"/>
  <c r="AX270" i="41"/>
  <c r="AX6" i="41"/>
  <c r="AY3" i="41"/>
  <c r="AW304" i="41" s="1"/>
  <c r="AX19" i="41"/>
  <c r="AV523" i="41"/>
  <c r="AW522" i="41"/>
  <c r="AX198" i="41"/>
  <c r="AX224" i="41"/>
  <c r="AX204" i="41"/>
  <c r="AY204" i="41" s="1"/>
  <c r="AW517" i="41"/>
  <c r="AW516" i="41"/>
  <c r="AX208" i="41"/>
  <c r="AY208" i="41" s="1"/>
  <c r="AX201" i="41"/>
  <c r="AV529" i="41"/>
  <c r="AU533" i="41"/>
  <c r="AU532" i="41" s="1"/>
  <c r="AX321" i="41"/>
  <c r="AX41" i="41"/>
  <c r="AV40" i="41"/>
  <c r="AV27" i="41" s="1"/>
  <c r="AV521" i="41"/>
  <c r="AV520" i="41" s="1"/>
  <c r="AX48" i="41"/>
  <c r="AY47" i="41"/>
  <c r="AX545" i="41"/>
  <c r="AX547" i="41"/>
  <c r="AX313" i="41" s="1"/>
  <c r="AX280" i="41"/>
  <c r="AY2" i="41"/>
  <c r="AY424" i="41" s="1"/>
  <c r="AT532" i="41"/>
  <c r="AW274" i="41"/>
  <c r="AX197" i="41"/>
  <c r="AY197" i="41" s="1"/>
  <c r="AX422" i="41"/>
  <c r="AY422" i="41" s="1"/>
  <c r="Z180" i="36"/>
  <c r="Z182" i="36" s="1"/>
  <c r="Z178" i="36" s="1"/>
  <c r="Z34" i="18" s="1"/>
  <c r="Z27" i="28" s="1"/>
  <c r="Y178" i="36"/>
  <c r="Y34" i="18" s="1"/>
  <c r="Y27" i="28" s="1"/>
  <c r="AP223" i="39"/>
  <c r="AQ514" i="39"/>
  <c r="AP515" i="39"/>
  <c r="AO528" i="39"/>
  <c r="AP35" i="39"/>
  <c r="AM525" i="39"/>
  <c r="AM524" i="39"/>
  <c r="AP224" i="39"/>
  <c r="AQ22" i="39"/>
  <c r="AO546" i="39"/>
  <c r="AP9" i="39"/>
  <c r="AO217" i="39"/>
  <c r="AO509" i="39"/>
  <c r="AO508" i="39" s="1"/>
  <c r="AO205" i="39"/>
  <c r="AP205" i="39" s="1"/>
  <c r="AL523" i="39"/>
  <c r="AM522" i="39"/>
  <c r="AO278" i="39"/>
  <c r="AO282" i="39"/>
  <c r="AO272" i="39" s="1"/>
  <c r="AO270" i="39"/>
  <c r="AO279" i="39"/>
  <c r="AO273" i="39"/>
  <c r="AP5" i="39"/>
  <c r="AO208" i="39"/>
  <c r="AP208" i="39" s="1"/>
  <c r="AQ39" i="39"/>
  <c r="AQ49" i="39" s="1"/>
  <c r="AP42" i="39"/>
  <c r="AO199" i="39"/>
  <c r="AO198" i="39"/>
  <c r="AM517" i="39"/>
  <c r="AM516" i="39" s="1"/>
  <c r="AO204" i="39"/>
  <c r="AL46" i="39"/>
  <c r="AN508" i="39"/>
  <c r="AM533" i="39"/>
  <c r="AO23" i="39"/>
  <c r="AN24" i="39"/>
  <c r="AR545" i="39"/>
  <c r="AR547" i="39"/>
  <c r="AR313" i="39" s="1"/>
  <c r="AR492" i="39"/>
  <c r="AR280" i="39"/>
  <c r="AS2" i="39"/>
  <c r="AO206" i="39"/>
  <c r="AR423" i="39"/>
  <c r="AO321" i="39"/>
  <c r="AN303" i="39"/>
  <c r="AN309" i="39"/>
  <c r="AN15" i="39"/>
  <c r="AN305" i="39" s="1"/>
  <c r="AN45" i="39"/>
  <c r="AO14" i="39"/>
  <c r="AM7" i="39"/>
  <c r="AQ30" i="39"/>
  <c r="AR29" i="39"/>
  <c r="BG242" i="39"/>
  <c r="BF281" i="39"/>
  <c r="AQ47" i="39"/>
  <c r="AP48" i="39"/>
  <c r="AL521" i="39"/>
  <c r="AN518" i="39"/>
  <c r="AM519" i="39"/>
  <c r="AL524" i="39"/>
  <c r="AO483" i="39"/>
  <c r="AO484" i="39" s="1"/>
  <c r="AO485" i="39" s="1"/>
  <c r="AO486" i="39" s="1"/>
  <c r="AO487" i="39" s="1"/>
  <c r="AO488" i="39" s="1"/>
  <c r="AO489" i="39" s="1"/>
  <c r="AO490" i="39" s="1"/>
  <c r="AO275" i="39"/>
  <c r="AP271" i="39"/>
  <c r="AO19" i="39"/>
  <c r="AP3" i="39"/>
  <c r="AP197" i="39" s="1"/>
  <c r="AO6" i="39"/>
  <c r="AN304" i="39"/>
  <c r="AM304" i="39"/>
  <c r="AQ25" i="39"/>
  <c r="AK529" i="39"/>
  <c r="AL36" i="39"/>
  <c r="AK38" i="39"/>
  <c r="AO203" i="39"/>
  <c r="AP203" i="39" s="1"/>
  <c r="AO201" i="39"/>
  <c r="AP201" i="39" s="1"/>
  <c r="AO200" i="39"/>
  <c r="AP200" i="39" s="1"/>
  <c r="AN534" i="39"/>
  <c r="AM535" i="39"/>
  <c r="AM527" i="39"/>
  <c r="AN526" i="39"/>
  <c r="AO196" i="39"/>
  <c r="AP196" i="39" s="1"/>
  <c r="AO513" i="39"/>
  <c r="AP21" i="39"/>
  <c r="AQ21" i="39" s="1"/>
  <c r="AQ28" i="39"/>
  <c r="AR4" i="39"/>
  <c r="AR218" i="39" s="1"/>
  <c r="AM530" i="39"/>
  <c r="AL531" i="39"/>
  <c r="AZ30" i="41" l="1"/>
  <c r="BA29" i="41"/>
  <c r="AP510" i="39"/>
  <c r="AO511" i="39"/>
  <c r="AP202" i="39"/>
  <c r="AP321" i="39"/>
  <c r="AP198" i="39"/>
  <c r="AQ198" i="39" s="1"/>
  <c r="AQ11" i="39"/>
  <c r="AN41" i="39"/>
  <c r="AM40" i="39"/>
  <c r="AL40" i="39"/>
  <c r="AL27" i="39" s="1"/>
  <c r="AM26" i="39"/>
  <c r="AP199" i="39"/>
  <c r="AQ199" i="39" s="1"/>
  <c r="AY321" i="41"/>
  <c r="AY200" i="41"/>
  <c r="AZ200" i="41" s="1"/>
  <c r="AX518" i="41"/>
  <c r="AW519" i="41"/>
  <c r="AP217" i="39"/>
  <c r="AP206" i="39"/>
  <c r="AO274" i="39"/>
  <c r="AY224" i="41"/>
  <c r="AY205" i="41"/>
  <c r="AY425" i="41"/>
  <c r="AW526" i="41"/>
  <c r="AV527" i="41"/>
  <c r="AV38" i="41"/>
  <c r="AY198" i="41"/>
  <c r="AZ198" i="41" s="1"/>
  <c r="AY203" i="41"/>
  <c r="AY49" i="41"/>
  <c r="AY423" i="41"/>
  <c r="AZ423" i="41" s="1"/>
  <c r="AX528" i="41"/>
  <c r="AY35" i="41"/>
  <c r="AX36" i="41"/>
  <c r="AX303" i="41"/>
  <c r="AX45" i="41"/>
  <c r="AX26" i="41"/>
  <c r="AX15" i="41"/>
  <c r="AX7" i="41"/>
  <c r="AY14" i="41"/>
  <c r="AW515" i="41"/>
  <c r="AX514" i="41"/>
  <c r="AZ203" i="41"/>
  <c r="AX530" i="41"/>
  <c r="AW531" i="41"/>
  <c r="AY23" i="41"/>
  <c r="AX24" i="41"/>
  <c r="AY202" i="41"/>
  <c r="AW46" i="41"/>
  <c r="AW8" i="41"/>
  <c r="AW534" i="41"/>
  <c r="AV535" i="41"/>
  <c r="AY48" i="41"/>
  <c r="AZ47" i="41"/>
  <c r="AW529" i="41"/>
  <c r="AV533" i="41"/>
  <c r="AV532" i="41"/>
  <c r="AZ224" i="41"/>
  <c r="AY25" i="41"/>
  <c r="AY273" i="41"/>
  <c r="AZ5" i="41"/>
  <c r="AX509" i="41"/>
  <c r="AX508" i="41"/>
  <c r="AW521" i="41"/>
  <c r="AW520" i="41" s="1"/>
  <c r="AY759" i="41"/>
  <c r="AY758" i="41"/>
  <c r="AY757" i="41"/>
  <c r="AY483" i="41"/>
  <c r="AY484" i="41" s="1"/>
  <c r="AY485" i="41" s="1"/>
  <c r="AY486" i="41" s="1"/>
  <c r="AY487" i="41" s="1"/>
  <c r="AY488" i="41" s="1"/>
  <c r="AY489" i="41" s="1"/>
  <c r="AY490" i="41" s="1"/>
  <c r="AY282" i="41"/>
  <c r="AY272" i="41" s="1"/>
  <c r="AY271" i="41"/>
  <c r="AY270" i="41"/>
  <c r="AY279" i="41"/>
  <c r="AY278" i="41"/>
  <c r="AY274" i="41" s="1"/>
  <c r="AY275" i="41"/>
  <c r="AY6" i="41"/>
  <c r="AZ3" i="41"/>
  <c r="AZ208" i="41" s="1"/>
  <c r="AY19" i="41"/>
  <c r="AX304" i="41"/>
  <c r="AV524" i="41"/>
  <c r="AY546" i="41"/>
  <c r="AZ9" i="41"/>
  <c r="AX511" i="41"/>
  <c r="AY510" i="41"/>
  <c r="AW508" i="41"/>
  <c r="AY206" i="41"/>
  <c r="AZ206" i="41" s="1"/>
  <c r="AZ39" i="41"/>
  <c r="AY42" i="41"/>
  <c r="AW523" i="41"/>
  <c r="AX522" i="41"/>
  <c r="AY196" i="41"/>
  <c r="AY22" i="41"/>
  <c r="AY207" i="41"/>
  <c r="AZ207" i="41" s="1"/>
  <c r="AY199" i="41"/>
  <c r="AZ199" i="41" s="1"/>
  <c r="AY323" i="41"/>
  <c r="AY547" i="41"/>
  <c r="AY313" i="41" s="1"/>
  <c r="AY545" i="41"/>
  <c r="AY280" i="41"/>
  <c r="AZ2" i="41"/>
  <c r="AW40" i="41"/>
  <c r="AW27" i="41" s="1"/>
  <c r="AY41" i="41"/>
  <c r="AY201" i="41"/>
  <c r="BB43" i="41"/>
  <c r="BA44" i="41"/>
  <c r="AW513" i="41"/>
  <c r="AW512" i="41" s="1"/>
  <c r="AY11" i="41"/>
  <c r="AY21" i="41"/>
  <c r="AY223" i="41"/>
  <c r="AZ223" i="41" s="1"/>
  <c r="AO309" i="39"/>
  <c r="AO303" i="39"/>
  <c r="AO15" i="39"/>
  <c r="AO305" i="39" s="1"/>
  <c r="AP14" i="39"/>
  <c r="AN7" i="39"/>
  <c r="AO45" i="39"/>
  <c r="AL529" i="39"/>
  <c r="AM36" i="39"/>
  <c r="AL38" i="39"/>
  <c r="AM521" i="39"/>
  <c r="AM520" i="39"/>
  <c r="AN533" i="39"/>
  <c r="AO518" i="39"/>
  <c r="AN519" i="39"/>
  <c r="AP528" i="39"/>
  <c r="AQ35" i="39"/>
  <c r="AP273" i="39"/>
  <c r="AP279" i="39"/>
  <c r="AP270" i="39"/>
  <c r="AP282" i="39"/>
  <c r="AP272" i="39" s="1"/>
  <c r="AP278" i="39"/>
  <c r="AQ5" i="39"/>
  <c r="AP513" i="39"/>
  <c r="AP512" i="39" s="1"/>
  <c r="AN535" i="39"/>
  <c r="AO534" i="39"/>
  <c r="AL520" i="39"/>
  <c r="BG281" i="39"/>
  <c r="AS545" i="39"/>
  <c r="AS547" i="39"/>
  <c r="AS313" i="39" s="1"/>
  <c r="AS280" i="39"/>
  <c r="AS492" i="39"/>
  <c r="AT2" i="39"/>
  <c r="AM532" i="39"/>
  <c r="AP323" i="39"/>
  <c r="AO512" i="39"/>
  <c r="AR30" i="39"/>
  <c r="AS29" i="39"/>
  <c r="AP509" i="39"/>
  <c r="AP508" i="39"/>
  <c r="AS422" i="39"/>
  <c r="AR47" i="39"/>
  <c r="AQ48" i="39"/>
  <c r="AL8" i="39"/>
  <c r="AS424" i="39"/>
  <c r="AR514" i="39"/>
  <c r="AQ515" i="39"/>
  <c r="AN527" i="39"/>
  <c r="AO526" i="39"/>
  <c r="AN517" i="39"/>
  <c r="AN516" i="39" s="1"/>
  <c r="AM531" i="39"/>
  <c r="AN530" i="39"/>
  <c r="AS423" i="39"/>
  <c r="AP23" i="39"/>
  <c r="AO24" i="39"/>
  <c r="AR28" i="39"/>
  <c r="AS4" i="39"/>
  <c r="AS425" i="39"/>
  <c r="AP483" i="39"/>
  <c r="AP484" i="39" s="1"/>
  <c r="AP485" i="39" s="1"/>
  <c r="AP486" i="39" s="1"/>
  <c r="AP487" i="39" s="1"/>
  <c r="AP488" i="39" s="1"/>
  <c r="AP489" i="39" s="1"/>
  <c r="AP490" i="39" s="1"/>
  <c r="AP275" i="39"/>
  <c r="AQ271" i="39"/>
  <c r="AQ3" i="39"/>
  <c r="AQ223" i="39" s="1"/>
  <c r="AP19" i="39"/>
  <c r="AP6" i="39"/>
  <c r="AM46" i="39"/>
  <c r="AM8" i="39"/>
  <c r="AM27" i="39"/>
  <c r="AP204" i="39"/>
  <c r="AR39" i="39"/>
  <c r="AQ42" i="39"/>
  <c r="AN522" i="39"/>
  <c r="AM523" i="39"/>
  <c r="AP546" i="39"/>
  <c r="AQ9" i="39"/>
  <c r="AN525" i="39"/>
  <c r="AN524" i="39"/>
  <c r="AP207" i="39"/>
  <c r="AQ197" i="39" l="1"/>
  <c r="AX526" i="41"/>
  <c r="AW527" i="41"/>
  <c r="AY518" i="41"/>
  <c r="AX519" i="41"/>
  <c r="AZ196" i="41"/>
  <c r="AQ206" i="39"/>
  <c r="AZ22" i="41"/>
  <c r="BA22" i="41" s="1"/>
  <c r="AP511" i="39"/>
  <c r="AQ510" i="39"/>
  <c r="AZ21" i="41"/>
  <c r="AX517" i="41"/>
  <c r="AX516" i="41" s="1"/>
  <c r="AZ11" i="41"/>
  <c r="AZ321" i="41"/>
  <c r="AW38" i="41"/>
  <c r="AZ202" i="41"/>
  <c r="BA202" i="41" s="1"/>
  <c r="BA30" i="41"/>
  <c r="BB29" i="41"/>
  <c r="AQ203" i="39"/>
  <c r="AW525" i="41"/>
  <c r="AW524" i="41" s="1"/>
  <c r="AZ201" i="41"/>
  <c r="AN40" i="39"/>
  <c r="AN27" i="39" s="1"/>
  <c r="AO41" i="39"/>
  <c r="AN26" i="39"/>
  <c r="AY303" i="41"/>
  <c r="AZ303" i="41" s="1"/>
  <c r="BA303" i="41" s="1"/>
  <c r="BB303" i="41" s="1"/>
  <c r="BC303" i="41" s="1"/>
  <c r="BD303" i="41" s="1"/>
  <c r="BE303" i="41" s="1"/>
  <c r="BF303" i="41" s="1"/>
  <c r="BG303" i="41" s="1"/>
  <c r="AY45" i="41"/>
  <c r="AY15" i="41"/>
  <c r="AY7" i="41"/>
  <c r="AZ14" i="41"/>
  <c r="AY26" i="41"/>
  <c r="AX40" i="41"/>
  <c r="AX27" i="41" s="1"/>
  <c r="AZ41" i="41"/>
  <c r="AZ323" i="41"/>
  <c r="AZ25" i="41"/>
  <c r="BA47" i="41"/>
  <c r="AZ48" i="41"/>
  <c r="AY517" i="41"/>
  <c r="AY516" i="41" s="1"/>
  <c r="BA11" i="41"/>
  <c r="AZ547" i="41"/>
  <c r="AZ313" i="41" s="1"/>
  <c r="AZ545" i="41"/>
  <c r="AZ280" i="41"/>
  <c r="BA2" i="41"/>
  <c r="AZ42" i="41"/>
  <c r="BA39" i="41"/>
  <c r="AX525" i="41"/>
  <c r="AX524" i="41" s="1"/>
  <c r="AZ23" i="41"/>
  <c r="AY24" i="41"/>
  <c r="BA200" i="41"/>
  <c r="AZ422" i="41"/>
  <c r="BA422" i="41" s="1"/>
  <c r="AZ425" i="41"/>
  <c r="BA425" i="41" s="1"/>
  <c r="BA5" i="41"/>
  <c r="AZ273" i="41"/>
  <c r="AX521" i="41"/>
  <c r="AX520" i="41" s="1"/>
  <c r="BA224" i="41"/>
  <c r="AW535" i="41"/>
  <c r="AX534" i="41"/>
  <c r="AY530" i="41"/>
  <c r="AX531" i="41"/>
  <c r="AZ49" i="41"/>
  <c r="AZ546" i="41"/>
  <c r="BA9" i="41"/>
  <c r="AX46" i="41"/>
  <c r="AX8" i="41"/>
  <c r="AX513" i="41"/>
  <c r="AX512" i="41"/>
  <c r="AZ759" i="41"/>
  <c r="AZ758" i="41"/>
  <c r="AZ757" i="41"/>
  <c r="AZ282" i="41"/>
  <c r="AZ272" i="41" s="1"/>
  <c r="AZ483" i="41"/>
  <c r="AZ484" i="41" s="1"/>
  <c r="AZ485" i="41" s="1"/>
  <c r="AZ486" i="41" s="1"/>
  <c r="AZ487" i="41" s="1"/>
  <c r="AZ488" i="41" s="1"/>
  <c r="AZ489" i="41" s="1"/>
  <c r="AZ490" i="41" s="1"/>
  <c r="AZ279" i="41"/>
  <c r="AZ278" i="41"/>
  <c r="AZ275" i="41"/>
  <c r="AZ270" i="41"/>
  <c r="AZ19" i="41"/>
  <c r="AZ271" i="41"/>
  <c r="BA3" i="41"/>
  <c r="BA203" i="41" s="1"/>
  <c r="AZ217" i="41"/>
  <c r="BA217" i="41" s="1"/>
  <c r="AZ6" i="41"/>
  <c r="AY304" i="41"/>
  <c r="AZ204" i="41"/>
  <c r="BA204" i="41" s="1"/>
  <c r="AX515" i="41"/>
  <c r="AY514" i="41"/>
  <c r="AX529" i="41"/>
  <c r="AZ205" i="41"/>
  <c r="BA205" i="41" s="1"/>
  <c r="BB44" i="41"/>
  <c r="BC43" i="41"/>
  <c r="AZ197" i="41"/>
  <c r="AX523" i="41"/>
  <c r="AY522" i="41"/>
  <c r="AY511" i="41"/>
  <c r="AZ510" i="41"/>
  <c r="AY509" i="41"/>
  <c r="AY508" i="41"/>
  <c r="AW533" i="41"/>
  <c r="AW532" i="41"/>
  <c r="AY528" i="41"/>
  <c r="AY36" i="41"/>
  <c r="AZ35" i="41"/>
  <c r="AZ424" i="41"/>
  <c r="BA424" i="41" s="1"/>
  <c r="AT547" i="39"/>
  <c r="AT313" i="39" s="1"/>
  <c r="AT492" i="39"/>
  <c r="AT545" i="39"/>
  <c r="AT280" i="39"/>
  <c r="AU2" i="39"/>
  <c r="AQ207" i="39"/>
  <c r="AR207" i="39" s="1"/>
  <c r="AR42" i="39"/>
  <c r="AS39" i="39"/>
  <c r="AQ23" i="39"/>
  <c r="AP24" i="39"/>
  <c r="AO527" i="39"/>
  <c r="AP526" i="39"/>
  <c r="AO535" i="39"/>
  <c r="AP534" i="39"/>
  <c r="AN521" i="39"/>
  <c r="AN520" i="39"/>
  <c r="AP309" i="39"/>
  <c r="AP303" i="39"/>
  <c r="AQ14" i="39"/>
  <c r="AP45" i="39"/>
  <c r="AO7" i="39"/>
  <c r="AP15" i="39"/>
  <c r="AP305" i="39" s="1"/>
  <c r="AO530" i="39"/>
  <c r="AN531" i="39"/>
  <c r="AS30" i="39"/>
  <c r="AT29" i="39"/>
  <c r="AO519" i="39"/>
  <c r="AP518" i="39"/>
  <c r="AQ204" i="39"/>
  <c r="AR48" i="39"/>
  <c r="AS47" i="39"/>
  <c r="AR25" i="39"/>
  <c r="AS25" i="39" s="1"/>
  <c r="AN523" i="39"/>
  <c r="AO522" i="39"/>
  <c r="AR271" i="39"/>
  <c r="AQ483" i="39"/>
  <c r="AQ484" i="39" s="1"/>
  <c r="AQ485" i="39" s="1"/>
  <c r="AQ486" i="39" s="1"/>
  <c r="AQ487" i="39" s="1"/>
  <c r="AQ488" i="39" s="1"/>
  <c r="AQ489" i="39" s="1"/>
  <c r="AQ490" i="39" s="1"/>
  <c r="AQ19" i="39"/>
  <c r="AQ275" i="39"/>
  <c r="AQ6" i="39"/>
  <c r="AR3" i="39"/>
  <c r="AP304" i="39"/>
  <c r="AO304" i="39"/>
  <c r="AN46" i="39"/>
  <c r="AO525" i="39"/>
  <c r="AO524" i="39" s="1"/>
  <c r="AQ217" i="39"/>
  <c r="AR217" i="39" s="1"/>
  <c r="AO517" i="39"/>
  <c r="AO516" i="39" s="1"/>
  <c r="AQ196" i="39"/>
  <c r="AR196" i="39" s="1"/>
  <c r="AQ200" i="39"/>
  <c r="AR200" i="39" s="1"/>
  <c r="AQ513" i="39"/>
  <c r="AQ512" i="39" s="1"/>
  <c r="AQ528" i="39"/>
  <c r="AR35" i="39"/>
  <c r="AR22" i="39"/>
  <c r="AS22" i="39" s="1"/>
  <c r="AM529" i="39"/>
  <c r="AN36" i="39"/>
  <c r="AN8" i="39" s="1"/>
  <c r="AM38" i="39"/>
  <c r="AQ201" i="39"/>
  <c r="AR201" i="39" s="1"/>
  <c r="AQ546" i="39"/>
  <c r="AR9" i="39"/>
  <c r="AT423" i="39"/>
  <c r="AR11" i="39"/>
  <c r="AS11" i="39" s="1"/>
  <c r="AR515" i="39"/>
  <c r="AS514" i="39"/>
  <c r="AT422" i="39"/>
  <c r="AU422" i="39" s="1"/>
  <c r="AQ205" i="39"/>
  <c r="AR205" i="39" s="1"/>
  <c r="AT425" i="39"/>
  <c r="AQ321" i="39"/>
  <c r="AR321" i="39" s="1"/>
  <c r="AQ224" i="39"/>
  <c r="AR224" i="39" s="1"/>
  <c r="AQ208" i="39"/>
  <c r="AR208" i="39" s="1"/>
  <c r="AQ278" i="39"/>
  <c r="AQ282" i="39"/>
  <c r="AQ272" i="39" s="1"/>
  <c r="AQ279" i="39"/>
  <c r="AQ270" i="39"/>
  <c r="AQ273" i="39"/>
  <c r="AR5" i="39"/>
  <c r="AO533" i="39"/>
  <c r="AO532" i="39"/>
  <c r="AR21" i="39"/>
  <c r="AR49" i="39"/>
  <c r="AT4" i="39"/>
  <c r="AS28" i="39"/>
  <c r="AQ202" i="39"/>
  <c r="AR202" i="39" s="1"/>
  <c r="AT424" i="39"/>
  <c r="AU424" i="39" s="1"/>
  <c r="AQ509" i="39"/>
  <c r="AQ508" i="39" s="1"/>
  <c r="AQ323" i="39"/>
  <c r="AP274" i="39"/>
  <c r="AN532" i="39"/>
  <c r="AS218" i="39"/>
  <c r="AT218" i="39" s="1"/>
  <c r="BA199" i="41" l="1"/>
  <c r="BA197" i="41"/>
  <c r="BA25" i="41"/>
  <c r="BC29" i="41"/>
  <c r="BB30" i="41"/>
  <c r="AR510" i="39"/>
  <c r="AQ511" i="39"/>
  <c r="AY526" i="41"/>
  <c r="AX527" i="41"/>
  <c r="AP41" i="39"/>
  <c r="AO40" i="39"/>
  <c r="AO27" i="39" s="1"/>
  <c r="AO26" i="39"/>
  <c r="AY519" i="41"/>
  <c r="AZ518" i="41"/>
  <c r="AS49" i="39"/>
  <c r="AS21" i="39"/>
  <c r="AQ274" i="39"/>
  <c r="AR206" i="39"/>
  <c r="BA49" i="41"/>
  <c r="BA323" i="41"/>
  <c r="BA546" i="41"/>
  <c r="BB9" i="41"/>
  <c r="BA547" i="41"/>
  <c r="BA313" i="41" s="1"/>
  <c r="BA545" i="41"/>
  <c r="BA280" i="41"/>
  <c r="BB2" i="41"/>
  <c r="BB424" i="41" s="1"/>
  <c r="AY529" i="41"/>
  <c r="AZ274" i="41"/>
  <c r="BA196" i="41"/>
  <c r="BA223" i="41"/>
  <c r="BA207" i="41"/>
  <c r="AZ24" i="41"/>
  <c r="BA23" i="41"/>
  <c r="AZ45" i="41"/>
  <c r="BA14" i="41"/>
  <c r="AZ15" i="41"/>
  <c r="AZ26" i="41"/>
  <c r="AZ7" i="41"/>
  <c r="AZ528" i="41"/>
  <c r="AZ36" i="41"/>
  <c r="BA35" i="41"/>
  <c r="AY521" i="41"/>
  <c r="AY520" i="41" s="1"/>
  <c r="AY513" i="41"/>
  <c r="AY512" i="41" s="1"/>
  <c r="BA208" i="41"/>
  <c r="BA206" i="41"/>
  <c r="BB425" i="41"/>
  <c r="AX533" i="41"/>
  <c r="AX532" i="41" s="1"/>
  <c r="AX38" i="41"/>
  <c r="BA423" i="41"/>
  <c r="BA198" i="41"/>
  <c r="AZ517" i="41"/>
  <c r="AZ516" i="41" s="1"/>
  <c r="AZ511" i="41"/>
  <c r="BA510" i="41"/>
  <c r="AY46" i="41"/>
  <c r="AY8" i="41"/>
  <c r="AZ530" i="41"/>
  <c r="AY531" i="41"/>
  <c r="BA42" i="41"/>
  <c r="BB39" i="41"/>
  <c r="BA21" i="41"/>
  <c r="AY523" i="41"/>
  <c r="AZ522" i="41"/>
  <c r="BB200" i="41"/>
  <c r="BA48" i="41"/>
  <c r="BB47" i="41"/>
  <c r="BA759" i="41"/>
  <c r="BA758" i="41"/>
  <c r="BA757" i="41"/>
  <c r="BA483" i="41"/>
  <c r="BA484" i="41" s="1"/>
  <c r="BA485" i="41" s="1"/>
  <c r="BA486" i="41" s="1"/>
  <c r="BA487" i="41" s="1"/>
  <c r="BA488" i="41" s="1"/>
  <c r="BA489" i="41" s="1"/>
  <c r="BA490" i="41" s="1"/>
  <c r="BA282" i="41"/>
  <c r="BA272" i="41" s="1"/>
  <c r="BA271" i="41"/>
  <c r="BA279" i="41"/>
  <c r="BA278" i="41"/>
  <c r="BA274" i="41" s="1"/>
  <c r="BA275" i="41"/>
  <c r="BB3" i="41"/>
  <c r="BB224" i="41" s="1"/>
  <c r="BA6" i="41"/>
  <c r="BA19" i="41"/>
  <c r="BA270" i="41"/>
  <c r="BD43" i="41"/>
  <c r="BC44" i="41"/>
  <c r="AZ509" i="41"/>
  <c r="AZ508" i="41" s="1"/>
  <c r="AY515" i="41"/>
  <c r="AZ514" i="41"/>
  <c r="AX535" i="41"/>
  <c r="AY534" i="41"/>
  <c r="BB5" i="41"/>
  <c r="BA273" i="41"/>
  <c r="BA201" i="41"/>
  <c r="BA41" i="41"/>
  <c r="AY40" i="41"/>
  <c r="AY27" i="41" s="1"/>
  <c r="BA321" i="41"/>
  <c r="BB321" i="41" s="1"/>
  <c r="AT514" i="39"/>
  <c r="AS515" i="39"/>
  <c r="AU547" i="39"/>
  <c r="AU313" i="39" s="1"/>
  <c r="AU492" i="39"/>
  <c r="AU280" i="39"/>
  <c r="AU545" i="39"/>
  <c r="AV2" i="39"/>
  <c r="AP533" i="39"/>
  <c r="AP532" i="39" s="1"/>
  <c r="AP527" i="39"/>
  <c r="AQ526" i="39"/>
  <c r="AQ534" i="39"/>
  <c r="AP535" i="39"/>
  <c r="AN529" i="39"/>
  <c r="AO36" i="39"/>
  <c r="AN38" i="39"/>
  <c r="AR273" i="39"/>
  <c r="AR279" i="39"/>
  <c r="AR282" i="39"/>
  <c r="AR272" i="39" s="1"/>
  <c r="AR278" i="39"/>
  <c r="AR274" i="39" s="1"/>
  <c r="AR270" i="39"/>
  <c r="AS5" i="39"/>
  <c r="AQ303" i="39"/>
  <c r="AQ309" i="39"/>
  <c r="AQ45" i="39"/>
  <c r="AQ15" i="39"/>
  <c r="AQ305" i="39" s="1"/>
  <c r="AP7" i="39"/>
  <c r="AR14" i="39"/>
  <c r="AU423" i="39"/>
  <c r="AR528" i="39"/>
  <c r="AS35" i="39"/>
  <c r="AP517" i="39"/>
  <c r="AP516" i="39"/>
  <c r="AS48" i="39"/>
  <c r="AT47" i="39"/>
  <c r="AP530" i="39"/>
  <c r="AO531" i="39"/>
  <c r="AO46" i="39"/>
  <c r="AR546" i="39"/>
  <c r="AS9" i="39"/>
  <c r="AS217" i="39"/>
  <c r="AR197" i="39"/>
  <c r="AS197" i="39" s="1"/>
  <c r="AR23" i="39"/>
  <c r="AQ24" i="39"/>
  <c r="AV424" i="39"/>
  <c r="AR323" i="39"/>
  <c r="AU4" i="39"/>
  <c r="AT28" i="39"/>
  <c r="AU425" i="39"/>
  <c r="AV425" i="39" s="1"/>
  <c r="AR483" i="39"/>
  <c r="AR484" i="39" s="1"/>
  <c r="AR485" i="39" s="1"/>
  <c r="AR486" i="39" s="1"/>
  <c r="AR487" i="39" s="1"/>
  <c r="AR488" i="39" s="1"/>
  <c r="AR489" i="39" s="1"/>
  <c r="AR490" i="39" s="1"/>
  <c r="AR275" i="39"/>
  <c r="AS271" i="39"/>
  <c r="AR6" i="39"/>
  <c r="AR19" i="39"/>
  <c r="AS3" i="39"/>
  <c r="AS201" i="39" s="1"/>
  <c r="AR198" i="39"/>
  <c r="AS198" i="39" s="1"/>
  <c r="AR204" i="39"/>
  <c r="AS204" i="39" s="1"/>
  <c r="AR199" i="39"/>
  <c r="AT39" i="39"/>
  <c r="AS42" i="39"/>
  <c r="AR203" i="39"/>
  <c r="AU29" i="39"/>
  <c r="AT30" i="39"/>
  <c r="AR509" i="39"/>
  <c r="AR508" i="39"/>
  <c r="AR513" i="39"/>
  <c r="AR512" i="39" s="1"/>
  <c r="AP525" i="39"/>
  <c r="AP524" i="39" s="1"/>
  <c r="AO523" i="39"/>
  <c r="AP522" i="39"/>
  <c r="AQ518" i="39"/>
  <c r="AP519" i="39"/>
  <c r="AO521" i="39"/>
  <c r="AO520" i="39" s="1"/>
  <c r="AR223" i="39"/>
  <c r="AS223" i="39" s="1"/>
  <c r="AZ526" i="41" l="1"/>
  <c r="AY527" i="41"/>
  <c r="AY525" i="41"/>
  <c r="AY524" i="41" s="1"/>
  <c r="BB423" i="41"/>
  <c r="BB422" i="41"/>
  <c r="BA518" i="41"/>
  <c r="AZ519" i="41"/>
  <c r="AS510" i="39"/>
  <c r="AR511" i="39"/>
  <c r="BB201" i="41"/>
  <c r="BB25" i="41"/>
  <c r="BB217" i="41"/>
  <c r="BC217" i="41" s="1"/>
  <c r="AS323" i="39"/>
  <c r="BB204" i="41"/>
  <c r="BC204" i="41" s="1"/>
  <c r="BD29" i="41"/>
  <c r="BC30" i="41"/>
  <c r="AV423" i="39"/>
  <c r="BB198" i="41"/>
  <c r="AQ41" i="39"/>
  <c r="AP40" i="39"/>
  <c r="AP26" i="39"/>
  <c r="AT21" i="39"/>
  <c r="AZ525" i="41"/>
  <c r="AZ524" i="41" s="1"/>
  <c r="BC200" i="41"/>
  <c r="BA511" i="41"/>
  <c r="BB510" i="41"/>
  <c r="BB11" i="41"/>
  <c r="AZ521" i="41"/>
  <c r="BB41" i="41"/>
  <c r="AZ40" i="41"/>
  <c r="AZ38" i="41" s="1"/>
  <c r="BA509" i="41"/>
  <c r="BA508" i="41" s="1"/>
  <c r="BB759" i="41"/>
  <c r="BB758" i="41"/>
  <c r="BB757" i="41"/>
  <c r="BB483" i="41"/>
  <c r="BB484" i="41" s="1"/>
  <c r="BB485" i="41" s="1"/>
  <c r="BB486" i="41" s="1"/>
  <c r="BB487" i="41" s="1"/>
  <c r="BB488" i="41" s="1"/>
  <c r="BB489" i="41" s="1"/>
  <c r="BB490" i="41" s="1"/>
  <c r="BB282" i="41"/>
  <c r="BB272" i="41" s="1"/>
  <c r="BB271" i="41"/>
  <c r="BB279" i="41"/>
  <c r="BB278" i="41"/>
  <c r="BB274" i="41" s="1"/>
  <c r="BB275" i="41"/>
  <c r="BC3" i="41"/>
  <c r="BB19" i="41"/>
  <c r="BB6" i="41"/>
  <c r="BB270" i="41"/>
  <c r="AZ304" i="41"/>
  <c r="BA522" i="41"/>
  <c r="AZ523" i="41"/>
  <c r="AZ531" i="41"/>
  <c r="BA530" i="41"/>
  <c r="BA528" i="41"/>
  <c r="BA36" i="41"/>
  <c r="BB35" i="41"/>
  <c r="BB23" i="41"/>
  <c r="BA24" i="41"/>
  <c r="AY38" i="41"/>
  <c r="BB202" i="41"/>
  <c r="BC202" i="41" s="1"/>
  <c r="BC198" i="41"/>
  <c r="BB206" i="41"/>
  <c r="AZ529" i="41"/>
  <c r="BB199" i="41"/>
  <c r="BC199" i="41" s="1"/>
  <c r="AZ515" i="41"/>
  <c r="BA514" i="41"/>
  <c r="BB208" i="41"/>
  <c r="BC208" i="41" s="1"/>
  <c r="BB207" i="41"/>
  <c r="BC207" i="41" s="1"/>
  <c r="BB545" i="41"/>
  <c r="BB547" i="41"/>
  <c r="BB313" i="41" s="1"/>
  <c r="BB280" i="41"/>
  <c r="BC2" i="41"/>
  <c r="BC425" i="41" s="1"/>
  <c r="BB546" i="41"/>
  <c r="BC9" i="41"/>
  <c r="BB42" i="41"/>
  <c r="BC39" i="41"/>
  <c r="BB49" i="41"/>
  <c r="BC49" i="41" s="1"/>
  <c r="BC5" i="41"/>
  <c r="BC321" i="41" s="1"/>
  <c r="BB273" i="41"/>
  <c r="BB197" i="41"/>
  <c r="BC197" i="41" s="1"/>
  <c r="BB22" i="41"/>
  <c r="BC22" i="41" s="1"/>
  <c r="AZ46" i="41"/>
  <c r="AZ8" i="41"/>
  <c r="BB223" i="41"/>
  <c r="BC223" i="41" s="1"/>
  <c r="BB48" i="41"/>
  <c r="BC47" i="41"/>
  <c r="BA45" i="41"/>
  <c r="BA26" i="41"/>
  <c r="BA7" i="41"/>
  <c r="BA15" i="41"/>
  <c r="BB14" i="41"/>
  <c r="BC201" i="41"/>
  <c r="AY535" i="41"/>
  <c r="AZ534" i="41"/>
  <c r="BE43" i="41"/>
  <c r="BD44" i="41"/>
  <c r="BB205" i="41"/>
  <c r="BC205" i="41" s="1"/>
  <c r="BB21" i="41"/>
  <c r="BB323" i="41"/>
  <c r="AY533" i="41"/>
  <c r="AY532" i="41" s="1"/>
  <c r="AZ513" i="41"/>
  <c r="BB196" i="41"/>
  <c r="BC196" i="41" s="1"/>
  <c r="BB203" i="41"/>
  <c r="BC203" i="41" s="1"/>
  <c r="AP531" i="39"/>
  <c r="AQ530" i="39"/>
  <c r="AP521" i="39"/>
  <c r="AP520" i="39" s="1"/>
  <c r="AU30" i="39"/>
  <c r="AV29" i="39"/>
  <c r="AU28" i="39"/>
  <c r="AV4" i="39"/>
  <c r="AS200" i="39"/>
  <c r="AT25" i="39"/>
  <c r="AS208" i="39"/>
  <c r="AS546" i="39"/>
  <c r="AT9" i="39"/>
  <c r="AS203" i="39"/>
  <c r="AT203" i="39" s="1"/>
  <c r="AR303" i="39"/>
  <c r="AR309" i="39"/>
  <c r="AS14" i="39"/>
  <c r="AR45" i="39"/>
  <c r="AR15" i="39"/>
  <c r="AR305" i="39" s="1"/>
  <c r="AQ7" i="39"/>
  <c r="AT22" i="39"/>
  <c r="AQ535" i="39"/>
  <c r="AR534" i="39"/>
  <c r="AS509" i="39"/>
  <c r="AS508" i="39" s="1"/>
  <c r="AS321" i="39"/>
  <c r="AS196" i="39"/>
  <c r="AS513" i="39"/>
  <c r="AS512" i="39" s="1"/>
  <c r="AQ517" i="39"/>
  <c r="AQ516" i="39"/>
  <c r="AP46" i="39"/>
  <c r="AP27" i="39"/>
  <c r="AT11" i="39"/>
  <c r="AQ533" i="39"/>
  <c r="AT515" i="39"/>
  <c r="AU514" i="39"/>
  <c r="AT223" i="39"/>
  <c r="AS483" i="39"/>
  <c r="AS484" i="39" s="1"/>
  <c r="AS485" i="39" s="1"/>
  <c r="AS486" i="39" s="1"/>
  <c r="AS487" i="39" s="1"/>
  <c r="AS488" i="39" s="1"/>
  <c r="AS489" i="39" s="1"/>
  <c r="AS490" i="39" s="1"/>
  <c r="AT271" i="39"/>
  <c r="AS275" i="39"/>
  <c r="AS19" i="39"/>
  <c r="AS6" i="39"/>
  <c r="AT3" i="39"/>
  <c r="AQ304" i="39"/>
  <c r="AR304" i="39"/>
  <c r="AT42" i="39"/>
  <c r="AU39" i="39"/>
  <c r="AS224" i="39"/>
  <c r="AQ527" i="39"/>
  <c r="AR526" i="39"/>
  <c r="AS202" i="39"/>
  <c r="AT202" i="39" s="1"/>
  <c r="AS207" i="39"/>
  <c r="AT207" i="39" s="1"/>
  <c r="AQ525" i="39"/>
  <c r="AQ524" i="39"/>
  <c r="AT217" i="39"/>
  <c r="AO529" i="39"/>
  <c r="AP36" i="39"/>
  <c r="AO38" i="39"/>
  <c r="AT48" i="39"/>
  <c r="AU47" i="39"/>
  <c r="AQ519" i="39"/>
  <c r="AR518" i="39"/>
  <c r="AS205" i="39"/>
  <c r="AT205" i="39" s="1"/>
  <c r="AO8" i="39"/>
  <c r="AS528" i="39"/>
  <c r="AT35" i="39"/>
  <c r="AP523" i="39"/>
  <c r="AQ522" i="39"/>
  <c r="AT49" i="39"/>
  <c r="AS199" i="39"/>
  <c r="AT199" i="39" s="1"/>
  <c r="AS23" i="39"/>
  <c r="AR24" i="39"/>
  <c r="AS270" i="39"/>
  <c r="AS282" i="39"/>
  <c r="AS272" i="39" s="1"/>
  <c r="AS279" i="39"/>
  <c r="AS278" i="39"/>
  <c r="AS274" i="39" s="1"/>
  <c r="AS273" i="39"/>
  <c r="AT5" i="39"/>
  <c r="AU218" i="39"/>
  <c r="AV218" i="39" s="1"/>
  <c r="AV547" i="39"/>
  <c r="AV313" i="39" s="1"/>
  <c r="AV545" i="39"/>
  <c r="AV492" i="39"/>
  <c r="AV280" i="39"/>
  <c r="AW2" i="39"/>
  <c r="AW423" i="39" s="1"/>
  <c r="AV422" i="39"/>
  <c r="AW422" i="39" s="1"/>
  <c r="AT204" i="39"/>
  <c r="AT197" i="39"/>
  <c r="AS206" i="39"/>
  <c r="AS511" i="39" l="1"/>
  <c r="AT510" i="39"/>
  <c r="BD30" i="41"/>
  <c r="BE29" i="41"/>
  <c r="BA519" i="41"/>
  <c r="BB518" i="41"/>
  <c r="AU11" i="39"/>
  <c r="AV11" i="39" s="1"/>
  <c r="AU49" i="39"/>
  <c r="AV49" i="39" s="1"/>
  <c r="BA517" i="41"/>
  <c r="BA516" i="41" s="1"/>
  <c r="AQ40" i="39"/>
  <c r="AR41" i="39"/>
  <c r="AQ26" i="39"/>
  <c r="AT208" i="39"/>
  <c r="AT206" i="39"/>
  <c r="AT224" i="39"/>
  <c r="AT321" i="39"/>
  <c r="BC21" i="41"/>
  <c r="BA526" i="41"/>
  <c r="AZ527" i="41"/>
  <c r="BA46" i="41"/>
  <c r="BA8" i="41"/>
  <c r="AZ27" i="41"/>
  <c r="BB40" i="41"/>
  <c r="BA40" i="41"/>
  <c r="BA38" i="41" s="1"/>
  <c r="BC41" i="41"/>
  <c r="BC422" i="41"/>
  <c r="BD422" i="41" s="1"/>
  <c r="BA529" i="41"/>
  <c r="BA513" i="41"/>
  <c r="BA512" i="41" s="1"/>
  <c r="BA521" i="41"/>
  <c r="BA520" i="41"/>
  <c r="BC545" i="41"/>
  <c r="BC547" i="41"/>
  <c r="BC313" i="41" s="1"/>
  <c r="BC280" i="41"/>
  <c r="BD2" i="41"/>
  <c r="BB511" i="41"/>
  <c r="BC510" i="41"/>
  <c r="BA515" i="41"/>
  <c r="BB514" i="41"/>
  <c r="AZ512" i="41"/>
  <c r="BE44" i="41"/>
  <c r="BF43" i="41"/>
  <c r="BD39" i="41"/>
  <c r="BD22" i="41" s="1"/>
  <c r="BC42" i="41"/>
  <c r="BD207" i="41"/>
  <c r="BD199" i="41"/>
  <c r="BA531" i="41"/>
  <c r="BB530" i="41"/>
  <c r="BC758" i="41"/>
  <c r="BC757" i="41"/>
  <c r="BC759" i="41"/>
  <c r="BC282" i="41"/>
  <c r="BC272" i="41" s="1"/>
  <c r="BC483" i="41"/>
  <c r="BC484" i="41" s="1"/>
  <c r="BC485" i="41" s="1"/>
  <c r="BC486" i="41" s="1"/>
  <c r="BC487" i="41" s="1"/>
  <c r="BC488" i="41" s="1"/>
  <c r="BC489" i="41" s="1"/>
  <c r="BC490" i="41" s="1"/>
  <c r="BC279" i="41"/>
  <c r="BC278" i="41"/>
  <c r="BC275" i="41"/>
  <c r="BC271" i="41"/>
  <c r="BD3" i="41"/>
  <c r="BD201" i="41" s="1"/>
  <c r="BC19" i="41"/>
  <c r="BC6" i="41"/>
  <c r="BC270" i="41"/>
  <c r="BB304" i="41"/>
  <c r="BA304" i="41"/>
  <c r="AZ520" i="41"/>
  <c r="BC48" i="41"/>
  <c r="BD47" i="41"/>
  <c r="BD208" i="41"/>
  <c r="BA525" i="41"/>
  <c r="BA524" i="41"/>
  <c r="BB45" i="41"/>
  <c r="BB26" i="41"/>
  <c r="BB15" i="41"/>
  <c r="BB7" i="41"/>
  <c r="BC14" i="41"/>
  <c r="AZ535" i="41"/>
  <c r="BA534" i="41"/>
  <c r="AZ533" i="41"/>
  <c r="BC546" i="41"/>
  <c r="BD9" i="41"/>
  <c r="BB24" i="41"/>
  <c r="BC23" i="41"/>
  <c r="BC11" i="41"/>
  <c r="BD11" i="41" s="1"/>
  <c r="BC25" i="41"/>
  <c r="BD25" i="41" s="1"/>
  <c r="BD5" i="41"/>
  <c r="BC273" i="41"/>
  <c r="BC423" i="41"/>
  <c r="BD423" i="41" s="1"/>
  <c r="BD21" i="41"/>
  <c r="BC323" i="41"/>
  <c r="BD223" i="41"/>
  <c r="BC206" i="41"/>
  <c r="BB528" i="41"/>
  <c r="BB36" i="41"/>
  <c r="BC35" i="41"/>
  <c r="BB522" i="41"/>
  <c r="BA523" i="41"/>
  <c r="BB509" i="41"/>
  <c r="BB508" i="41"/>
  <c r="BC424" i="41"/>
  <c r="BD424" i="41" s="1"/>
  <c r="BC224" i="41"/>
  <c r="AP529" i="39"/>
  <c r="AQ36" i="39"/>
  <c r="AQ8" i="39" s="1"/>
  <c r="AP38" i="39"/>
  <c r="AT279" i="39"/>
  <c r="AT278" i="39"/>
  <c r="AT274" i="39" s="1"/>
  <c r="AT282" i="39"/>
  <c r="AT272" i="39" s="1"/>
  <c r="AT273" i="39"/>
  <c r="AT270" i="39"/>
  <c r="AU5" i="39"/>
  <c r="AS303" i="39"/>
  <c r="AS309" i="39"/>
  <c r="AS45" i="39"/>
  <c r="AR7" i="39"/>
  <c r="AS15" i="39"/>
  <c r="AS305" i="39" s="1"/>
  <c r="AT14" i="39"/>
  <c r="AR533" i="39"/>
  <c r="AR532" i="39" s="1"/>
  <c r="AT509" i="39"/>
  <c r="AQ521" i="39"/>
  <c r="AQ520" i="39"/>
  <c r="AU515" i="39"/>
  <c r="AV514" i="39"/>
  <c r="AW547" i="39"/>
  <c r="AW313" i="39" s="1"/>
  <c r="AW545" i="39"/>
  <c r="AW492" i="39"/>
  <c r="AW280" i="39"/>
  <c r="AX2" i="39"/>
  <c r="AQ523" i="39"/>
  <c r="AR522" i="39"/>
  <c r="AR519" i="39"/>
  <c r="AS518" i="39"/>
  <c r="AV39" i="39"/>
  <c r="AU42" i="39"/>
  <c r="AQ532" i="39"/>
  <c r="AR517" i="39"/>
  <c r="AR516" i="39" s="1"/>
  <c r="AS534" i="39"/>
  <c r="AR535" i="39"/>
  <c r="AU25" i="39"/>
  <c r="AR530" i="39"/>
  <c r="AQ531" i="39"/>
  <c r="AR525" i="39"/>
  <c r="AR524" i="39" s="1"/>
  <c r="AW424" i="39"/>
  <c r="AT200" i="39"/>
  <c r="AT528" i="39"/>
  <c r="AU35" i="39"/>
  <c r="AU48" i="39"/>
  <c r="AV47" i="39"/>
  <c r="AU22" i="39"/>
  <c r="AT323" i="39"/>
  <c r="AV28" i="39"/>
  <c r="AW4" i="39"/>
  <c r="AW218" i="39" s="1"/>
  <c r="AW425" i="39"/>
  <c r="AX425" i="39" s="1"/>
  <c r="AT23" i="39"/>
  <c r="AS24" i="39"/>
  <c r="AT513" i="39"/>
  <c r="AT512" i="39" s="1"/>
  <c r="AQ27" i="39"/>
  <c r="AQ46" i="39"/>
  <c r="AU21" i="39"/>
  <c r="AS526" i="39"/>
  <c r="AR527" i="39"/>
  <c r="AT483" i="39"/>
  <c r="AT484" i="39" s="1"/>
  <c r="AT485" i="39" s="1"/>
  <c r="AT486" i="39" s="1"/>
  <c r="AT487" i="39" s="1"/>
  <c r="AT488" i="39" s="1"/>
  <c r="AT489" i="39" s="1"/>
  <c r="AT490" i="39" s="1"/>
  <c r="AU271" i="39"/>
  <c r="AT275" i="39"/>
  <c r="AU3" i="39"/>
  <c r="AU202" i="39" s="1"/>
  <c r="AT19" i="39"/>
  <c r="AT6" i="39"/>
  <c r="AT198" i="39"/>
  <c r="AP8" i="39"/>
  <c r="AT196" i="39"/>
  <c r="AT546" i="39"/>
  <c r="AU9" i="39"/>
  <c r="AW29" i="39"/>
  <c r="AV30" i="39"/>
  <c r="AT201" i="39"/>
  <c r="BB519" i="41" l="1"/>
  <c r="BC518" i="41"/>
  <c r="AV21" i="39"/>
  <c r="AV25" i="39"/>
  <c r="BD200" i="41"/>
  <c r="BE200" i="41" s="1"/>
  <c r="BA27" i="41"/>
  <c r="BB517" i="41"/>
  <c r="BB516" i="41" s="1"/>
  <c r="BF29" i="41"/>
  <c r="BE30" i="41"/>
  <c r="AV22" i="39"/>
  <c r="AX424" i="39"/>
  <c r="BD49" i="41"/>
  <c r="BA527" i="41"/>
  <c r="BB526" i="41"/>
  <c r="AT511" i="39"/>
  <c r="AU510" i="39"/>
  <c r="AU323" i="39"/>
  <c r="AS41" i="39"/>
  <c r="AR40" i="39"/>
  <c r="AR26" i="39"/>
  <c r="BA533" i="41"/>
  <c r="BB525" i="41"/>
  <c r="BB524" i="41" s="1"/>
  <c r="BC514" i="41"/>
  <c r="BB515" i="41"/>
  <c r="BC522" i="41"/>
  <c r="BB523" i="41"/>
  <c r="BC24" i="41"/>
  <c r="BD23" i="41"/>
  <c r="BB521" i="41"/>
  <c r="BB520" i="41" s="1"/>
  <c r="AZ532" i="41"/>
  <c r="BC45" i="41"/>
  <c r="BD14" i="41"/>
  <c r="BC26" i="41"/>
  <c r="BC7" i="41"/>
  <c r="BC15" i="41"/>
  <c r="BE47" i="41"/>
  <c r="BD48" i="41"/>
  <c r="BD758" i="41"/>
  <c r="BD757" i="41"/>
  <c r="BD759" i="41"/>
  <c r="BD483" i="41"/>
  <c r="BD484" i="41" s="1"/>
  <c r="BD485" i="41" s="1"/>
  <c r="BD486" i="41" s="1"/>
  <c r="BD487" i="41" s="1"/>
  <c r="BD488" i="41" s="1"/>
  <c r="BD489" i="41" s="1"/>
  <c r="BD490" i="41" s="1"/>
  <c r="BD282" i="41"/>
  <c r="BD272" i="41" s="1"/>
  <c r="BD279" i="41"/>
  <c r="BD278" i="41"/>
  <c r="BD274" i="41" s="1"/>
  <c r="BD275" i="41"/>
  <c r="BD271" i="41"/>
  <c r="BE3" i="41"/>
  <c r="BE208" i="41" s="1"/>
  <c r="BD19" i="41"/>
  <c r="BD6" i="41"/>
  <c r="BD270" i="41"/>
  <c r="BD42" i="41"/>
  <c r="BE39" i="41"/>
  <c r="BE25" i="41" s="1"/>
  <c r="BC511" i="41"/>
  <c r="BD510" i="41"/>
  <c r="BD198" i="41"/>
  <c r="BD205" i="41"/>
  <c r="BE5" i="41"/>
  <c r="BD273" i="41"/>
  <c r="BC509" i="41"/>
  <c r="BD546" i="41"/>
  <c r="BE9" i="41"/>
  <c r="BB46" i="41"/>
  <c r="BB27" i="41"/>
  <c r="BB8" i="41"/>
  <c r="BD203" i="41"/>
  <c r="BD204" i="41"/>
  <c r="BD196" i="41"/>
  <c r="BA535" i="41"/>
  <c r="BB534" i="41"/>
  <c r="BD41" i="41"/>
  <c r="BC40" i="41"/>
  <c r="BD323" i="41"/>
  <c r="BE323" i="41" s="1"/>
  <c r="BB529" i="41"/>
  <c r="BB38" i="41"/>
  <c r="BD224" i="41"/>
  <c r="BD547" i="41"/>
  <c r="BD313" i="41" s="1"/>
  <c r="BD545" i="41"/>
  <c r="BD280" i="41"/>
  <c r="BE2" i="41"/>
  <c r="BE422" i="41" s="1"/>
  <c r="BD202" i="41"/>
  <c r="BE202" i="41" s="1"/>
  <c r="BD425" i="41"/>
  <c r="BB513" i="41"/>
  <c r="BB512" i="41" s="1"/>
  <c r="BC528" i="41"/>
  <c r="BC36" i="41"/>
  <c r="BD35" i="41"/>
  <c r="BD206" i="41"/>
  <c r="BD197" i="41"/>
  <c r="BC274" i="41"/>
  <c r="BB531" i="41"/>
  <c r="BC530" i="41"/>
  <c r="BG43" i="41"/>
  <c r="BG44" i="41" s="1"/>
  <c r="BF44" i="41"/>
  <c r="BD217" i="41"/>
  <c r="BD321" i="41"/>
  <c r="BE321" i="41" s="1"/>
  <c r="AW30" i="39"/>
  <c r="AX29" i="39"/>
  <c r="AU483" i="39"/>
  <c r="AU484" i="39" s="1"/>
  <c r="AU485" i="39" s="1"/>
  <c r="AU486" i="39" s="1"/>
  <c r="AU487" i="39" s="1"/>
  <c r="AU488" i="39" s="1"/>
  <c r="AU489" i="39" s="1"/>
  <c r="AU490" i="39" s="1"/>
  <c r="AU275" i="39"/>
  <c r="AV271" i="39"/>
  <c r="AU19" i="39"/>
  <c r="AU6" i="39"/>
  <c r="AV3" i="39"/>
  <c r="AT304" i="39"/>
  <c r="AS304" i="39"/>
  <c r="AX545" i="39"/>
  <c r="AX547" i="39"/>
  <c r="AX313" i="39" s="1"/>
  <c r="AX280" i="39"/>
  <c r="AX492" i="39"/>
  <c r="AY492" i="39" s="1"/>
  <c r="AZ492" i="39" s="1"/>
  <c r="BA492" i="39" s="1"/>
  <c r="BB492" i="39" s="1"/>
  <c r="BC492" i="39" s="1"/>
  <c r="BD492" i="39" s="1"/>
  <c r="BE492" i="39" s="1"/>
  <c r="BF492" i="39" s="1"/>
  <c r="BG492" i="39" s="1"/>
  <c r="AY2" i="39"/>
  <c r="AS525" i="39"/>
  <c r="AS524" i="39" s="1"/>
  <c r="AU205" i="39"/>
  <c r="AU199" i="39"/>
  <c r="AS517" i="39"/>
  <c r="AS516" i="39" s="1"/>
  <c r="AV515" i="39"/>
  <c r="AW514" i="39"/>
  <c r="AU546" i="39"/>
  <c r="AV9" i="39"/>
  <c r="AU224" i="39"/>
  <c r="AU204" i="39"/>
  <c r="AU223" i="39"/>
  <c r="AV223" i="39" s="1"/>
  <c r="AU206" i="39"/>
  <c r="AV206" i="39" s="1"/>
  <c r="AU196" i="39"/>
  <c r="AV196" i="39" s="1"/>
  <c r="AU203" i="39"/>
  <c r="AV203" i="39" s="1"/>
  <c r="AU321" i="39"/>
  <c r="AR531" i="39"/>
  <c r="AS530" i="39"/>
  <c r="AV42" i="39"/>
  <c r="AW39" i="39"/>
  <c r="AR521" i="39"/>
  <c r="AT309" i="39"/>
  <c r="AT303" i="39"/>
  <c r="AS7" i="39"/>
  <c r="AT15" i="39"/>
  <c r="AT305" i="39" s="1"/>
  <c r="AT45" i="39"/>
  <c r="AU14" i="39"/>
  <c r="AU282" i="39"/>
  <c r="AU272" i="39" s="1"/>
  <c r="AU279" i="39"/>
  <c r="AU278" i="39"/>
  <c r="AU273" i="39"/>
  <c r="AU270" i="39"/>
  <c r="AV5" i="39"/>
  <c r="AQ529" i="39"/>
  <c r="AR36" i="39"/>
  <c r="AR8" i="39" s="1"/>
  <c r="AQ38" i="39"/>
  <c r="AV202" i="39"/>
  <c r="AT24" i="39"/>
  <c r="AU23" i="39"/>
  <c r="AU207" i="39"/>
  <c r="AU200" i="39"/>
  <c r="AV200" i="39" s="1"/>
  <c r="AT518" i="39"/>
  <c r="AS519" i="39"/>
  <c r="AU208" i="39"/>
  <c r="AV208" i="39" s="1"/>
  <c r="AU513" i="39"/>
  <c r="AU512" i="39" s="1"/>
  <c r="AU528" i="39"/>
  <c r="AV35" i="39"/>
  <c r="AS533" i="39"/>
  <c r="AS532" i="39"/>
  <c r="AU198" i="39"/>
  <c r="AV198" i="39" s="1"/>
  <c r="AV48" i="39"/>
  <c r="AW47" i="39"/>
  <c r="AU217" i="39"/>
  <c r="AU197" i="39"/>
  <c r="AV197" i="39" s="1"/>
  <c r="AU201" i="39"/>
  <c r="AV201" i="39" s="1"/>
  <c r="AT526" i="39"/>
  <c r="AS527" i="39"/>
  <c r="AW28" i="39"/>
  <c r="AX4" i="39"/>
  <c r="AX28" i="39" s="1"/>
  <c r="AS535" i="39"/>
  <c r="AT534" i="39"/>
  <c r="AS522" i="39"/>
  <c r="AR523" i="39"/>
  <c r="AX422" i="39"/>
  <c r="AT508" i="39"/>
  <c r="AR46" i="39"/>
  <c r="AR27" i="39"/>
  <c r="AX423" i="39"/>
  <c r="BE197" i="41" l="1"/>
  <c r="BE223" i="41"/>
  <c r="BE204" i="41"/>
  <c r="BE206" i="41"/>
  <c r="BE22" i="41"/>
  <c r="BF22" i="41" s="1"/>
  <c r="BE203" i="41"/>
  <c r="BE21" i="41"/>
  <c r="BC526" i="41"/>
  <c r="BB527" i="41"/>
  <c r="BF30" i="41"/>
  <c r="BG29" i="41"/>
  <c r="BG30" i="41" s="1"/>
  <c r="AU511" i="39"/>
  <c r="AV510" i="39"/>
  <c r="BE217" i="41"/>
  <c r="BE49" i="41"/>
  <c r="BE207" i="41"/>
  <c r="BE199" i="41"/>
  <c r="AV207" i="39"/>
  <c r="AV204" i="39"/>
  <c r="BE224" i="41"/>
  <c r="BE424" i="41"/>
  <c r="AY423" i="39"/>
  <c r="AU509" i="39"/>
  <c r="AU508" i="39" s="1"/>
  <c r="AV321" i="39"/>
  <c r="AV224" i="39"/>
  <c r="AV199" i="39"/>
  <c r="AT41" i="39"/>
  <c r="AS40" i="39"/>
  <c r="AS26" i="39"/>
  <c r="BD518" i="41"/>
  <c r="BC519" i="41"/>
  <c r="BC517" i="41"/>
  <c r="BD517" i="41" s="1"/>
  <c r="BD516" i="41" s="1"/>
  <c r="AV217" i="39"/>
  <c r="AX218" i="39"/>
  <c r="AV205" i="39"/>
  <c r="BC513" i="41"/>
  <c r="BC512" i="41" s="1"/>
  <c r="BF200" i="41"/>
  <c r="BC304" i="41"/>
  <c r="BF47" i="41"/>
  <c r="BE48" i="41"/>
  <c r="BD522" i="41"/>
  <c r="BC523" i="41"/>
  <c r="BD509" i="41"/>
  <c r="BF5" i="41"/>
  <c r="BF321" i="41" s="1"/>
  <c r="BE273" i="41"/>
  <c r="BE545" i="41"/>
  <c r="BE547" i="41"/>
  <c r="BE313" i="41" s="1"/>
  <c r="BE280" i="41"/>
  <c r="BF2" i="41"/>
  <c r="BF323" i="41"/>
  <c r="BE196" i="41"/>
  <c r="BE546" i="41"/>
  <c r="BF9" i="41"/>
  <c r="BE205" i="41"/>
  <c r="BC46" i="41"/>
  <c r="BC27" i="41"/>
  <c r="BC8" i="41"/>
  <c r="BC521" i="41"/>
  <c r="BC520" i="41" s="1"/>
  <c r="BD514" i="41"/>
  <c r="BC515" i="41"/>
  <c r="BE198" i="41"/>
  <c r="BE41" i="41"/>
  <c r="BD40" i="41"/>
  <c r="BE510" i="41"/>
  <c r="BD511" i="41"/>
  <c r="BE757" i="41"/>
  <c r="BE758" i="41"/>
  <c r="BE483" i="41"/>
  <c r="BE484" i="41" s="1"/>
  <c r="BE485" i="41" s="1"/>
  <c r="BE486" i="41" s="1"/>
  <c r="BE487" i="41" s="1"/>
  <c r="BE488" i="41" s="1"/>
  <c r="BE489" i="41" s="1"/>
  <c r="BE490" i="41" s="1"/>
  <c r="BE759" i="41"/>
  <c r="BE282" i="41"/>
  <c r="BE272" i="41" s="1"/>
  <c r="BE279" i="41"/>
  <c r="BE278" i="41"/>
  <c r="BE275" i="41"/>
  <c r="BE271" i="41"/>
  <c r="BE6" i="41"/>
  <c r="BE19" i="41"/>
  <c r="BF3" i="41"/>
  <c r="BF204" i="41" s="1"/>
  <c r="BE270" i="41"/>
  <c r="BD304" i="41"/>
  <c r="BD45" i="41"/>
  <c r="BD26" i="41"/>
  <c r="BD15" i="41"/>
  <c r="BD7" i="41"/>
  <c r="BE14" i="41"/>
  <c r="BD24" i="41"/>
  <c r="BE23" i="41"/>
  <c r="BF199" i="41"/>
  <c r="BB532" i="41"/>
  <c r="BB533" i="41"/>
  <c r="BD528" i="41"/>
  <c r="BD36" i="41"/>
  <c r="BE35" i="41"/>
  <c r="BC529" i="41"/>
  <c r="BC38" i="41"/>
  <c r="BF207" i="41"/>
  <c r="BC531" i="41"/>
  <c r="BD530" i="41"/>
  <c r="BE425" i="41"/>
  <c r="BF425" i="41" s="1"/>
  <c r="BE423" i="41"/>
  <c r="BF423" i="41" s="1"/>
  <c r="BB535" i="41"/>
  <c r="BC534" i="41"/>
  <c r="BC508" i="41"/>
  <c r="BE42" i="41"/>
  <c r="BF39" i="41"/>
  <c r="BE11" i="41"/>
  <c r="BF11" i="41" s="1"/>
  <c r="BE201" i="41"/>
  <c r="BF201" i="41" s="1"/>
  <c r="BA532" i="41"/>
  <c r="AV282" i="39"/>
  <c r="AV272" i="39" s="1"/>
  <c r="AV273" i="39"/>
  <c r="AV278" i="39"/>
  <c r="AV270" i="39"/>
  <c r="AV279" i="39"/>
  <c r="AW5" i="39"/>
  <c r="AV528" i="39"/>
  <c r="AW35" i="39"/>
  <c r="AW42" i="39"/>
  <c r="AX39" i="39"/>
  <c r="AV546" i="39"/>
  <c r="AW9" i="39"/>
  <c r="AW21" i="39"/>
  <c r="AS27" i="39"/>
  <c r="AS46" i="39"/>
  <c r="AS531" i="39"/>
  <c r="AT530" i="39"/>
  <c r="AW515" i="39"/>
  <c r="AX514" i="39"/>
  <c r="AW22" i="39"/>
  <c r="AV323" i="39"/>
  <c r="AY545" i="39"/>
  <c r="AY280" i="39"/>
  <c r="AY547" i="39"/>
  <c r="AY313" i="39" s="1"/>
  <c r="AZ2" i="39"/>
  <c r="AY424" i="39"/>
  <c r="AZ424" i="39" s="1"/>
  <c r="AX47" i="39"/>
  <c r="AW48" i="39"/>
  <c r="AY422" i="39"/>
  <c r="AZ422" i="39" s="1"/>
  <c r="AT527" i="39"/>
  <c r="AU526" i="39"/>
  <c r="AU24" i="39"/>
  <c r="AV23" i="39"/>
  <c r="AY425" i="39"/>
  <c r="AZ425" i="39" s="1"/>
  <c r="AV513" i="39"/>
  <c r="AV512" i="39" s="1"/>
  <c r="AT535" i="39"/>
  <c r="AU534" i="39"/>
  <c r="AS523" i="39"/>
  <c r="AT522" i="39"/>
  <c r="AU274" i="39"/>
  <c r="AT517" i="39"/>
  <c r="AT525" i="39"/>
  <c r="AT524" i="39" s="1"/>
  <c r="AT533" i="39"/>
  <c r="AU518" i="39"/>
  <c r="AT519" i="39"/>
  <c r="AS521" i="39"/>
  <c r="AX30" i="39"/>
  <c r="AY29" i="39"/>
  <c r="AW25" i="39"/>
  <c r="AR529" i="39"/>
  <c r="AS36" i="39"/>
  <c r="AS8" i="39" s="1"/>
  <c r="AR38" i="39"/>
  <c r="AU309" i="39"/>
  <c r="AU45" i="39"/>
  <c r="AU303" i="39"/>
  <c r="AU15" i="39"/>
  <c r="AU305" i="39" s="1"/>
  <c r="AV14" i="39"/>
  <c r="AT7" i="39"/>
  <c r="AR520" i="39"/>
  <c r="AW11" i="39"/>
  <c r="AW49" i="39"/>
  <c r="AV483" i="39"/>
  <c r="AV484" i="39" s="1"/>
  <c r="AV485" i="39" s="1"/>
  <c r="AV486" i="39" s="1"/>
  <c r="AV487" i="39" s="1"/>
  <c r="AV488" i="39" s="1"/>
  <c r="AV489" i="39" s="1"/>
  <c r="AV490" i="39" s="1"/>
  <c r="AV275" i="39"/>
  <c r="AW271" i="39"/>
  <c r="AV6" i="39"/>
  <c r="AV19" i="39"/>
  <c r="AW3" i="39"/>
  <c r="AW197" i="39" s="1"/>
  <c r="BC527" i="41" l="1"/>
  <c r="BD526" i="41"/>
  <c r="BC516" i="41"/>
  <c r="AV509" i="39"/>
  <c r="AV508" i="39" s="1"/>
  <c r="BE274" i="41"/>
  <c r="BF197" i="41"/>
  <c r="BE518" i="41"/>
  <c r="BD519" i="41"/>
  <c r="BF49" i="41"/>
  <c r="BF198" i="41"/>
  <c r="AW198" i="39"/>
  <c r="AX25" i="39"/>
  <c r="BC525" i="41"/>
  <c r="BC524" i="41" s="1"/>
  <c r="AV511" i="39"/>
  <c r="AW510" i="39"/>
  <c r="AW323" i="39"/>
  <c r="AT40" i="39"/>
  <c r="AU41" i="39"/>
  <c r="AT26" i="39"/>
  <c r="BF206" i="41"/>
  <c r="BE509" i="41"/>
  <c r="BE517" i="41"/>
  <c r="BG423" i="41"/>
  <c r="BD521" i="41"/>
  <c r="BD520" i="41" s="1"/>
  <c r="BF196" i="41"/>
  <c r="BD508" i="41"/>
  <c r="BD525" i="41"/>
  <c r="BF510" i="41"/>
  <c r="BE511" i="41"/>
  <c r="BF546" i="41"/>
  <c r="BG9" i="41"/>
  <c r="BG546" i="41" s="1"/>
  <c r="BE530" i="41"/>
  <c r="BD531" i="41"/>
  <c r="BE528" i="41"/>
  <c r="BF35" i="41"/>
  <c r="BE36" i="41"/>
  <c r="BF23" i="41"/>
  <c r="BE24" i="41"/>
  <c r="BF21" i="41"/>
  <c r="BF545" i="41"/>
  <c r="BF547" i="41"/>
  <c r="BF313" i="41" s="1"/>
  <c r="BF280" i="41"/>
  <c r="BG2" i="41"/>
  <c r="BG425" i="41" s="1"/>
  <c r="BG5" i="41"/>
  <c r="BG273" i="41" s="1"/>
  <c r="BF273" i="41"/>
  <c r="BD523" i="41"/>
  <c r="BE522" i="41"/>
  <c r="BD513" i="41"/>
  <c r="BD515" i="41"/>
  <c r="BE514" i="41"/>
  <c r="BG39" i="41"/>
  <c r="BG42" i="41" s="1"/>
  <c r="BF42" i="41"/>
  <c r="BD529" i="41"/>
  <c r="BD38" i="41"/>
  <c r="BF757" i="41"/>
  <c r="BF759" i="41"/>
  <c r="BF758" i="41"/>
  <c r="BF483" i="41"/>
  <c r="BF484" i="41" s="1"/>
  <c r="BF485" i="41" s="1"/>
  <c r="BF486" i="41" s="1"/>
  <c r="BF487" i="41" s="1"/>
  <c r="BF488" i="41" s="1"/>
  <c r="BF489" i="41" s="1"/>
  <c r="BF490" i="41" s="1"/>
  <c r="BF279" i="41"/>
  <c r="BF278" i="41"/>
  <c r="BF275" i="41"/>
  <c r="BF271" i="41"/>
  <c r="BF282" i="41"/>
  <c r="BF272" i="41" s="1"/>
  <c r="BF19" i="41"/>
  <c r="BF6" i="41"/>
  <c r="BG3" i="41"/>
  <c r="BF270" i="41"/>
  <c r="BF203" i="41"/>
  <c r="BF424" i="41"/>
  <c r="BG424" i="41" s="1"/>
  <c r="BF25" i="41"/>
  <c r="BF224" i="41"/>
  <c r="BC535" i="41"/>
  <c r="BD534" i="41"/>
  <c r="BE26" i="41"/>
  <c r="BE7" i="41"/>
  <c r="BE45" i="41"/>
  <c r="BE15" i="41"/>
  <c r="BF14" i="41"/>
  <c r="BF217" i="41"/>
  <c r="BE304" i="41"/>
  <c r="BF202" i="41"/>
  <c r="BF48" i="41"/>
  <c r="BG47" i="41"/>
  <c r="BG48" i="41" s="1"/>
  <c r="BF208" i="41"/>
  <c r="BC533" i="41"/>
  <c r="BC532" i="41"/>
  <c r="BD46" i="41"/>
  <c r="BD27" i="41"/>
  <c r="BD8" i="41"/>
  <c r="BE40" i="41"/>
  <c r="BF41" i="41"/>
  <c r="BF205" i="41"/>
  <c r="BF223" i="41"/>
  <c r="BF422" i="41"/>
  <c r="AW217" i="39"/>
  <c r="AV518" i="39"/>
  <c r="AU519" i="39"/>
  <c r="BA422" i="39"/>
  <c r="AX49" i="39"/>
  <c r="AU533" i="39"/>
  <c r="AU517" i="39"/>
  <c r="AT523" i="39"/>
  <c r="AU522" i="39"/>
  <c r="BA425" i="39"/>
  <c r="AY47" i="39"/>
  <c r="AX48" i="39"/>
  <c r="AW528" i="39"/>
  <c r="AX35" i="39"/>
  <c r="AV274" i="39"/>
  <c r="AU525" i="39"/>
  <c r="AU524" i="39"/>
  <c r="AW275" i="39"/>
  <c r="AX271" i="39"/>
  <c r="AW483" i="39"/>
  <c r="AW484" i="39" s="1"/>
  <c r="AW485" i="39" s="1"/>
  <c r="AW486" i="39" s="1"/>
  <c r="AW487" i="39" s="1"/>
  <c r="AW488" i="39" s="1"/>
  <c r="AW489" i="39" s="1"/>
  <c r="AW490" i="39" s="1"/>
  <c r="AW19" i="39"/>
  <c r="AX3" i="39"/>
  <c r="AW6" i="39"/>
  <c r="AU304" i="39"/>
  <c r="AX11" i="39"/>
  <c r="AT532" i="39"/>
  <c r="AT516" i="39"/>
  <c r="AW201" i="39"/>
  <c r="AX201" i="39" s="1"/>
  <c r="AW196" i="39"/>
  <c r="AW202" i="39"/>
  <c r="AX202" i="39" s="1"/>
  <c r="AV24" i="39"/>
  <c r="AW23" i="39"/>
  <c r="AX198" i="39"/>
  <c r="AY39" i="39"/>
  <c r="AX42" i="39"/>
  <c r="AZ29" i="39"/>
  <c r="AY30" i="39"/>
  <c r="AW203" i="39"/>
  <c r="AW199" i="39"/>
  <c r="AW204" i="39"/>
  <c r="AW321" i="39"/>
  <c r="AX321" i="39" s="1"/>
  <c r="AV534" i="39"/>
  <c r="AU535" i="39"/>
  <c r="AZ547" i="39"/>
  <c r="AZ313" i="39" s="1"/>
  <c r="AZ545" i="39"/>
  <c r="AZ280" i="39"/>
  <c r="BA2" i="39"/>
  <c r="AX22" i="39"/>
  <c r="AX21" i="39"/>
  <c r="AW205" i="39"/>
  <c r="AX205" i="39" s="1"/>
  <c r="AW207" i="39"/>
  <c r="AX207" i="39" s="1"/>
  <c r="AW513" i="39"/>
  <c r="AW512" i="39" s="1"/>
  <c r="AT27" i="39"/>
  <c r="AT46" i="39"/>
  <c r="AT521" i="39"/>
  <c r="AT520" i="39"/>
  <c r="AU527" i="39"/>
  <c r="AV526" i="39"/>
  <c r="AY514" i="39"/>
  <c r="AX515" i="39"/>
  <c r="AW546" i="39"/>
  <c r="AX9" i="39"/>
  <c r="AW206" i="39"/>
  <c r="AW200" i="39"/>
  <c r="AX200" i="39" s="1"/>
  <c r="AT531" i="39"/>
  <c r="AU530" i="39"/>
  <c r="AW509" i="39"/>
  <c r="AW224" i="39"/>
  <c r="AX224" i="39" s="1"/>
  <c r="AS529" i="39"/>
  <c r="AT36" i="39"/>
  <c r="AT8" i="39" s="1"/>
  <c r="AS38" i="39"/>
  <c r="AV309" i="39"/>
  <c r="AV303" i="39"/>
  <c r="AV45" i="39"/>
  <c r="AV15" i="39"/>
  <c r="AV305" i="39" s="1"/>
  <c r="AW14" i="39"/>
  <c r="AU7" i="39"/>
  <c r="AS520" i="39"/>
  <c r="AW208" i="39"/>
  <c r="AX208" i="39" s="1"/>
  <c r="AW223" i="39"/>
  <c r="AW270" i="39"/>
  <c r="AW279" i="39"/>
  <c r="AW282" i="39"/>
  <c r="AW272" i="39" s="1"/>
  <c r="AW278" i="39"/>
  <c r="AW274" i="39" s="1"/>
  <c r="AX5" i="39"/>
  <c r="AW273" i="39"/>
  <c r="AZ423" i="39"/>
  <c r="BA423" i="39" s="1"/>
  <c r="AX510" i="39" l="1"/>
  <c r="AW511" i="39"/>
  <c r="BF518" i="41"/>
  <c r="BE519" i="41"/>
  <c r="AX206" i="39"/>
  <c r="AY206" i="39" s="1"/>
  <c r="AV41" i="39"/>
  <c r="AU40" i="39"/>
  <c r="AU27" i="39" s="1"/>
  <c r="AU26" i="39"/>
  <c r="BD527" i="41"/>
  <c r="BE526" i="41"/>
  <c r="AY21" i="39"/>
  <c r="BG422" i="41"/>
  <c r="AX223" i="39"/>
  <c r="AW508" i="39"/>
  <c r="AX196" i="39"/>
  <c r="AY49" i="39"/>
  <c r="AZ49" i="39" s="1"/>
  <c r="BG759" i="41"/>
  <c r="BG758" i="41"/>
  <c r="BG757" i="41"/>
  <c r="BG483" i="41"/>
  <c r="BG484" i="41" s="1"/>
  <c r="BG485" i="41" s="1"/>
  <c r="BG486" i="41" s="1"/>
  <c r="BG487" i="41" s="1"/>
  <c r="BG488" i="41" s="1"/>
  <c r="BG489" i="41" s="1"/>
  <c r="BG490" i="41" s="1"/>
  <c r="BG271" i="41"/>
  <c r="BG279" i="41"/>
  <c r="BG278" i="41"/>
  <c r="BG274" i="41" s="1"/>
  <c r="BG275" i="41"/>
  <c r="BG282" i="41"/>
  <c r="BG272" i="41" s="1"/>
  <c r="BG6" i="41"/>
  <c r="BG19" i="41"/>
  <c r="BG270" i="41"/>
  <c r="BF304" i="41"/>
  <c r="BG323" i="41"/>
  <c r="BG223" i="41"/>
  <c r="BD533" i="41"/>
  <c r="BG217" i="41"/>
  <c r="BD535" i="41"/>
  <c r="BE534" i="41"/>
  <c r="BE515" i="41"/>
  <c r="BF514" i="41"/>
  <c r="BG547" i="41"/>
  <c r="BG313" i="41" s="1"/>
  <c r="BG545" i="41"/>
  <c r="BG280" i="41"/>
  <c r="BF528" i="41"/>
  <c r="BG35" i="41"/>
  <c r="BF36" i="41"/>
  <c r="BG321" i="41"/>
  <c r="BF509" i="41"/>
  <c r="BF508" i="41"/>
  <c r="BE529" i="41"/>
  <c r="BE38" i="41"/>
  <c r="BG205" i="41"/>
  <c r="BG11" i="41"/>
  <c r="BF45" i="41"/>
  <c r="BF26" i="41"/>
  <c r="BF15" i="41"/>
  <c r="BF7" i="41"/>
  <c r="BG14" i="41"/>
  <c r="BF511" i="41"/>
  <c r="BG510" i="41"/>
  <c r="BG511" i="41" s="1"/>
  <c r="BG196" i="41"/>
  <c r="BE508" i="41"/>
  <c r="BF40" i="41"/>
  <c r="BG41" i="41"/>
  <c r="BG40" i="41" s="1"/>
  <c r="BG197" i="41"/>
  <c r="BG224" i="41"/>
  <c r="BE513" i="41"/>
  <c r="BE525" i="41"/>
  <c r="BE524" i="41" s="1"/>
  <c r="BG206" i="41"/>
  <c r="BF517" i="41"/>
  <c r="BF516" i="41" s="1"/>
  <c r="BG208" i="41"/>
  <c r="BG25" i="41"/>
  <c r="BG304" i="41"/>
  <c r="BD512" i="41"/>
  <c r="BF530" i="41"/>
  <c r="BE531" i="41"/>
  <c r="BD524" i="41"/>
  <c r="BE521" i="41"/>
  <c r="BE520" i="41"/>
  <c r="BG199" i="41"/>
  <c r="BE523" i="41"/>
  <c r="BF522" i="41"/>
  <c r="BG21" i="41"/>
  <c r="BG198" i="41"/>
  <c r="BG200" i="41"/>
  <c r="BG203" i="41"/>
  <c r="BG201" i="41"/>
  <c r="BG49" i="41"/>
  <c r="BE46" i="41"/>
  <c r="BE27" i="41"/>
  <c r="BE8" i="41"/>
  <c r="BG202" i="41"/>
  <c r="BF274" i="41"/>
  <c r="BG23" i="41"/>
  <c r="BF24" i="41"/>
  <c r="BG207" i="41"/>
  <c r="BG22" i="41"/>
  <c r="BE516" i="41"/>
  <c r="BG204" i="41"/>
  <c r="AZ30" i="39"/>
  <c r="BA29" i="39"/>
  <c r="AY202" i="39"/>
  <c r="AV524" i="39"/>
  <c r="AV525" i="39"/>
  <c r="AU46" i="39"/>
  <c r="AY200" i="39"/>
  <c r="AY207" i="39"/>
  <c r="AY196" i="39"/>
  <c r="AX275" i="39"/>
  <c r="AX483" i="39"/>
  <c r="AX484" i="39" s="1"/>
  <c r="AX485" i="39" s="1"/>
  <c r="AX486" i="39" s="1"/>
  <c r="AX487" i="39" s="1"/>
  <c r="AX488" i="39" s="1"/>
  <c r="AX489" i="39" s="1"/>
  <c r="AX490" i="39" s="1"/>
  <c r="AY3" i="39"/>
  <c r="AX6" i="39"/>
  <c r="AX19" i="39"/>
  <c r="AV522" i="39"/>
  <c r="AU523" i="39"/>
  <c r="AX273" i="39"/>
  <c r="AX282" i="39"/>
  <c r="AX272" i="39" s="1"/>
  <c r="AX270" i="39"/>
  <c r="AX279" i="39"/>
  <c r="AX278" i="39"/>
  <c r="AX274" i="39" s="1"/>
  <c r="AY5" i="39"/>
  <c r="AX513" i="39"/>
  <c r="AW309" i="39"/>
  <c r="AW303" i="39"/>
  <c r="AW15" i="39"/>
  <c r="AW305" i="39" s="1"/>
  <c r="AX14" i="39"/>
  <c r="AW45" i="39"/>
  <c r="AV7" i="39"/>
  <c r="AT529" i="39"/>
  <c r="AU36" i="39"/>
  <c r="AT38" i="39"/>
  <c r="AU521" i="39"/>
  <c r="AY205" i="39"/>
  <c r="AV535" i="39"/>
  <c r="AW534" i="39"/>
  <c r="AY42" i="39"/>
  <c r="AZ39" i="39"/>
  <c r="AZ21" i="39" s="1"/>
  <c r="AY201" i="39"/>
  <c r="AY198" i="39"/>
  <c r="AX528" i="39"/>
  <c r="AY35" i="39"/>
  <c r="AV517" i="39"/>
  <c r="AV516" i="39"/>
  <c r="AY224" i="39"/>
  <c r="AY22" i="39"/>
  <c r="AX204" i="39"/>
  <c r="AY204" i="39" s="1"/>
  <c r="AY25" i="39"/>
  <c r="AU516" i="39"/>
  <c r="AW518" i="39"/>
  <c r="AV519" i="39"/>
  <c r="AU531" i="39"/>
  <c r="AV530" i="39"/>
  <c r="AY48" i="39"/>
  <c r="AZ47" i="39"/>
  <c r="AY321" i="39"/>
  <c r="AY208" i="39"/>
  <c r="BA545" i="39"/>
  <c r="BA547" i="39"/>
  <c r="BA313" i="39" s="1"/>
  <c r="BA280" i="39"/>
  <c r="BB2" i="39"/>
  <c r="AX199" i="39"/>
  <c r="AY199" i="39" s="1"/>
  <c r="AX323" i="39"/>
  <c r="AY11" i="39"/>
  <c r="AV533" i="39"/>
  <c r="AX217" i="39"/>
  <c r="AY217" i="39" s="1"/>
  <c r="AV527" i="39"/>
  <c r="AW526" i="39"/>
  <c r="AX546" i="39"/>
  <c r="AY9" i="39"/>
  <c r="AY223" i="39"/>
  <c r="AX509" i="39"/>
  <c r="AX508" i="39" s="1"/>
  <c r="AZ514" i="39"/>
  <c r="AY515" i="39"/>
  <c r="BA424" i="39"/>
  <c r="AX203" i="39"/>
  <c r="AY203" i="39" s="1"/>
  <c r="AX23" i="39"/>
  <c r="AW24" i="39"/>
  <c r="AV304" i="39"/>
  <c r="AU532" i="39"/>
  <c r="AX197" i="39"/>
  <c r="AY197" i="39" s="1"/>
  <c r="AV40" i="39" l="1"/>
  <c r="AW41" i="39"/>
  <c r="AV26" i="39"/>
  <c r="AZ11" i="39"/>
  <c r="AY323" i="39"/>
  <c r="AZ25" i="39"/>
  <c r="AZ22" i="39"/>
  <c r="BG518" i="41"/>
  <c r="BG519" i="41" s="1"/>
  <c r="BF519" i="41"/>
  <c r="BE527" i="41"/>
  <c r="BF526" i="41"/>
  <c r="BF525" i="41" s="1"/>
  <c r="BF524" i="41" s="1"/>
  <c r="BB424" i="39"/>
  <c r="AY510" i="39"/>
  <c r="AY509" i="39" s="1"/>
  <c r="AX511" i="39"/>
  <c r="BE533" i="41"/>
  <c r="BE532" i="41"/>
  <c r="BF46" i="41"/>
  <c r="BF8" i="41"/>
  <c r="BF27" i="41"/>
  <c r="BG45" i="41"/>
  <c r="BG15" i="41"/>
  <c r="BG7" i="41"/>
  <c r="BG26" i="41"/>
  <c r="BG530" i="41"/>
  <c r="BG531" i="41" s="1"/>
  <c r="BF531" i="41"/>
  <c r="BG509" i="41"/>
  <c r="BG508" i="41" s="1"/>
  <c r="BF515" i="41"/>
  <c r="BG514" i="41"/>
  <c r="BG515" i="41" s="1"/>
  <c r="BF523" i="41"/>
  <c r="BG522" i="41"/>
  <c r="BG523" i="41" s="1"/>
  <c r="BG528" i="41"/>
  <c r="BG36" i="41"/>
  <c r="BF529" i="41"/>
  <c r="BF38" i="41"/>
  <c r="BE535" i="41"/>
  <c r="BF534" i="41"/>
  <c r="BF513" i="41"/>
  <c r="BF512" i="41"/>
  <c r="BG24" i="41"/>
  <c r="BF521" i="41"/>
  <c r="BF520" i="41"/>
  <c r="BE512" i="41"/>
  <c r="BD532" i="41"/>
  <c r="AX526" i="39"/>
  <c r="AW527" i="39"/>
  <c r="BB547" i="39"/>
  <c r="BB313" i="39" s="1"/>
  <c r="BB545" i="39"/>
  <c r="BB280" i="39"/>
  <c r="BC2" i="39"/>
  <c r="AV531" i="39"/>
  <c r="AW530" i="39"/>
  <c r="AW535" i="39"/>
  <c r="AX534" i="39"/>
  <c r="AY513" i="39"/>
  <c r="AY512" i="39"/>
  <c r="BB422" i="39"/>
  <c r="BA514" i="39"/>
  <c r="AZ515" i="39"/>
  <c r="AV27" i="39"/>
  <c r="AV46" i="39"/>
  <c r="AX512" i="39"/>
  <c r="BB425" i="39"/>
  <c r="AZ217" i="39"/>
  <c r="AY273" i="39"/>
  <c r="AZ5" i="39"/>
  <c r="AW525" i="39"/>
  <c r="AW533" i="39"/>
  <c r="AW532" i="39" s="1"/>
  <c r="AV521" i="39"/>
  <c r="AV520" i="39"/>
  <c r="AX309" i="39"/>
  <c r="AX303" i="39"/>
  <c r="AX15" i="39"/>
  <c r="AX305" i="39" s="1"/>
  <c r="AY14" i="39"/>
  <c r="AX45" i="39"/>
  <c r="AW7" i="39"/>
  <c r="AV523" i="39"/>
  <c r="AW522" i="39"/>
  <c r="AZ199" i="39"/>
  <c r="AU529" i="39"/>
  <c r="AV36" i="39"/>
  <c r="AU38" i="39"/>
  <c r="AW519" i="39"/>
  <c r="AX518" i="39"/>
  <c r="BB423" i="39"/>
  <c r="BC423" i="39" s="1"/>
  <c r="AV532" i="39"/>
  <c r="AZ208" i="39"/>
  <c r="AW517" i="39"/>
  <c r="AW516" i="39" s="1"/>
  <c r="AU520" i="39"/>
  <c r="BC424" i="39"/>
  <c r="AZ223" i="39"/>
  <c r="AZ321" i="39"/>
  <c r="AY528" i="39"/>
  <c r="AY36" i="39"/>
  <c r="AZ35" i="39"/>
  <c r="AU8" i="39"/>
  <c r="BB29" i="39"/>
  <c r="BA30" i="39"/>
  <c r="AY23" i="39"/>
  <c r="AX24" i="39"/>
  <c r="AY546" i="39"/>
  <c r="AZ9" i="39"/>
  <c r="AZ323" i="39"/>
  <c r="AZ48" i="39"/>
  <c r="BA47" i="39"/>
  <c r="BA39" i="39"/>
  <c r="BA25" i="39" s="1"/>
  <c r="AZ42" i="39"/>
  <c r="AY757" i="39"/>
  <c r="AY759" i="39"/>
  <c r="AY758" i="39"/>
  <c r="AY278" i="39"/>
  <c r="AY282" i="39"/>
  <c r="AY272" i="39" s="1"/>
  <c r="AY483" i="39"/>
  <c r="AY484" i="39" s="1"/>
  <c r="AY485" i="39" s="1"/>
  <c r="AY486" i="39" s="1"/>
  <c r="AY487" i="39" s="1"/>
  <c r="AY488" i="39" s="1"/>
  <c r="AY489" i="39" s="1"/>
  <c r="AY490" i="39" s="1"/>
  <c r="AY270" i="39"/>
  <c r="AY271" i="39"/>
  <c r="AY275" i="39"/>
  <c r="AY279" i="39"/>
  <c r="AZ3" i="39"/>
  <c r="AZ205" i="39" s="1"/>
  <c r="AY19" i="39"/>
  <c r="AY6" i="39"/>
  <c r="AW304" i="39"/>
  <c r="BG517" i="41" l="1"/>
  <c r="BG516" i="41" s="1"/>
  <c r="AZ510" i="39"/>
  <c r="AY511" i="39"/>
  <c r="AZ206" i="39"/>
  <c r="AZ202" i="39"/>
  <c r="AZ201" i="39"/>
  <c r="AZ200" i="39"/>
  <c r="BA200" i="39" s="1"/>
  <c r="BC425" i="39"/>
  <c r="BD425" i="39" s="1"/>
  <c r="AZ203" i="39"/>
  <c r="AW40" i="39"/>
  <c r="AX41" i="39"/>
  <c r="AW26" i="39"/>
  <c r="BG526" i="41"/>
  <c r="BG527" i="41" s="1"/>
  <c r="BF527" i="41"/>
  <c r="BG27" i="41"/>
  <c r="BG46" i="41"/>
  <c r="BG8" i="41"/>
  <c r="BG521" i="41"/>
  <c r="BG520" i="41" s="1"/>
  <c r="BG529" i="41"/>
  <c r="BG38" i="41"/>
  <c r="BG513" i="41"/>
  <c r="BG512" i="41"/>
  <c r="BF535" i="41"/>
  <c r="BG534" i="41"/>
  <c r="BG535" i="41" s="1"/>
  <c r="BF533" i="41"/>
  <c r="BF532" i="41"/>
  <c r="AV529" i="39"/>
  <c r="AW36" i="39"/>
  <c r="AW8" i="39" s="1"/>
  <c r="AV38" i="39"/>
  <c r="AX525" i="39"/>
  <c r="AZ509" i="39"/>
  <c r="AZ508" i="39" s="1"/>
  <c r="BC545" i="39"/>
  <c r="BC280" i="39"/>
  <c r="BC547" i="39"/>
  <c r="BC313" i="39" s="1"/>
  <c r="BD2" i="39"/>
  <c r="BA208" i="39"/>
  <c r="AW524" i="39"/>
  <c r="AY508" i="39"/>
  <c r="AZ513" i="39"/>
  <c r="AZ512" i="39"/>
  <c r="AY303" i="39"/>
  <c r="AZ303" i="39" s="1"/>
  <c r="BA303" i="39" s="1"/>
  <c r="BB303" i="39" s="1"/>
  <c r="BC303" i="39" s="1"/>
  <c r="BD303" i="39" s="1"/>
  <c r="BE303" i="39" s="1"/>
  <c r="BF303" i="39" s="1"/>
  <c r="BG303" i="39" s="1"/>
  <c r="AY309" i="39"/>
  <c r="AZ14" i="39"/>
  <c r="AY45" i="39"/>
  <c r="AY7" i="39"/>
  <c r="AX7" i="39"/>
  <c r="AY15" i="39"/>
  <c r="AY305" i="39" s="1"/>
  <c r="BA203" i="39"/>
  <c r="AZ207" i="39"/>
  <c r="AZ196" i="39"/>
  <c r="BA196" i="39" s="1"/>
  <c r="AZ197" i="39"/>
  <c r="BA21" i="39"/>
  <c r="AX535" i="39"/>
  <c r="AY534" i="39"/>
  <c r="AZ273" i="39"/>
  <c r="BA5" i="39"/>
  <c r="BA321" i="39" s="1"/>
  <c r="AZ224" i="39"/>
  <c r="BA224" i="39" s="1"/>
  <c r="BA11" i="39"/>
  <c r="AY529" i="39"/>
  <c r="AY518" i="39"/>
  <c r="AX519" i="39"/>
  <c r="AZ198" i="39"/>
  <c r="BA198" i="39" s="1"/>
  <c r="BB30" i="39"/>
  <c r="BC29" i="39"/>
  <c r="AV8" i="39"/>
  <c r="AZ546" i="39"/>
  <c r="BA9" i="39"/>
  <c r="BA42" i="39"/>
  <c r="BB39" i="39"/>
  <c r="AZ528" i="39"/>
  <c r="BA35" i="39"/>
  <c r="AZ36" i="39"/>
  <c r="AW523" i="39"/>
  <c r="AX522" i="39"/>
  <c r="AY274" i="39"/>
  <c r="BA48" i="39"/>
  <c r="BB47" i="39"/>
  <c r="AZ23" i="39"/>
  <c r="AY24" i="39"/>
  <c r="AW27" i="39"/>
  <c r="AW46" i="39"/>
  <c r="AW521" i="39"/>
  <c r="AW520" i="39" s="1"/>
  <c r="BA515" i="39"/>
  <c r="BB514" i="39"/>
  <c r="BA22" i="39"/>
  <c r="AY526" i="39"/>
  <c r="AX527" i="39"/>
  <c r="AZ757" i="39"/>
  <c r="AZ758" i="39"/>
  <c r="AZ483" i="39"/>
  <c r="AZ484" i="39" s="1"/>
  <c r="AZ485" i="39" s="1"/>
  <c r="AZ486" i="39" s="1"/>
  <c r="AZ487" i="39" s="1"/>
  <c r="AZ488" i="39" s="1"/>
  <c r="AZ489" i="39" s="1"/>
  <c r="AZ490" i="39" s="1"/>
  <c r="AZ759" i="39"/>
  <c r="AZ271" i="39"/>
  <c r="AZ278" i="39"/>
  <c r="AZ279" i="39"/>
  <c r="AZ270" i="39"/>
  <c r="AZ275" i="39"/>
  <c r="AZ282" i="39"/>
  <c r="AZ272" i="39" s="1"/>
  <c r="AZ19" i="39"/>
  <c r="BA3" i="39"/>
  <c r="BA223" i="39" s="1"/>
  <c r="AZ6" i="39"/>
  <c r="AX304" i="39"/>
  <c r="AY304" i="39"/>
  <c r="AX517" i="39"/>
  <c r="AX516" i="39" s="1"/>
  <c r="AX533" i="39"/>
  <c r="AX532" i="39" s="1"/>
  <c r="BA49" i="39"/>
  <c r="BB49" i="39" s="1"/>
  <c r="BC422" i="39"/>
  <c r="AW531" i="39"/>
  <c r="AX530" i="39"/>
  <c r="AZ204" i="39"/>
  <c r="BA204" i="39" s="1"/>
  <c r="BG525" i="41" l="1"/>
  <c r="BG524" i="41" s="1"/>
  <c r="AY41" i="39"/>
  <c r="AX40" i="39"/>
  <c r="AX26" i="39"/>
  <c r="BB11" i="39"/>
  <c r="BB21" i="39"/>
  <c r="BA510" i="39"/>
  <c r="AZ511" i="39"/>
  <c r="BD422" i="39"/>
  <c r="BA217" i="39"/>
  <c r="BA197" i="39"/>
  <c r="BG533" i="41"/>
  <c r="BG532" i="41"/>
  <c r="BD29" i="39"/>
  <c r="BC30" i="39"/>
  <c r="BD545" i="39"/>
  <c r="BD547" i="39"/>
  <c r="BD313" i="39" s="1"/>
  <c r="BD280" i="39"/>
  <c r="BE2" i="39"/>
  <c r="BA528" i="39"/>
  <c r="BA36" i="39"/>
  <c r="BB35" i="39"/>
  <c r="BB48" i="39"/>
  <c r="BC47" i="39"/>
  <c r="AX46" i="39"/>
  <c r="AX27" i="39"/>
  <c r="BA513" i="39"/>
  <c r="BA512" i="39" s="1"/>
  <c r="AY530" i="39"/>
  <c r="AX531" i="39"/>
  <c r="BC39" i="39"/>
  <c r="BB42" i="39"/>
  <c r="BE425" i="39"/>
  <c r="BA207" i="39"/>
  <c r="AY46" i="39"/>
  <c r="AY8" i="39"/>
  <c r="AW529" i="39"/>
  <c r="AX36" i="39"/>
  <c r="AW38" i="39"/>
  <c r="BA273" i="39"/>
  <c r="BB5" i="39"/>
  <c r="BB321" i="39" s="1"/>
  <c r="BE422" i="39"/>
  <c r="AX521" i="39"/>
  <c r="AX520" i="39" s="1"/>
  <c r="BA758" i="39"/>
  <c r="BA483" i="39"/>
  <c r="BA484" i="39" s="1"/>
  <c r="BA485" i="39" s="1"/>
  <c r="BA486" i="39" s="1"/>
  <c r="BA487" i="39" s="1"/>
  <c r="BA488" i="39" s="1"/>
  <c r="BA489" i="39" s="1"/>
  <c r="BA490" i="39" s="1"/>
  <c r="BA759" i="39"/>
  <c r="BA757" i="39"/>
  <c r="BA282" i="39"/>
  <c r="BA272" i="39" s="1"/>
  <c r="BA279" i="39"/>
  <c r="BA275" i="39"/>
  <c r="BA278" i="39"/>
  <c r="BA6" i="39"/>
  <c r="BA271" i="39"/>
  <c r="BA19" i="39"/>
  <c r="BB3" i="39"/>
  <c r="BA270" i="39"/>
  <c r="AY527" i="39"/>
  <c r="AZ526" i="39"/>
  <c r="AY522" i="39"/>
  <c r="AX523" i="39"/>
  <c r="BA206" i="39"/>
  <c r="AY519" i="39"/>
  <c r="AZ518" i="39"/>
  <c r="AZ45" i="39"/>
  <c r="AZ309" i="39"/>
  <c r="BA14" i="39"/>
  <c r="AZ15" i="39"/>
  <c r="AZ305" i="39" s="1"/>
  <c r="AZ7" i="39"/>
  <c r="BA199" i="39"/>
  <c r="BA323" i="39"/>
  <c r="BB323" i="39" s="1"/>
  <c r="BC21" i="39"/>
  <c r="AZ24" i="39"/>
  <c r="BA23" i="39"/>
  <c r="BC49" i="39"/>
  <c r="AY533" i="39"/>
  <c r="AY532" i="39" s="1"/>
  <c r="BB22" i="39"/>
  <c r="BC22" i="39" s="1"/>
  <c r="BA546" i="39"/>
  <c r="BB9" i="39"/>
  <c r="AY535" i="39"/>
  <c r="AZ534" i="39"/>
  <c r="BA202" i="39"/>
  <c r="BD423" i="39"/>
  <c r="BB25" i="39"/>
  <c r="BC25" i="39" s="1"/>
  <c r="AY525" i="39"/>
  <c r="AZ274" i="39"/>
  <c r="AY517" i="39"/>
  <c r="AY516" i="39" s="1"/>
  <c r="BB515" i="39"/>
  <c r="BC514" i="39"/>
  <c r="AZ529" i="39"/>
  <c r="BA201" i="39"/>
  <c r="BD424" i="39"/>
  <c r="BE424" i="39" s="1"/>
  <c r="AX524" i="39"/>
  <c r="BA205" i="39"/>
  <c r="BA511" i="39" l="1"/>
  <c r="BB510" i="39"/>
  <c r="BE423" i="39"/>
  <c r="BA274" i="39"/>
  <c r="BC11" i="39"/>
  <c r="AZ41" i="39"/>
  <c r="AY26" i="39"/>
  <c r="BA509" i="39"/>
  <c r="BA508" i="39" s="1"/>
  <c r="BB759" i="39"/>
  <c r="BB758" i="39"/>
  <c r="BB757" i="39"/>
  <c r="BB483" i="39"/>
  <c r="BB484" i="39" s="1"/>
  <c r="BB485" i="39" s="1"/>
  <c r="BB486" i="39" s="1"/>
  <c r="BB487" i="39" s="1"/>
  <c r="BB488" i="39" s="1"/>
  <c r="BB489" i="39" s="1"/>
  <c r="BB490" i="39" s="1"/>
  <c r="BB282" i="39"/>
  <c r="BB272" i="39" s="1"/>
  <c r="BB275" i="39"/>
  <c r="BB279" i="39"/>
  <c r="BB278" i="39"/>
  <c r="BB274" i="39" s="1"/>
  <c r="BB271" i="39"/>
  <c r="BB19" i="39"/>
  <c r="BB6" i="39"/>
  <c r="BC3" i="39"/>
  <c r="BB270" i="39"/>
  <c r="BA304" i="39"/>
  <c r="AZ304" i="39"/>
  <c r="BB196" i="39"/>
  <c r="BC515" i="39"/>
  <c r="BD514" i="39"/>
  <c r="BB199" i="39"/>
  <c r="BB224" i="39"/>
  <c r="BB528" i="39"/>
  <c r="BC35" i="39"/>
  <c r="BB36" i="39"/>
  <c r="AZ46" i="39"/>
  <c r="AZ8" i="39"/>
  <c r="BB206" i="39"/>
  <c r="AY531" i="39"/>
  <c r="AZ530" i="39"/>
  <c r="BC48" i="39"/>
  <c r="BD47" i="39"/>
  <c r="BA529" i="39"/>
  <c r="BB197" i="39"/>
  <c r="BB208" i="39"/>
  <c r="BB205" i="39"/>
  <c r="BC205" i="39" s="1"/>
  <c r="AZ533" i="39"/>
  <c r="BC5" i="39"/>
  <c r="BB273" i="39"/>
  <c r="BB207" i="39"/>
  <c r="BB217" i="39"/>
  <c r="BB513" i="39"/>
  <c r="BB512" i="39" s="1"/>
  <c r="BC323" i="39"/>
  <c r="BB203" i="39"/>
  <c r="AZ517" i="39"/>
  <c r="AZ535" i="39"/>
  <c r="BA534" i="39"/>
  <c r="BB23" i="39"/>
  <c r="BA24" i="39"/>
  <c r="BA309" i="39"/>
  <c r="BA7" i="39"/>
  <c r="BA45" i="39"/>
  <c r="BA15" i="39"/>
  <c r="BA305" i="39" s="1"/>
  <c r="BB14" i="39"/>
  <c r="BA526" i="39"/>
  <c r="AZ527" i="39"/>
  <c r="BB198" i="39"/>
  <c r="BC198" i="39" s="1"/>
  <c r="BB204" i="39"/>
  <c r="BE29" i="39"/>
  <c r="BD30" i="39"/>
  <c r="AY523" i="39"/>
  <c r="AZ522" i="39"/>
  <c r="AZ524" i="39"/>
  <c r="AZ525" i="39"/>
  <c r="AY521" i="39"/>
  <c r="AY520" i="39" s="1"/>
  <c r="AX529" i="39"/>
  <c r="AX38" i="39"/>
  <c r="AX8" i="39"/>
  <c r="BE547" i="39"/>
  <c r="BE313" i="39" s="1"/>
  <c r="BE545" i="39"/>
  <c r="BE280" i="39"/>
  <c r="BF2" i="39"/>
  <c r="BF425" i="39" s="1"/>
  <c r="AZ519" i="39"/>
  <c r="BA518" i="39"/>
  <c r="BF423" i="39"/>
  <c r="BB202" i="39"/>
  <c r="BC202" i="39" s="1"/>
  <c r="BB201" i="39"/>
  <c r="BC201" i="39" s="1"/>
  <c r="AY524" i="39"/>
  <c r="BB546" i="39"/>
  <c r="BC9" i="39"/>
  <c r="BF422" i="39"/>
  <c r="BC42" i="39"/>
  <c r="BD39" i="39"/>
  <c r="BD22" i="39" s="1"/>
  <c r="BB200" i="39"/>
  <c r="BC200" i="39" s="1"/>
  <c r="BB223" i="39"/>
  <c r="BC223" i="39" s="1"/>
  <c r="BA41" i="39" l="1"/>
  <c r="AY40" i="39"/>
  <c r="AZ26" i="39"/>
  <c r="BD49" i="39"/>
  <c r="BD25" i="39"/>
  <c r="BC199" i="39"/>
  <c r="BD21" i="39"/>
  <c r="BB509" i="39"/>
  <c r="BC509" i="39" s="1"/>
  <c r="BC510" i="39"/>
  <c r="BB511" i="39"/>
  <c r="BC204" i="39"/>
  <c r="BD323" i="39"/>
  <c r="BB526" i="39"/>
  <c r="BA527" i="39"/>
  <c r="BC23" i="39"/>
  <c r="BB24" i="39"/>
  <c r="BD5" i="39"/>
  <c r="BC273" i="39"/>
  <c r="BE47" i="39"/>
  <c r="BD48" i="39"/>
  <c r="BE49" i="39"/>
  <c r="BB518" i="39"/>
  <c r="BA519" i="39"/>
  <c r="BC321" i="39"/>
  <c r="BD321" i="39" s="1"/>
  <c r="BB309" i="39"/>
  <c r="BB45" i="39"/>
  <c r="BB7" i="39"/>
  <c r="BB15" i="39"/>
  <c r="BB305" i="39" s="1"/>
  <c r="BC14" i="39"/>
  <c r="BA535" i="39"/>
  <c r="BB534" i="39"/>
  <c r="BA533" i="39"/>
  <c r="BA532" i="39" s="1"/>
  <c r="BC758" i="39"/>
  <c r="BC759" i="39"/>
  <c r="BC757" i="39"/>
  <c r="BC282" i="39"/>
  <c r="BC272" i="39" s="1"/>
  <c r="BC279" i="39"/>
  <c r="BC278" i="39"/>
  <c r="BC274" i="39" s="1"/>
  <c r="BC275" i="39"/>
  <c r="BC483" i="39"/>
  <c r="BC484" i="39" s="1"/>
  <c r="BC485" i="39" s="1"/>
  <c r="BC486" i="39" s="1"/>
  <c r="BC487" i="39" s="1"/>
  <c r="BC488" i="39" s="1"/>
  <c r="BC489" i="39" s="1"/>
  <c r="BC490" i="39" s="1"/>
  <c r="BC271" i="39"/>
  <c r="BD3" i="39"/>
  <c r="BD198" i="39" s="1"/>
  <c r="BC19" i="39"/>
  <c r="BC6" i="39"/>
  <c r="BC270" i="39"/>
  <c r="BC513" i="39"/>
  <c r="AZ532" i="39"/>
  <c r="AZ531" i="39"/>
  <c r="BA530" i="39"/>
  <c r="BB529" i="39"/>
  <c r="BF424" i="39"/>
  <c r="BC528" i="39"/>
  <c r="BD35" i="39"/>
  <c r="BC36" i="39"/>
  <c r="BD515" i="39"/>
  <c r="BE514" i="39"/>
  <c r="BA525" i="39"/>
  <c r="BF29" i="39"/>
  <c r="BE30" i="39"/>
  <c r="BA46" i="39"/>
  <c r="BA8" i="39"/>
  <c r="BA517" i="39"/>
  <c r="BA516" i="39" s="1"/>
  <c r="BC208" i="39"/>
  <c r="BC206" i="39"/>
  <c r="BE25" i="39"/>
  <c r="BF547" i="39"/>
  <c r="BF313" i="39" s="1"/>
  <c r="BF545" i="39"/>
  <c r="BF280" i="39"/>
  <c r="BG2" i="39"/>
  <c r="BG423" i="39" s="1"/>
  <c r="AZ516" i="39"/>
  <c r="BC217" i="39"/>
  <c r="BC197" i="39"/>
  <c r="BC196" i="39"/>
  <c r="BD196" i="39" s="1"/>
  <c r="AZ521" i="39"/>
  <c r="BC546" i="39"/>
  <c r="BD9" i="39"/>
  <c r="BE39" i="39"/>
  <c r="BD42" i="39"/>
  <c r="AZ523" i="39"/>
  <c r="BA522" i="39"/>
  <c r="BC203" i="39"/>
  <c r="BC207" i="39"/>
  <c r="BC224" i="39"/>
  <c r="BD11" i="39"/>
  <c r="BE11" i="39" s="1"/>
  <c r="BD217" i="39" l="1"/>
  <c r="BB508" i="39"/>
  <c r="BD200" i="39"/>
  <c r="BD224" i="39"/>
  <c r="BD204" i="39"/>
  <c r="BD223" i="39"/>
  <c r="AY38" i="39"/>
  <c r="AY27" i="39"/>
  <c r="BD197" i="39"/>
  <c r="BD201" i="39"/>
  <c r="BD202" i="39"/>
  <c r="BD206" i="39"/>
  <c r="BD208" i="39"/>
  <c r="BD207" i="39"/>
  <c r="BD205" i="39"/>
  <c r="BD203" i="39"/>
  <c r="BD510" i="39"/>
  <c r="BC511" i="39"/>
  <c r="BB41" i="39"/>
  <c r="AZ40" i="39"/>
  <c r="BA26" i="39"/>
  <c r="BC24" i="39"/>
  <c r="BD23" i="39"/>
  <c r="BF25" i="39"/>
  <c r="BB525" i="39"/>
  <c r="BB524" i="39"/>
  <c r="BC529" i="39"/>
  <c r="BB530" i="39"/>
  <c r="BA531" i="39"/>
  <c r="BB46" i="39"/>
  <c r="BB8" i="39"/>
  <c r="BD509" i="39"/>
  <c r="BD508" i="39" s="1"/>
  <c r="BF30" i="39"/>
  <c r="BG29" i="39"/>
  <c r="BG30" i="39" s="1"/>
  <c r="BB517" i="39"/>
  <c r="BB516" i="39"/>
  <c r="BA524" i="39"/>
  <c r="BD528" i="39"/>
  <c r="BE35" i="39"/>
  <c r="BD36" i="39"/>
  <c r="BC508" i="39"/>
  <c r="BB527" i="39"/>
  <c r="BC526" i="39"/>
  <c r="BA521" i="39"/>
  <c r="BE42" i="39"/>
  <c r="BF39" i="39"/>
  <c r="BF11" i="39" s="1"/>
  <c r="AZ520" i="39"/>
  <c r="BE205" i="39"/>
  <c r="BD513" i="39"/>
  <c r="BD512" i="39" s="1"/>
  <c r="BD757" i="39"/>
  <c r="BD759" i="39"/>
  <c r="BD758" i="39"/>
  <c r="BD279" i="39"/>
  <c r="BD483" i="39"/>
  <c r="BD484" i="39" s="1"/>
  <c r="BD485" i="39" s="1"/>
  <c r="BD486" i="39" s="1"/>
  <c r="BD487" i="39" s="1"/>
  <c r="BD488" i="39" s="1"/>
  <c r="BD489" i="39" s="1"/>
  <c r="BD490" i="39" s="1"/>
  <c r="BD278" i="39"/>
  <c r="BD274" i="39" s="1"/>
  <c r="BD271" i="39"/>
  <c r="BD275" i="39"/>
  <c r="BD282" i="39"/>
  <c r="BD272" i="39" s="1"/>
  <c r="BD6" i="39"/>
  <c r="BD19" i="39"/>
  <c r="BE3" i="39"/>
  <c r="BE197" i="39" s="1"/>
  <c r="BD270" i="39"/>
  <c r="BB304" i="39"/>
  <c r="BB535" i="39"/>
  <c r="BC534" i="39"/>
  <c r="BE48" i="39"/>
  <c r="BF47" i="39"/>
  <c r="BE206" i="39"/>
  <c r="BD546" i="39"/>
  <c r="BE9" i="39"/>
  <c r="BG545" i="39"/>
  <c r="BG547" i="39"/>
  <c r="BG313" i="39" s="1"/>
  <c r="BG280" i="39"/>
  <c r="BG424" i="39"/>
  <c r="BC512" i="39"/>
  <c r="BG425" i="39"/>
  <c r="BF49" i="39"/>
  <c r="BB533" i="39"/>
  <c r="BB532" i="39" s="1"/>
  <c r="BA523" i="39"/>
  <c r="BB522" i="39"/>
  <c r="BE515" i="39"/>
  <c r="BF514" i="39"/>
  <c r="BG422" i="39"/>
  <c r="BE21" i="39"/>
  <c r="BD199" i="39"/>
  <c r="BC45" i="39"/>
  <c r="BC15" i="39"/>
  <c r="BC305" i="39" s="1"/>
  <c r="BD14" i="39"/>
  <c r="BC7" i="39"/>
  <c r="BC309" i="39"/>
  <c r="BB519" i="39"/>
  <c r="BC518" i="39"/>
  <c r="BE5" i="39"/>
  <c r="BE323" i="39" s="1"/>
  <c r="BD273" i="39"/>
  <c r="BE22" i="39"/>
  <c r="BF22" i="39" s="1"/>
  <c r="BE200" i="39" l="1"/>
  <c r="BE203" i="39"/>
  <c r="BE201" i="39"/>
  <c r="BF201" i="39" s="1"/>
  <c r="AZ38" i="39"/>
  <c r="AZ27" i="39"/>
  <c r="BC41" i="39"/>
  <c r="BB40" i="39"/>
  <c r="BA40" i="39"/>
  <c r="BB26" i="39"/>
  <c r="BE199" i="39"/>
  <c r="BF21" i="39"/>
  <c r="BD511" i="39"/>
  <c r="BE510" i="39"/>
  <c r="BE217" i="39"/>
  <c r="BC525" i="39"/>
  <c r="BC524" i="39"/>
  <c r="BE759" i="39"/>
  <c r="BE757" i="39"/>
  <c r="BE758" i="39"/>
  <c r="BE483" i="39"/>
  <c r="BE484" i="39" s="1"/>
  <c r="BE485" i="39" s="1"/>
  <c r="BE486" i="39" s="1"/>
  <c r="BE487" i="39" s="1"/>
  <c r="BE488" i="39" s="1"/>
  <c r="BE489" i="39" s="1"/>
  <c r="BE490" i="39" s="1"/>
  <c r="BE279" i="39"/>
  <c r="BE278" i="39"/>
  <c r="BE274" i="39" s="1"/>
  <c r="BE275" i="39"/>
  <c r="BE271" i="39"/>
  <c r="BE282" i="39"/>
  <c r="BE272" i="39" s="1"/>
  <c r="BE19" i="39"/>
  <c r="BF3" i="39"/>
  <c r="BF200" i="39" s="1"/>
  <c r="BE6" i="39"/>
  <c r="BE270" i="39"/>
  <c r="BC304" i="39"/>
  <c r="BB521" i="39"/>
  <c r="BD529" i="39"/>
  <c r="BE207" i="39"/>
  <c r="BE208" i="39"/>
  <c r="BF208" i="39" s="1"/>
  <c r="BD15" i="39"/>
  <c r="BD305" i="39" s="1"/>
  <c r="BE14" i="39"/>
  <c r="BD7" i="39"/>
  <c r="BD45" i="39"/>
  <c r="BD309" i="39"/>
  <c r="BF5" i="39"/>
  <c r="BE273" i="39"/>
  <c r="BB523" i="39"/>
  <c r="BC522" i="39"/>
  <c r="BE196" i="39"/>
  <c r="BF196" i="39" s="1"/>
  <c r="BG47" i="39"/>
  <c r="BG48" i="39" s="1"/>
  <c r="BF48" i="39"/>
  <c r="BA520" i="39"/>
  <c r="BE528" i="39"/>
  <c r="BE36" i="39"/>
  <c r="BF35" i="39"/>
  <c r="BE204" i="39"/>
  <c r="BF204" i="39" s="1"/>
  <c r="BD526" i="39"/>
  <c r="BC527" i="39"/>
  <c r="BE321" i="39"/>
  <c r="BE223" i="39"/>
  <c r="BF223" i="39" s="1"/>
  <c r="BE224" i="39"/>
  <c r="BF224" i="39" s="1"/>
  <c r="BB531" i="39"/>
  <c r="BC530" i="39"/>
  <c r="BE23" i="39"/>
  <c r="BD24" i="39"/>
  <c r="BD518" i="39"/>
  <c r="BC519" i="39"/>
  <c r="BC533" i="39"/>
  <c r="BC532" i="39"/>
  <c r="BD534" i="39"/>
  <c r="BC535" i="39"/>
  <c r="BE198" i="39"/>
  <c r="BF198" i="39" s="1"/>
  <c r="BC46" i="39"/>
  <c r="BC8" i="39"/>
  <c r="BG514" i="39"/>
  <c r="BG515" i="39" s="1"/>
  <c r="BF515" i="39"/>
  <c r="BE546" i="39"/>
  <c r="BF9" i="39"/>
  <c r="BE513" i="39"/>
  <c r="BE512" i="39"/>
  <c r="BF42" i="39"/>
  <c r="BG39" i="39"/>
  <c r="BG42" i="39" s="1"/>
  <c r="BC517" i="39"/>
  <c r="BC516" i="39" s="1"/>
  <c r="BE509" i="39"/>
  <c r="BE508" i="39"/>
  <c r="BE202" i="39"/>
  <c r="BA38" i="39" l="1"/>
  <c r="BA27" i="39"/>
  <c r="BB38" i="39"/>
  <c r="BB27" i="39"/>
  <c r="BE511" i="39"/>
  <c r="BF510" i="39"/>
  <c r="BC40" i="39"/>
  <c r="BD41" i="39"/>
  <c r="BC26" i="39"/>
  <c r="BF207" i="39"/>
  <c r="BF202" i="39"/>
  <c r="BG202" i="39" s="1"/>
  <c r="BD530" i="39"/>
  <c r="BC531" i="39"/>
  <c r="BG25" i="39"/>
  <c r="BG22" i="39"/>
  <c r="BG198" i="39"/>
  <c r="BD525" i="39"/>
  <c r="BD524" i="39" s="1"/>
  <c r="BF23" i="39"/>
  <c r="BE24" i="39"/>
  <c r="BE534" i="39"/>
  <c r="BD535" i="39"/>
  <c r="BD527" i="39"/>
  <c r="BE526" i="39"/>
  <c r="BF758" i="39"/>
  <c r="BF759" i="39"/>
  <c r="BF757" i="39"/>
  <c r="BF483" i="39"/>
  <c r="BF484" i="39" s="1"/>
  <c r="BF485" i="39" s="1"/>
  <c r="BF486" i="39" s="1"/>
  <c r="BF487" i="39" s="1"/>
  <c r="BF488" i="39" s="1"/>
  <c r="BF489" i="39" s="1"/>
  <c r="BF490" i="39" s="1"/>
  <c r="BF275" i="39"/>
  <c r="BF282" i="39"/>
  <c r="BF272" i="39" s="1"/>
  <c r="BG304" i="39"/>
  <c r="BF279" i="39"/>
  <c r="BF271" i="39"/>
  <c r="BF278" i="39"/>
  <c r="BF19" i="39"/>
  <c r="BF6" i="39"/>
  <c r="BG3" i="39"/>
  <c r="BG207" i="39" s="1"/>
  <c r="BF270" i="39"/>
  <c r="BF217" i="39"/>
  <c r="BG217" i="39" s="1"/>
  <c r="BG5" i="39"/>
  <c r="BG273" i="39" s="1"/>
  <c r="BF273" i="39"/>
  <c r="BD8" i="39"/>
  <c r="BD46" i="39"/>
  <c r="BC521" i="39"/>
  <c r="BC520" i="39"/>
  <c r="BF205" i="39"/>
  <c r="BG205" i="39" s="1"/>
  <c r="BG208" i="39"/>
  <c r="BF513" i="39"/>
  <c r="BF546" i="39"/>
  <c r="BG9" i="39"/>
  <c r="BG546" i="39" s="1"/>
  <c r="BF199" i="39"/>
  <c r="BF321" i="39"/>
  <c r="BD522" i="39"/>
  <c r="BC523" i="39"/>
  <c r="BB520" i="39"/>
  <c r="BF197" i="39"/>
  <c r="BG197" i="39" s="1"/>
  <c r="BD533" i="39"/>
  <c r="BD532" i="39"/>
  <c r="BG196" i="39"/>
  <c r="BF206" i="39"/>
  <c r="BG206" i="39" s="1"/>
  <c r="BE518" i="39"/>
  <c r="BD519" i="39"/>
  <c r="BG21" i="39"/>
  <c r="BF528" i="39"/>
  <c r="BG35" i="39"/>
  <c r="BF36" i="39"/>
  <c r="BE45" i="39"/>
  <c r="BE15" i="39"/>
  <c r="BE305" i="39" s="1"/>
  <c r="BF14" i="39"/>
  <c r="BE7" i="39"/>
  <c r="BE309" i="39"/>
  <c r="BF203" i="39"/>
  <c r="BG203" i="39" s="1"/>
  <c r="BG201" i="39"/>
  <c r="BD517" i="39"/>
  <c r="BD516" i="39"/>
  <c r="BG49" i="39"/>
  <c r="BE529" i="39"/>
  <c r="BD304" i="39"/>
  <c r="BF323" i="39"/>
  <c r="BG11" i="39"/>
  <c r="BD40" i="39" l="1"/>
  <c r="BE41" i="39"/>
  <c r="BD26" i="39"/>
  <c r="BG510" i="39"/>
  <c r="BG511" i="39" s="1"/>
  <c r="BF511" i="39"/>
  <c r="BF509" i="39"/>
  <c r="BF508" i="39" s="1"/>
  <c r="BC38" i="39"/>
  <c r="BC27" i="39"/>
  <c r="BG321" i="39"/>
  <c r="BG199" i="39"/>
  <c r="BG200" i="39"/>
  <c r="BE527" i="39"/>
  <c r="BF526" i="39"/>
  <c r="BD523" i="39"/>
  <c r="BE522" i="39"/>
  <c r="BE533" i="39"/>
  <c r="BF15" i="39"/>
  <c r="BF305" i="39" s="1"/>
  <c r="BG14" i="39"/>
  <c r="BF7" i="39"/>
  <c r="BF45" i="39"/>
  <c r="BF309" i="39"/>
  <c r="BD521" i="39"/>
  <c r="BD520" i="39"/>
  <c r="BG224" i="39"/>
  <c r="BE519" i="39"/>
  <c r="BF518" i="39"/>
  <c r="BG757" i="39"/>
  <c r="BG758" i="39"/>
  <c r="BG759" i="39"/>
  <c r="BG271" i="39"/>
  <c r="BG279" i="39"/>
  <c r="BG483" i="39"/>
  <c r="BG484" i="39" s="1"/>
  <c r="BG485" i="39" s="1"/>
  <c r="BG486" i="39" s="1"/>
  <c r="BG487" i="39" s="1"/>
  <c r="BG488" i="39" s="1"/>
  <c r="BG489" i="39" s="1"/>
  <c r="BG490" i="39" s="1"/>
  <c r="BG278" i="39"/>
  <c r="BG282" i="39"/>
  <c r="BG272" i="39" s="1"/>
  <c r="BG275" i="39"/>
  <c r="BG6" i="39"/>
  <c r="BG19" i="39"/>
  <c r="BG270" i="39"/>
  <c r="BE525" i="39"/>
  <c r="BF304" i="39"/>
  <c r="BG204" i="39"/>
  <c r="BF534" i="39"/>
  <c r="BE535" i="39"/>
  <c r="BG528" i="39"/>
  <c r="BG36" i="39"/>
  <c r="BG513" i="39"/>
  <c r="BG512" i="39" s="1"/>
  <c r="BE8" i="39"/>
  <c r="BE46" i="39"/>
  <c r="BE517" i="39"/>
  <c r="BE516" i="39"/>
  <c r="BG323" i="39"/>
  <c r="BE304" i="39"/>
  <c r="BF529" i="39"/>
  <c r="BF512" i="39"/>
  <c r="BG223" i="39"/>
  <c r="BF274" i="39"/>
  <c r="BF24" i="39"/>
  <c r="BG23" i="39"/>
  <c r="BG24" i="39" s="1"/>
  <c r="BD531" i="39"/>
  <c r="BE530" i="39"/>
  <c r="BG274" i="39" l="1"/>
  <c r="BF41" i="39"/>
  <c r="BE40" i="39"/>
  <c r="BE26" i="39"/>
  <c r="BG509" i="39"/>
  <c r="BG508" i="39" s="1"/>
  <c r="BD38" i="39"/>
  <c r="BD27" i="39"/>
  <c r="BF533" i="39"/>
  <c r="BF532" i="39" s="1"/>
  <c r="BE521" i="39"/>
  <c r="BE520" i="39"/>
  <c r="BE532" i="39"/>
  <c r="BF525" i="39"/>
  <c r="BF524" i="39" s="1"/>
  <c r="BF522" i="39"/>
  <c r="BE523" i="39"/>
  <c r="BE524" i="39"/>
  <c r="BG529" i="39"/>
  <c r="BE531" i="39"/>
  <c r="BF530" i="39"/>
  <c r="BF535" i="39"/>
  <c r="BG534" i="39"/>
  <c r="BG535" i="39" s="1"/>
  <c r="BF46" i="39"/>
  <c r="BF8" i="39"/>
  <c r="BG526" i="39"/>
  <c r="BG527" i="39" s="1"/>
  <c r="BF527" i="39"/>
  <c r="BG15" i="39"/>
  <c r="BG305" i="39" s="1"/>
  <c r="BG45" i="39"/>
  <c r="BG7" i="39"/>
  <c r="BG309" i="39"/>
  <c r="BF517" i="39"/>
  <c r="BF519" i="39"/>
  <c r="BG518" i="39"/>
  <c r="BG519" i="39" s="1"/>
  <c r="BE38" i="39" l="1"/>
  <c r="BE27" i="39"/>
  <c r="BF40" i="39"/>
  <c r="BG41" i="39"/>
  <c r="BF26" i="39"/>
  <c r="BG525" i="39"/>
  <c r="BG524" i="39"/>
  <c r="BF523" i="39"/>
  <c r="BG522" i="39"/>
  <c r="BG523" i="39" s="1"/>
  <c r="BG517" i="39"/>
  <c r="BG516" i="39"/>
  <c r="BF516" i="39"/>
  <c r="BF521" i="39"/>
  <c r="BG530" i="39"/>
  <c r="BG531" i="39" s="1"/>
  <c r="BF531" i="39"/>
  <c r="BG46" i="39"/>
  <c r="BG8" i="39"/>
  <c r="BG533" i="39"/>
  <c r="BG532" i="39"/>
  <c r="BG40" i="39" l="1"/>
  <c r="BG26" i="39"/>
  <c r="BF38" i="39"/>
  <c r="BF27" i="39"/>
  <c r="BG521" i="39"/>
  <c r="BG520" i="39" s="1"/>
  <c r="BF520" i="39"/>
  <c r="BG38" i="39" l="1"/>
  <c r="BG27" i="39"/>
  <c r="BE998" i="38"/>
  <c r="BF998" i="38" s="1"/>
  <c r="BG998" i="38" s="1"/>
  <c r="BC998" i="38"/>
  <c r="BD998" i="38" s="1"/>
  <c r="BC997" i="38"/>
  <c r="BD997" i="38" s="1"/>
  <c r="BE997" i="38" s="1"/>
  <c r="BF997" i="38" s="1"/>
  <c r="BG997" i="38" s="1"/>
  <c r="BC996" i="38"/>
  <c r="BD996" i="38" s="1"/>
  <c r="BE996" i="38" s="1"/>
  <c r="BF996" i="38" s="1"/>
  <c r="BG996" i="38" s="1"/>
  <c r="BC995" i="38"/>
  <c r="BD995" i="38" s="1"/>
  <c r="BE995" i="38" s="1"/>
  <c r="BF995" i="38" s="1"/>
  <c r="BG995" i="38" s="1"/>
  <c r="BE994" i="38"/>
  <c r="BF994" i="38" s="1"/>
  <c r="BG994" i="38" s="1"/>
  <c r="BD994" i="38"/>
  <c r="BC994" i="38"/>
  <c r="BC993" i="38"/>
  <c r="BD993" i="38" s="1"/>
  <c r="BE993" i="38" s="1"/>
  <c r="BF993" i="38" s="1"/>
  <c r="BG993" i="38" s="1"/>
  <c r="BC992" i="38"/>
  <c r="BD992" i="38" s="1"/>
  <c r="BE992" i="38" s="1"/>
  <c r="BF992" i="38" s="1"/>
  <c r="BG992" i="38" s="1"/>
  <c r="BF991" i="38"/>
  <c r="BG991" i="38" s="1"/>
  <c r="BC991" i="38"/>
  <c r="BD991" i="38" s="1"/>
  <c r="BE991" i="38" s="1"/>
  <c r="BC990" i="38"/>
  <c r="BD990" i="38" s="1"/>
  <c r="BE990" i="38" s="1"/>
  <c r="BF990" i="38" s="1"/>
  <c r="BG990" i="38" s="1"/>
  <c r="BC989" i="38"/>
  <c r="BD989" i="38" s="1"/>
  <c r="BE989" i="38" s="1"/>
  <c r="BF989" i="38" s="1"/>
  <c r="BG989" i="38" s="1"/>
  <c r="BC988" i="38"/>
  <c r="BD988" i="38" s="1"/>
  <c r="BE988" i="38" s="1"/>
  <c r="BF988" i="38" s="1"/>
  <c r="BG988" i="38" s="1"/>
  <c r="AM760" i="38"/>
  <c r="AN760" i="38" s="1"/>
  <c r="AO760" i="38" s="1"/>
  <c r="AP760" i="38" s="1"/>
  <c r="AQ760" i="38" s="1"/>
  <c r="AR760" i="38" s="1"/>
  <c r="AS760" i="38" s="1"/>
  <c r="AT760" i="38" s="1"/>
  <c r="AU760" i="38" s="1"/>
  <c r="AV760" i="38" s="1"/>
  <c r="AW760" i="38" s="1"/>
  <c r="AX760" i="38" s="1"/>
  <c r="AY760" i="38" s="1"/>
  <c r="AZ760" i="38" s="1"/>
  <c r="BA760" i="38" s="1"/>
  <c r="BB760" i="38" s="1"/>
  <c r="BC760" i="38" s="1"/>
  <c r="BD760" i="38" s="1"/>
  <c r="BE760" i="38" s="1"/>
  <c r="BF760" i="38" s="1"/>
  <c r="BG760" i="38" s="1"/>
  <c r="AL760" i="38"/>
  <c r="AK760" i="38"/>
  <c r="AJ760" i="38"/>
  <c r="AG760" i="38"/>
  <c r="AM759" i="38"/>
  <c r="AN759" i="38" s="1"/>
  <c r="AO759" i="38" s="1"/>
  <c r="AP759" i="38" s="1"/>
  <c r="AQ759" i="38" s="1"/>
  <c r="AR759" i="38" s="1"/>
  <c r="AS759" i="38" s="1"/>
  <c r="AT759" i="38" s="1"/>
  <c r="AU759" i="38" s="1"/>
  <c r="AV759" i="38" s="1"/>
  <c r="AW759" i="38" s="1"/>
  <c r="AX759" i="38" s="1"/>
  <c r="AL759" i="38"/>
  <c r="AK759" i="38"/>
  <c r="AJ759" i="38"/>
  <c r="AG759" i="38"/>
  <c r="AN758" i="38"/>
  <c r="AO758" i="38" s="1"/>
  <c r="AP758" i="38" s="1"/>
  <c r="AQ758" i="38" s="1"/>
  <c r="AR758" i="38" s="1"/>
  <c r="AS758" i="38" s="1"/>
  <c r="AT758" i="38" s="1"/>
  <c r="AU758" i="38" s="1"/>
  <c r="AV758" i="38" s="1"/>
  <c r="AW758" i="38" s="1"/>
  <c r="AX758" i="38" s="1"/>
  <c r="AM758" i="38"/>
  <c r="AL758" i="38"/>
  <c r="AK758" i="38"/>
  <c r="AJ758" i="38"/>
  <c r="AG758" i="38"/>
  <c r="AM757" i="38"/>
  <c r="AN757" i="38" s="1"/>
  <c r="AO757" i="38" s="1"/>
  <c r="AP757" i="38" s="1"/>
  <c r="AQ757" i="38" s="1"/>
  <c r="AR757" i="38" s="1"/>
  <c r="AS757" i="38" s="1"/>
  <c r="AT757" i="38" s="1"/>
  <c r="AU757" i="38" s="1"/>
  <c r="AV757" i="38" s="1"/>
  <c r="AW757" i="38" s="1"/>
  <c r="AX757" i="38" s="1"/>
  <c r="AL757" i="38"/>
  <c r="AK757" i="38"/>
  <c r="AJ757" i="38"/>
  <c r="AG757" i="38"/>
  <c r="AF757" i="38"/>
  <c r="AM756" i="38"/>
  <c r="AN756" i="38" s="1"/>
  <c r="AO756" i="38" s="1"/>
  <c r="AP756" i="38" s="1"/>
  <c r="AQ756" i="38" s="1"/>
  <c r="AR756" i="38" s="1"/>
  <c r="AS756" i="38" s="1"/>
  <c r="AT756" i="38" s="1"/>
  <c r="AU756" i="38" s="1"/>
  <c r="AV756" i="38" s="1"/>
  <c r="AW756" i="38" s="1"/>
  <c r="AX756" i="38" s="1"/>
  <c r="AY756" i="38" s="1"/>
  <c r="AZ756" i="38" s="1"/>
  <c r="BA756" i="38" s="1"/>
  <c r="BB756" i="38" s="1"/>
  <c r="BC756" i="38" s="1"/>
  <c r="BD756" i="38" s="1"/>
  <c r="BE756" i="38" s="1"/>
  <c r="BF756" i="38" s="1"/>
  <c r="BG756" i="38" s="1"/>
  <c r="AL756" i="38"/>
  <c r="AK756" i="38"/>
  <c r="AJ756" i="38"/>
  <c r="AG756" i="38"/>
  <c r="AN755" i="38"/>
  <c r="AO755" i="38" s="1"/>
  <c r="AP755" i="38" s="1"/>
  <c r="AQ755" i="38" s="1"/>
  <c r="AR755" i="38" s="1"/>
  <c r="AS755" i="38" s="1"/>
  <c r="AT755" i="38" s="1"/>
  <c r="AU755" i="38" s="1"/>
  <c r="AV755" i="38" s="1"/>
  <c r="AW755" i="38" s="1"/>
  <c r="AX755" i="38" s="1"/>
  <c r="AY755" i="38" s="1"/>
  <c r="AZ755" i="38" s="1"/>
  <c r="BA755" i="38" s="1"/>
  <c r="BB755" i="38" s="1"/>
  <c r="BC755" i="38" s="1"/>
  <c r="BD755" i="38" s="1"/>
  <c r="BE755" i="38" s="1"/>
  <c r="BF755" i="38" s="1"/>
  <c r="BG755" i="38" s="1"/>
  <c r="AM755" i="38"/>
  <c r="AL755" i="38"/>
  <c r="AK755" i="38"/>
  <c r="AJ755" i="38"/>
  <c r="AG755" i="38"/>
  <c r="AM754" i="38"/>
  <c r="AN754" i="38" s="1"/>
  <c r="AO754" i="38" s="1"/>
  <c r="AP754" i="38" s="1"/>
  <c r="AQ754" i="38" s="1"/>
  <c r="AR754" i="38" s="1"/>
  <c r="AS754" i="38" s="1"/>
  <c r="AT754" i="38" s="1"/>
  <c r="AU754" i="38" s="1"/>
  <c r="AV754" i="38" s="1"/>
  <c r="AW754" i="38" s="1"/>
  <c r="AX754" i="38" s="1"/>
  <c r="AY754" i="38" s="1"/>
  <c r="AZ754" i="38" s="1"/>
  <c r="BA754" i="38" s="1"/>
  <c r="BB754" i="38" s="1"/>
  <c r="BC754" i="38" s="1"/>
  <c r="BD754" i="38" s="1"/>
  <c r="BE754" i="38" s="1"/>
  <c r="BF754" i="38" s="1"/>
  <c r="BG754" i="38" s="1"/>
  <c r="AL754" i="38"/>
  <c r="AK754" i="38"/>
  <c r="AJ754" i="38"/>
  <c r="AG754" i="38"/>
  <c r="AM753" i="38"/>
  <c r="AN753" i="38" s="1"/>
  <c r="AO753" i="38" s="1"/>
  <c r="AP753" i="38" s="1"/>
  <c r="AQ753" i="38" s="1"/>
  <c r="AR753" i="38" s="1"/>
  <c r="AS753" i="38" s="1"/>
  <c r="AT753" i="38" s="1"/>
  <c r="AU753" i="38" s="1"/>
  <c r="AV753" i="38" s="1"/>
  <c r="AW753" i="38" s="1"/>
  <c r="AX753" i="38" s="1"/>
  <c r="AY753" i="38" s="1"/>
  <c r="AZ753" i="38" s="1"/>
  <c r="BA753" i="38" s="1"/>
  <c r="BB753" i="38" s="1"/>
  <c r="BC753" i="38" s="1"/>
  <c r="BD753" i="38" s="1"/>
  <c r="BE753" i="38" s="1"/>
  <c r="BF753" i="38" s="1"/>
  <c r="BG753" i="38" s="1"/>
  <c r="AL753" i="38"/>
  <c r="AK753" i="38"/>
  <c r="AJ753" i="38"/>
  <c r="AG753" i="38"/>
  <c r="AO752" i="38"/>
  <c r="AP752" i="38" s="1"/>
  <c r="AQ752" i="38" s="1"/>
  <c r="AR752" i="38" s="1"/>
  <c r="AS752" i="38" s="1"/>
  <c r="AT752" i="38" s="1"/>
  <c r="AU752" i="38" s="1"/>
  <c r="AV752" i="38" s="1"/>
  <c r="AW752" i="38" s="1"/>
  <c r="AX752" i="38" s="1"/>
  <c r="AY752" i="38" s="1"/>
  <c r="AZ752" i="38" s="1"/>
  <c r="BA752" i="38" s="1"/>
  <c r="BB752" i="38" s="1"/>
  <c r="BC752" i="38" s="1"/>
  <c r="BD752" i="38" s="1"/>
  <c r="BE752" i="38" s="1"/>
  <c r="BF752" i="38" s="1"/>
  <c r="BG752" i="38" s="1"/>
  <c r="AM752" i="38"/>
  <c r="AN752" i="38" s="1"/>
  <c r="AL752" i="38"/>
  <c r="AK752" i="38"/>
  <c r="AJ752" i="38"/>
  <c r="AG752" i="38"/>
  <c r="AM751" i="38"/>
  <c r="AN751" i="38" s="1"/>
  <c r="AO751" i="38" s="1"/>
  <c r="AP751" i="38" s="1"/>
  <c r="AQ751" i="38" s="1"/>
  <c r="AR751" i="38" s="1"/>
  <c r="AS751" i="38" s="1"/>
  <c r="AT751" i="38" s="1"/>
  <c r="AU751" i="38" s="1"/>
  <c r="AV751" i="38" s="1"/>
  <c r="AW751" i="38" s="1"/>
  <c r="AX751" i="38" s="1"/>
  <c r="AY751" i="38" s="1"/>
  <c r="AZ751" i="38" s="1"/>
  <c r="BA751" i="38" s="1"/>
  <c r="BB751" i="38" s="1"/>
  <c r="BC751" i="38" s="1"/>
  <c r="BD751" i="38" s="1"/>
  <c r="BE751" i="38" s="1"/>
  <c r="BF751" i="38" s="1"/>
  <c r="BG751" i="38" s="1"/>
  <c r="AL751" i="38"/>
  <c r="AK751" i="38"/>
  <c r="AJ751" i="38"/>
  <c r="AG751" i="38"/>
  <c r="AX750" i="38"/>
  <c r="AY750" i="38" s="1"/>
  <c r="AZ750" i="38" s="1"/>
  <c r="BA750" i="38" s="1"/>
  <c r="BB750" i="38" s="1"/>
  <c r="BC750" i="38" s="1"/>
  <c r="BD750" i="38" s="1"/>
  <c r="BE750" i="38" s="1"/>
  <c r="BF750" i="38" s="1"/>
  <c r="BG750" i="38" s="1"/>
  <c r="AM750" i="38"/>
  <c r="AN750" i="38" s="1"/>
  <c r="AO750" i="38" s="1"/>
  <c r="AP750" i="38" s="1"/>
  <c r="AQ750" i="38" s="1"/>
  <c r="AR750" i="38" s="1"/>
  <c r="AS750" i="38" s="1"/>
  <c r="AT750" i="38" s="1"/>
  <c r="AU750" i="38" s="1"/>
  <c r="AV750" i="38" s="1"/>
  <c r="AW750" i="38" s="1"/>
  <c r="AL750" i="38"/>
  <c r="AK750" i="38"/>
  <c r="AJ750" i="38"/>
  <c r="AG750" i="38"/>
  <c r="BC700" i="38"/>
  <c r="BD700" i="38" s="1"/>
  <c r="BE700" i="38" s="1"/>
  <c r="BF700" i="38" s="1"/>
  <c r="BG700" i="38" s="1"/>
  <c r="BE675" i="38"/>
  <c r="BF675" i="38" s="1"/>
  <c r="BG675" i="38" s="1"/>
  <c r="BC675" i="38"/>
  <c r="BD675" i="38" s="1"/>
  <c r="BC674" i="38"/>
  <c r="BD674" i="38" s="1"/>
  <c r="BE674" i="38" s="1"/>
  <c r="BF674" i="38" s="1"/>
  <c r="BG674" i="38" s="1"/>
  <c r="BF673" i="38"/>
  <c r="BG673" i="38" s="1"/>
  <c r="BE673" i="38"/>
  <c r="BC673" i="38"/>
  <c r="BD673" i="38" s="1"/>
  <c r="BC672" i="38"/>
  <c r="BD672" i="38" s="1"/>
  <c r="BE672" i="38" s="1"/>
  <c r="BF672" i="38" s="1"/>
  <c r="BG672" i="38" s="1"/>
  <c r="BC671" i="38"/>
  <c r="BD671" i="38" s="1"/>
  <c r="BE671" i="38" s="1"/>
  <c r="BF671" i="38" s="1"/>
  <c r="BG671" i="38" s="1"/>
  <c r="BD670" i="38"/>
  <c r="BE670" i="38" s="1"/>
  <c r="BF670" i="38" s="1"/>
  <c r="BG670" i="38" s="1"/>
  <c r="BC670" i="38"/>
  <c r="BF669" i="38"/>
  <c r="BG669" i="38" s="1"/>
  <c r="BC669" i="38"/>
  <c r="BD669" i="38" s="1"/>
  <c r="BE669" i="38" s="1"/>
  <c r="BC668" i="38"/>
  <c r="BD668" i="38" s="1"/>
  <c r="BE668" i="38" s="1"/>
  <c r="BF668" i="38" s="1"/>
  <c r="BG668" i="38" s="1"/>
  <c r="BC654" i="38"/>
  <c r="BD654" i="38" s="1"/>
  <c r="BE654" i="38" s="1"/>
  <c r="BF654" i="38" s="1"/>
  <c r="BG654" i="38" s="1"/>
  <c r="BC653" i="38"/>
  <c r="BD653" i="38" s="1"/>
  <c r="BE653" i="38" s="1"/>
  <c r="BF653" i="38" s="1"/>
  <c r="BG653" i="38" s="1"/>
  <c r="BE652" i="38"/>
  <c r="BF652" i="38" s="1"/>
  <c r="BG652" i="38" s="1"/>
  <c r="BC652" i="38"/>
  <c r="BD652" i="38" s="1"/>
  <c r="BC651" i="38"/>
  <c r="BD651" i="38" s="1"/>
  <c r="BE651" i="38" s="1"/>
  <c r="BF651" i="38" s="1"/>
  <c r="BG651" i="38" s="1"/>
  <c r="BC650" i="38"/>
  <c r="BD650" i="38" s="1"/>
  <c r="BE650" i="38" s="1"/>
  <c r="BF650" i="38" s="1"/>
  <c r="BG650" i="38" s="1"/>
  <c r="BC638" i="38"/>
  <c r="BD638" i="38" s="1"/>
  <c r="BE638" i="38" s="1"/>
  <c r="BF638" i="38" s="1"/>
  <c r="BG638" i="38" s="1"/>
  <c r="BD637" i="38"/>
  <c r="BE637" i="38" s="1"/>
  <c r="BF637" i="38" s="1"/>
  <c r="BG637" i="38" s="1"/>
  <c r="BC637" i="38"/>
  <c r="BC636" i="38"/>
  <c r="BD636" i="38" s="1"/>
  <c r="BE636" i="38" s="1"/>
  <c r="BF636" i="38" s="1"/>
  <c r="BG636" i="38" s="1"/>
  <c r="BC635" i="38"/>
  <c r="BD635" i="38" s="1"/>
  <c r="BE635" i="38" s="1"/>
  <c r="BF635" i="38" s="1"/>
  <c r="BG635" i="38" s="1"/>
  <c r="BE634" i="38"/>
  <c r="BF634" i="38" s="1"/>
  <c r="BG634" i="38" s="1"/>
  <c r="BD634" i="38"/>
  <c r="BC634" i="38"/>
  <c r="BC633" i="38"/>
  <c r="BD633" i="38" s="1"/>
  <c r="BE633" i="38" s="1"/>
  <c r="BF633" i="38" s="1"/>
  <c r="BG633" i="38" s="1"/>
  <c r="BC632" i="38"/>
  <c r="BD632" i="38" s="1"/>
  <c r="BE632" i="38" s="1"/>
  <c r="BF632" i="38" s="1"/>
  <c r="BG632" i="38" s="1"/>
  <c r="BC631" i="38"/>
  <c r="BD631" i="38" s="1"/>
  <c r="BE631" i="38" s="1"/>
  <c r="BF631" i="38" s="1"/>
  <c r="BG631" i="38" s="1"/>
  <c r="BC630" i="38"/>
  <c r="BD630" i="38" s="1"/>
  <c r="BE630" i="38" s="1"/>
  <c r="BF630" i="38" s="1"/>
  <c r="BG630" i="38" s="1"/>
  <c r="BD629" i="38"/>
  <c r="BE629" i="38" s="1"/>
  <c r="BF629" i="38" s="1"/>
  <c r="BG629" i="38" s="1"/>
  <c r="BC629" i="38"/>
  <c r="BC628" i="38"/>
  <c r="BD628" i="38" s="1"/>
  <c r="BE628" i="38" s="1"/>
  <c r="BF628" i="38" s="1"/>
  <c r="BG628" i="38" s="1"/>
  <c r="BD627" i="38"/>
  <c r="BE627" i="38" s="1"/>
  <c r="BF627" i="38" s="1"/>
  <c r="BG627" i="38" s="1"/>
  <c r="BC627" i="38"/>
  <c r="BC626" i="38"/>
  <c r="BD626" i="38" s="1"/>
  <c r="BE626" i="38" s="1"/>
  <c r="BF626" i="38" s="1"/>
  <c r="BG626" i="38" s="1"/>
  <c r="BC625" i="38"/>
  <c r="BD625" i="38" s="1"/>
  <c r="BE625" i="38" s="1"/>
  <c r="BF625" i="38" s="1"/>
  <c r="BG625" i="38" s="1"/>
  <c r="BD599" i="38"/>
  <c r="BE599" i="38" s="1"/>
  <c r="BF599" i="38" s="1"/>
  <c r="BG599" i="38" s="1"/>
  <c r="BC599" i="38"/>
  <c r="BC594" i="38"/>
  <c r="BD594" i="38" s="1"/>
  <c r="BE594" i="38" s="1"/>
  <c r="BF594" i="38" s="1"/>
  <c r="BG594" i="38" s="1"/>
  <c r="BC593" i="38"/>
  <c r="BD593" i="38" s="1"/>
  <c r="BE593" i="38" s="1"/>
  <c r="BF593" i="38" s="1"/>
  <c r="BG593" i="38" s="1"/>
  <c r="BC592" i="38"/>
  <c r="BD592" i="38" s="1"/>
  <c r="BE592" i="38" s="1"/>
  <c r="BF592" i="38" s="1"/>
  <c r="BG592" i="38" s="1"/>
  <c r="BC591" i="38"/>
  <c r="BD591" i="38" s="1"/>
  <c r="BE591" i="38" s="1"/>
  <c r="BF591" i="38" s="1"/>
  <c r="BG591" i="38" s="1"/>
  <c r="BD590" i="38"/>
  <c r="BE590" i="38" s="1"/>
  <c r="BF590" i="38" s="1"/>
  <c r="BG590" i="38" s="1"/>
  <c r="BC590" i="38"/>
  <c r="BC589" i="38"/>
  <c r="BD589" i="38" s="1"/>
  <c r="BE589" i="38" s="1"/>
  <c r="BF589" i="38" s="1"/>
  <c r="BG589" i="38" s="1"/>
  <c r="BC588" i="38"/>
  <c r="BD588" i="38" s="1"/>
  <c r="BE588" i="38" s="1"/>
  <c r="BF588" i="38" s="1"/>
  <c r="BG588" i="38" s="1"/>
  <c r="BC586" i="38"/>
  <c r="BD586" i="38" s="1"/>
  <c r="BE586" i="38" s="1"/>
  <c r="BF586" i="38" s="1"/>
  <c r="BG586" i="38" s="1"/>
  <c r="BC585" i="38"/>
  <c r="BD585" i="38" s="1"/>
  <c r="BE585" i="38" s="1"/>
  <c r="BF585" i="38" s="1"/>
  <c r="BG585" i="38" s="1"/>
  <c r="BE584" i="38"/>
  <c r="BF584" i="38" s="1"/>
  <c r="BG584" i="38" s="1"/>
  <c r="BD584" i="38"/>
  <c r="BC584" i="38"/>
  <c r="BC583" i="38"/>
  <c r="BD583" i="38" s="1"/>
  <c r="BE583" i="38" s="1"/>
  <c r="BF583" i="38" s="1"/>
  <c r="BG583" i="38" s="1"/>
  <c r="BG582" i="38"/>
  <c r="BC582" i="38"/>
  <c r="BD582" i="38" s="1"/>
  <c r="BE582" i="38" s="1"/>
  <c r="BF582" i="38" s="1"/>
  <c r="BC581" i="38"/>
  <c r="BD581" i="38" s="1"/>
  <c r="BE581" i="38" s="1"/>
  <c r="BF581" i="38" s="1"/>
  <c r="BG581" i="38" s="1"/>
  <c r="BC580" i="38"/>
  <c r="BD580" i="38" s="1"/>
  <c r="BE580" i="38" s="1"/>
  <c r="BF580" i="38" s="1"/>
  <c r="BG580" i="38" s="1"/>
  <c r="BC579" i="38"/>
  <c r="BD579" i="38" s="1"/>
  <c r="BE579" i="38" s="1"/>
  <c r="BF579" i="38" s="1"/>
  <c r="BG579" i="38" s="1"/>
  <c r="BD578" i="38"/>
  <c r="BE578" i="38" s="1"/>
  <c r="BF578" i="38" s="1"/>
  <c r="BG578" i="38" s="1"/>
  <c r="BC578" i="38"/>
  <c r="BC577" i="38"/>
  <c r="BD577" i="38" s="1"/>
  <c r="BE577" i="38" s="1"/>
  <c r="BF577" i="38" s="1"/>
  <c r="BG577" i="38" s="1"/>
  <c r="BC576" i="38"/>
  <c r="BD576" i="38" s="1"/>
  <c r="BE576" i="38" s="1"/>
  <c r="BF576" i="38" s="1"/>
  <c r="BG576" i="38" s="1"/>
  <c r="BC575" i="38"/>
  <c r="BD575" i="38" s="1"/>
  <c r="BE575" i="38" s="1"/>
  <c r="BF575" i="38" s="1"/>
  <c r="BG575" i="38" s="1"/>
  <c r="BD574" i="38"/>
  <c r="BE574" i="38" s="1"/>
  <c r="BF574" i="38" s="1"/>
  <c r="BG574" i="38" s="1"/>
  <c r="BC574" i="38"/>
  <c r="BC573" i="38"/>
  <c r="BD573" i="38" s="1"/>
  <c r="BE573" i="38" s="1"/>
  <c r="BF573" i="38" s="1"/>
  <c r="BG573" i="38" s="1"/>
  <c r="BC572" i="38"/>
  <c r="BD572" i="38" s="1"/>
  <c r="BE572" i="38" s="1"/>
  <c r="BF572" i="38" s="1"/>
  <c r="BG572" i="38" s="1"/>
  <c r="BC571" i="38"/>
  <c r="BD571" i="38" s="1"/>
  <c r="BE571" i="38" s="1"/>
  <c r="BF571" i="38" s="1"/>
  <c r="BG571" i="38" s="1"/>
  <c r="BD570" i="38"/>
  <c r="BE570" i="38" s="1"/>
  <c r="BF570" i="38" s="1"/>
  <c r="BG570" i="38" s="1"/>
  <c r="BC570" i="38"/>
  <c r="BD569" i="38"/>
  <c r="BE569" i="38" s="1"/>
  <c r="BF569" i="38" s="1"/>
  <c r="BG569" i="38" s="1"/>
  <c r="BC569" i="38"/>
  <c r="BE568" i="38"/>
  <c r="BF568" i="38" s="1"/>
  <c r="BG568" i="38" s="1"/>
  <c r="BD568" i="38"/>
  <c r="BC568" i="38"/>
  <c r="BD567" i="38"/>
  <c r="BE567" i="38" s="1"/>
  <c r="BF567" i="38" s="1"/>
  <c r="BG567" i="38" s="1"/>
  <c r="BC567" i="38"/>
  <c r="BD566" i="38"/>
  <c r="BE566" i="38" s="1"/>
  <c r="BF566" i="38" s="1"/>
  <c r="BG566" i="38" s="1"/>
  <c r="BC566" i="38"/>
  <c r="BG565" i="38"/>
  <c r="BC565" i="38"/>
  <c r="BD565" i="38" s="1"/>
  <c r="BE565" i="38" s="1"/>
  <c r="BF565" i="38" s="1"/>
  <c r="BC564" i="38"/>
  <c r="BD564" i="38" s="1"/>
  <c r="BE564" i="38" s="1"/>
  <c r="BF564" i="38" s="1"/>
  <c r="BG564" i="38" s="1"/>
  <c r="BE563" i="38"/>
  <c r="BF563" i="38" s="1"/>
  <c r="BG563" i="38" s="1"/>
  <c r="BC563" i="38"/>
  <c r="BD563" i="38" s="1"/>
  <c r="BC562" i="38"/>
  <c r="BD562" i="38" s="1"/>
  <c r="BE562" i="38" s="1"/>
  <c r="BF562" i="38" s="1"/>
  <c r="BG562" i="38" s="1"/>
  <c r="BD561" i="38"/>
  <c r="BE561" i="38" s="1"/>
  <c r="BF561" i="38" s="1"/>
  <c r="BG561" i="38" s="1"/>
  <c r="BC561" i="38"/>
  <c r="BD560" i="38"/>
  <c r="BE560" i="38" s="1"/>
  <c r="BF560" i="38" s="1"/>
  <c r="BG560" i="38" s="1"/>
  <c r="BC560" i="38"/>
  <c r="BE559" i="38"/>
  <c r="BF559" i="38" s="1"/>
  <c r="BG559" i="38" s="1"/>
  <c r="BC559" i="38"/>
  <c r="BD559" i="38" s="1"/>
  <c r="BC558" i="38"/>
  <c r="BD558" i="38" s="1"/>
  <c r="BE558" i="38" s="1"/>
  <c r="BF558" i="38" s="1"/>
  <c r="BG558" i="38" s="1"/>
  <c r="BC557" i="38"/>
  <c r="BD557" i="38" s="1"/>
  <c r="BE557" i="38" s="1"/>
  <c r="BF557" i="38" s="1"/>
  <c r="BG557" i="38" s="1"/>
  <c r="BE556" i="38"/>
  <c r="BF556" i="38" s="1"/>
  <c r="BG556" i="38" s="1"/>
  <c r="BC556" i="38"/>
  <c r="BD556" i="38" s="1"/>
  <c r="BE555" i="38"/>
  <c r="BF555" i="38" s="1"/>
  <c r="BG555" i="38" s="1"/>
  <c r="BC555" i="38"/>
  <c r="BD555" i="38" s="1"/>
  <c r="BF554" i="38"/>
  <c r="BG554" i="38" s="1"/>
  <c r="BC554" i="38"/>
  <c r="BD554" i="38" s="1"/>
  <c r="BE554" i="38" s="1"/>
  <c r="BC553" i="38"/>
  <c r="BD553" i="38" s="1"/>
  <c r="BE553" i="38" s="1"/>
  <c r="BF553" i="38" s="1"/>
  <c r="BG553" i="38" s="1"/>
  <c r="BD552" i="38"/>
  <c r="BE552" i="38" s="1"/>
  <c r="BF552" i="38" s="1"/>
  <c r="BG552" i="38" s="1"/>
  <c r="BC552" i="38"/>
  <c r="BC550" i="38"/>
  <c r="BD550" i="38" s="1"/>
  <c r="BE550" i="38" s="1"/>
  <c r="BF550" i="38" s="1"/>
  <c r="BG550" i="38" s="1"/>
  <c r="BG549" i="38"/>
  <c r="BC549" i="38"/>
  <c r="BD549" i="38" s="1"/>
  <c r="BE549" i="38" s="1"/>
  <c r="BF549" i="38" s="1"/>
  <c r="AJ548" i="38"/>
  <c r="AK548" i="38" s="1"/>
  <c r="AL548" i="38" s="1"/>
  <c r="AM548" i="38" s="1"/>
  <c r="AN548" i="38" s="1"/>
  <c r="AO548" i="38" s="1"/>
  <c r="AP548" i="38" s="1"/>
  <c r="AQ548" i="38" s="1"/>
  <c r="AR548" i="38" s="1"/>
  <c r="AS548" i="38" s="1"/>
  <c r="AT548" i="38" s="1"/>
  <c r="AU548" i="38" s="1"/>
  <c r="AV548" i="38" s="1"/>
  <c r="AW548" i="38" s="1"/>
  <c r="AX548" i="38" s="1"/>
  <c r="AY548" i="38" s="1"/>
  <c r="AZ548" i="38" s="1"/>
  <c r="BA548" i="38" s="1"/>
  <c r="BB548" i="38" s="1"/>
  <c r="BC548" i="38" s="1"/>
  <c r="BD548" i="38" s="1"/>
  <c r="BE548" i="38" s="1"/>
  <c r="BF548" i="38" s="1"/>
  <c r="BG548" i="38" s="1"/>
  <c r="AJ547" i="38"/>
  <c r="AJ313" i="38" s="1"/>
  <c r="AI546" i="38"/>
  <c r="AH546" i="38"/>
  <c r="AG546" i="38"/>
  <c r="AF546" i="38"/>
  <c r="AE546" i="38"/>
  <c r="AJ545" i="38"/>
  <c r="AG535" i="38"/>
  <c r="AF535" i="38"/>
  <c r="AE535" i="38"/>
  <c r="AH534" i="38"/>
  <c r="AH535" i="38" s="1"/>
  <c r="AG531" i="38"/>
  <c r="AF531" i="38"/>
  <c r="AE531" i="38"/>
  <c r="AI530" i="38"/>
  <c r="AJ530" i="38" s="1"/>
  <c r="AH530" i="38"/>
  <c r="AH531" i="38" s="1"/>
  <c r="AI528" i="38"/>
  <c r="AH528" i="38"/>
  <c r="AG528" i="38"/>
  <c r="AF528" i="38"/>
  <c r="AE528" i="38"/>
  <c r="AG527" i="38"/>
  <c r="AF527" i="38"/>
  <c r="AE527" i="38"/>
  <c r="AH526" i="38"/>
  <c r="AH527" i="38" s="1"/>
  <c r="AH525" i="38"/>
  <c r="AG523" i="38"/>
  <c r="AF523" i="38"/>
  <c r="AE523" i="38"/>
  <c r="AJ522" i="38"/>
  <c r="AK522" i="38" s="1"/>
  <c r="AI522" i="38"/>
  <c r="AI523" i="38" s="1"/>
  <c r="AH522" i="38"/>
  <c r="AH523" i="38" s="1"/>
  <c r="AH521" i="38"/>
  <c r="AH520" i="38"/>
  <c r="AG519" i="38"/>
  <c r="AF519" i="38"/>
  <c r="AE519" i="38"/>
  <c r="AH518" i="38"/>
  <c r="AH517" i="38" s="1"/>
  <c r="AH515" i="38"/>
  <c r="AG515" i="38"/>
  <c r="AF515" i="38"/>
  <c r="AE515" i="38"/>
  <c r="AI514" i="38"/>
  <c r="AI513" i="38" s="1"/>
  <c r="AI512" i="38" s="1"/>
  <c r="AH511" i="38"/>
  <c r="AG511" i="38"/>
  <c r="AF511" i="38"/>
  <c r="AE511" i="38"/>
  <c r="AI510" i="38"/>
  <c r="AJ510" i="38" s="1"/>
  <c r="AI509" i="38"/>
  <c r="AJ509" i="38" s="1"/>
  <c r="AL492" i="38"/>
  <c r="AM492" i="38" s="1"/>
  <c r="AN492" i="38" s="1"/>
  <c r="AO492" i="38" s="1"/>
  <c r="AP492" i="38" s="1"/>
  <c r="AQ492" i="38" s="1"/>
  <c r="AR492" i="38" s="1"/>
  <c r="AS492" i="38" s="1"/>
  <c r="AT492" i="38" s="1"/>
  <c r="AU492" i="38" s="1"/>
  <c r="AV492" i="38" s="1"/>
  <c r="AW492" i="38" s="1"/>
  <c r="AX492" i="38" s="1"/>
  <c r="AY492" i="38" s="1"/>
  <c r="AZ492" i="38" s="1"/>
  <c r="BA492" i="38" s="1"/>
  <c r="BB492" i="38" s="1"/>
  <c r="BC492" i="38" s="1"/>
  <c r="BD492" i="38" s="1"/>
  <c r="BE492" i="38" s="1"/>
  <c r="BF492" i="38" s="1"/>
  <c r="BG492" i="38" s="1"/>
  <c r="AK492" i="38"/>
  <c r="AI492" i="38"/>
  <c r="AJ492" i="38" s="1"/>
  <c r="AJ490" i="38"/>
  <c r="AG485" i="38"/>
  <c r="AG486" i="38" s="1"/>
  <c r="AG487" i="38" s="1"/>
  <c r="AG488" i="38" s="1"/>
  <c r="AG489" i="38" s="1"/>
  <c r="AG490" i="38" s="1"/>
  <c r="AF484" i="38"/>
  <c r="AF485" i="38" s="1"/>
  <c r="AF486" i="38" s="1"/>
  <c r="AF487" i="38" s="1"/>
  <c r="AF488" i="38" s="1"/>
  <c r="AF489" i="38" s="1"/>
  <c r="AF490" i="38" s="1"/>
  <c r="AJ483" i="38"/>
  <c r="AJ484" i="38" s="1"/>
  <c r="AJ485" i="38" s="1"/>
  <c r="AJ486" i="38" s="1"/>
  <c r="AJ487" i="38" s="1"/>
  <c r="AJ488" i="38" s="1"/>
  <c r="AJ489" i="38" s="1"/>
  <c r="AI483" i="38"/>
  <c r="AI484" i="38" s="1"/>
  <c r="AI485" i="38" s="1"/>
  <c r="AI486" i="38" s="1"/>
  <c r="AI487" i="38" s="1"/>
  <c r="AI488" i="38" s="1"/>
  <c r="AI489" i="38" s="1"/>
  <c r="AI490" i="38" s="1"/>
  <c r="AH483" i="38"/>
  <c r="AH484" i="38" s="1"/>
  <c r="AH485" i="38" s="1"/>
  <c r="AH486" i="38" s="1"/>
  <c r="AH487" i="38" s="1"/>
  <c r="AH488" i="38" s="1"/>
  <c r="AH489" i="38" s="1"/>
  <c r="AH490" i="38" s="1"/>
  <c r="AG483" i="38"/>
  <c r="AG484" i="38" s="1"/>
  <c r="AJ425" i="38"/>
  <c r="AI425" i="38"/>
  <c r="AH425" i="38"/>
  <c r="AH424" i="38"/>
  <c r="AI424" i="38" s="1"/>
  <c r="AJ424" i="38" s="1"/>
  <c r="AH423" i="38"/>
  <c r="AI423" i="38" s="1"/>
  <c r="AJ423" i="38" s="1"/>
  <c r="AJ422" i="38"/>
  <c r="AH422" i="38"/>
  <c r="AI422" i="38" s="1"/>
  <c r="BC346" i="38"/>
  <c r="BD346" i="38" s="1"/>
  <c r="BE346" i="38" s="1"/>
  <c r="BF346" i="38" s="1"/>
  <c r="BG346" i="38" s="1"/>
  <c r="BC345" i="38"/>
  <c r="BD345" i="38" s="1"/>
  <c r="BE345" i="38" s="1"/>
  <c r="BF345" i="38" s="1"/>
  <c r="BG345" i="38" s="1"/>
  <c r="BF344" i="38"/>
  <c r="BG344" i="38" s="1"/>
  <c r="BD344" i="38"/>
  <c r="BE344" i="38" s="1"/>
  <c r="BC344" i="38"/>
  <c r="BF342" i="38"/>
  <c r="BG342" i="38" s="1"/>
  <c r="BC342" i="38"/>
  <c r="BD342" i="38" s="1"/>
  <c r="BE342" i="38" s="1"/>
  <c r="BC341" i="38"/>
  <c r="BD341" i="38" s="1"/>
  <c r="BE341" i="38" s="1"/>
  <c r="BF341" i="38" s="1"/>
  <c r="BG341" i="38" s="1"/>
  <c r="BE340" i="38"/>
  <c r="BF340" i="38" s="1"/>
  <c r="BG340" i="38" s="1"/>
  <c r="BD340" i="38"/>
  <c r="BC340" i="38"/>
  <c r="BC339" i="38"/>
  <c r="BD339" i="38" s="1"/>
  <c r="BE339" i="38" s="1"/>
  <c r="BF339" i="38" s="1"/>
  <c r="BG339" i="38" s="1"/>
  <c r="BE338" i="38"/>
  <c r="BF338" i="38" s="1"/>
  <c r="BG338" i="38" s="1"/>
  <c r="BC338" i="38"/>
  <c r="BD338" i="38" s="1"/>
  <c r="AO326" i="38"/>
  <c r="AP326" i="38" s="1"/>
  <c r="AQ326" i="38" s="1"/>
  <c r="AR326" i="38" s="1"/>
  <c r="AS326" i="38" s="1"/>
  <c r="AT326" i="38" s="1"/>
  <c r="AU326" i="38" s="1"/>
  <c r="AV326" i="38" s="1"/>
  <c r="AW326" i="38" s="1"/>
  <c r="AX326" i="38" s="1"/>
  <c r="AY326" i="38" s="1"/>
  <c r="AZ326" i="38" s="1"/>
  <c r="BA326" i="38" s="1"/>
  <c r="BB326" i="38" s="1"/>
  <c r="BC326" i="38" s="1"/>
  <c r="BD326" i="38" s="1"/>
  <c r="BE326" i="38" s="1"/>
  <c r="BF326" i="38" s="1"/>
  <c r="BG326" i="38" s="1"/>
  <c r="AO325" i="38"/>
  <c r="AP325" i="38" s="1"/>
  <c r="AQ325" i="38" s="1"/>
  <c r="AR325" i="38" s="1"/>
  <c r="AS325" i="38" s="1"/>
  <c r="AT325" i="38" s="1"/>
  <c r="AU325" i="38" s="1"/>
  <c r="AV325" i="38" s="1"/>
  <c r="AW325" i="38" s="1"/>
  <c r="AX325" i="38" s="1"/>
  <c r="AY325" i="38" s="1"/>
  <c r="AZ325" i="38" s="1"/>
  <c r="BA325" i="38" s="1"/>
  <c r="BB325" i="38" s="1"/>
  <c r="BC325" i="38" s="1"/>
  <c r="BD325" i="38" s="1"/>
  <c r="BE325" i="38" s="1"/>
  <c r="BF325" i="38" s="1"/>
  <c r="BG325" i="38" s="1"/>
  <c r="AO324" i="38"/>
  <c r="AP324" i="38" s="1"/>
  <c r="AQ324" i="38" s="1"/>
  <c r="AR324" i="38" s="1"/>
  <c r="AS324" i="38" s="1"/>
  <c r="AT324" i="38" s="1"/>
  <c r="AU324" i="38" s="1"/>
  <c r="AV324" i="38" s="1"/>
  <c r="AW324" i="38" s="1"/>
  <c r="AX324" i="38" s="1"/>
  <c r="AY324" i="38" s="1"/>
  <c r="AZ324" i="38" s="1"/>
  <c r="BA324" i="38" s="1"/>
  <c r="BB324" i="38" s="1"/>
  <c r="BC324" i="38" s="1"/>
  <c r="BD324" i="38" s="1"/>
  <c r="BE324" i="38" s="1"/>
  <c r="BF324" i="38" s="1"/>
  <c r="BG324" i="38" s="1"/>
  <c r="BE322" i="38"/>
  <c r="BF322" i="38" s="1"/>
  <c r="BG322" i="38" s="1"/>
  <c r="BD322" i="38"/>
  <c r="BC322" i="38"/>
  <c r="AS320" i="38"/>
  <c r="AT320" i="38" s="1"/>
  <c r="AU320" i="38" s="1"/>
  <c r="AV320" i="38" s="1"/>
  <c r="AW320" i="38" s="1"/>
  <c r="AX320" i="38" s="1"/>
  <c r="AY320" i="38" s="1"/>
  <c r="AZ320" i="38" s="1"/>
  <c r="BA320" i="38" s="1"/>
  <c r="BB320" i="38" s="1"/>
  <c r="BC320" i="38" s="1"/>
  <c r="BD320" i="38" s="1"/>
  <c r="BE320" i="38" s="1"/>
  <c r="BF320" i="38" s="1"/>
  <c r="BG320" i="38" s="1"/>
  <c r="AO320" i="38"/>
  <c r="AP320" i="38" s="1"/>
  <c r="AQ320" i="38" s="1"/>
  <c r="AR320" i="38" s="1"/>
  <c r="AR318" i="38"/>
  <c r="AS318" i="38" s="1"/>
  <c r="AT318" i="38" s="1"/>
  <c r="AU318" i="38" s="1"/>
  <c r="AV318" i="38" s="1"/>
  <c r="AW318" i="38" s="1"/>
  <c r="AX318" i="38" s="1"/>
  <c r="AY318" i="38" s="1"/>
  <c r="AZ318" i="38" s="1"/>
  <c r="BA318" i="38" s="1"/>
  <c r="BB318" i="38" s="1"/>
  <c r="BC318" i="38" s="1"/>
  <c r="BD318" i="38" s="1"/>
  <c r="BE318" i="38" s="1"/>
  <c r="BF318" i="38" s="1"/>
  <c r="BG318" i="38" s="1"/>
  <c r="AO318" i="38"/>
  <c r="AP318" i="38" s="1"/>
  <c r="AQ318" i="38" s="1"/>
  <c r="AN318" i="38"/>
  <c r="BD317" i="38"/>
  <c r="BE317" i="38" s="1"/>
  <c r="BF317" i="38" s="1"/>
  <c r="BG317" i="38" s="1"/>
  <c r="BC317" i="38"/>
  <c r="BD316" i="38"/>
  <c r="BE316" i="38" s="1"/>
  <c r="BF316" i="38" s="1"/>
  <c r="BG316" i="38" s="1"/>
  <c r="BC316" i="38"/>
  <c r="AI313" i="38"/>
  <c r="AH313" i="38"/>
  <c r="AG313" i="38"/>
  <c r="AF313" i="38"/>
  <c r="AI309" i="38"/>
  <c r="AH309" i="38"/>
  <c r="AI305" i="38"/>
  <c r="AH305" i="38"/>
  <c r="AG305" i="38"/>
  <c r="AH304" i="38"/>
  <c r="AG304" i="38"/>
  <c r="AE304" i="38"/>
  <c r="AI303" i="38"/>
  <c r="AH303" i="38"/>
  <c r="AG303" i="38"/>
  <c r="AF303" i="38"/>
  <c r="AJ282" i="38"/>
  <c r="AY281" i="38"/>
  <c r="AX281" i="38"/>
  <c r="AW281" i="38"/>
  <c r="AV281" i="38"/>
  <c r="AU281" i="38"/>
  <c r="AT281" i="38"/>
  <c r="AS281" i="38"/>
  <c r="AR281" i="38"/>
  <c r="AQ281" i="38"/>
  <c r="AP281" i="38"/>
  <c r="AO281" i="38"/>
  <c r="AN281" i="38"/>
  <c r="AM281" i="38"/>
  <c r="AL281" i="38"/>
  <c r="AK281" i="38"/>
  <c r="AJ281" i="38"/>
  <c r="AJ272" i="38" s="1"/>
  <c r="AJ280" i="38"/>
  <c r="AJ279" i="38"/>
  <c r="AJ278" i="38"/>
  <c r="AJ274" i="38" s="1"/>
  <c r="AJ275" i="38"/>
  <c r="AI275" i="38"/>
  <c r="AI274" i="38"/>
  <c r="AH274" i="38"/>
  <c r="AG274" i="38"/>
  <c r="AF274" i="38"/>
  <c r="AE274" i="38"/>
  <c r="AD274" i="38"/>
  <c r="AC274" i="38"/>
  <c r="AJ273" i="38"/>
  <c r="AI272" i="38"/>
  <c r="AH272" i="38"/>
  <c r="AG272" i="38"/>
  <c r="AF272" i="38"/>
  <c r="AE272" i="38"/>
  <c r="AJ271" i="38"/>
  <c r="AI271" i="38"/>
  <c r="AJ270" i="38"/>
  <c r="AI270" i="38"/>
  <c r="BC250" i="38"/>
  <c r="BD250" i="38" s="1"/>
  <c r="BE250" i="38" s="1"/>
  <c r="BF250" i="38" s="1"/>
  <c r="BG250" i="38" s="1"/>
  <c r="BC249" i="38"/>
  <c r="BD249" i="38" s="1"/>
  <c r="BE249" i="38" s="1"/>
  <c r="BF249" i="38" s="1"/>
  <c r="BG249" i="38" s="1"/>
  <c r="BC248" i="38"/>
  <c r="BF247" i="38"/>
  <c r="BC247" i="38"/>
  <c r="BD247" i="38" s="1"/>
  <c r="BE247" i="38" s="1"/>
  <c r="BE245" i="38" s="1"/>
  <c r="BB246" i="38"/>
  <c r="BA246" i="38"/>
  <c r="AZ246" i="38"/>
  <c r="AY246" i="38"/>
  <c r="AX246" i="38"/>
  <c r="AW246" i="38"/>
  <c r="AV246" i="38"/>
  <c r="AU246" i="38"/>
  <c r="AT246" i="38"/>
  <c r="AS246" i="38"/>
  <c r="AR246" i="38"/>
  <c r="AQ246" i="38"/>
  <c r="AP246" i="38"/>
  <c r="AO246" i="38"/>
  <c r="AN246" i="38"/>
  <c r="AM246" i="38"/>
  <c r="AL246" i="38"/>
  <c r="AK246" i="38"/>
  <c r="AJ246" i="38"/>
  <c r="AI246" i="38"/>
  <c r="AH246" i="38"/>
  <c r="AG246" i="38"/>
  <c r="AF246" i="38"/>
  <c r="AE246" i="38"/>
  <c r="BD245" i="38"/>
  <c r="BC245" i="38"/>
  <c r="BB245" i="38"/>
  <c r="BA245" i="38"/>
  <c r="AZ245" i="38"/>
  <c r="AY245" i="38"/>
  <c r="AX245" i="38"/>
  <c r="AW245" i="38"/>
  <c r="AV245" i="38"/>
  <c r="AU245" i="38"/>
  <c r="AT245" i="38"/>
  <c r="AS245" i="38"/>
  <c r="AR245" i="38"/>
  <c r="AQ245" i="38"/>
  <c r="AP245" i="38"/>
  <c r="AO245" i="38"/>
  <c r="AN245" i="38"/>
  <c r="AM245" i="38"/>
  <c r="AL245" i="38"/>
  <c r="AK245" i="38"/>
  <c r="AJ245" i="38"/>
  <c r="AI245" i="38"/>
  <c r="AH245" i="38"/>
  <c r="AG245" i="38"/>
  <c r="AF245" i="38"/>
  <c r="AE245" i="38"/>
  <c r="BD244" i="38"/>
  <c r="BE244" i="38" s="1"/>
  <c r="BF244" i="38" s="1"/>
  <c r="BG244" i="38" s="1"/>
  <c r="BA244" i="38"/>
  <c r="BB244" i="38" s="1"/>
  <c r="BC244" i="38" s="1"/>
  <c r="AZ244" i="38"/>
  <c r="BG243" i="38"/>
  <c r="BE243" i="38"/>
  <c r="BF243" i="38" s="1"/>
  <c r="AZ243" i="38"/>
  <c r="BA243" i="38" s="1"/>
  <c r="BB243" i="38" s="1"/>
  <c r="BC243" i="38" s="1"/>
  <c r="BD243" i="38" s="1"/>
  <c r="AZ242" i="38"/>
  <c r="BD238" i="38"/>
  <c r="BE238" i="38" s="1"/>
  <c r="BF238" i="38" s="1"/>
  <c r="BG238" i="38" s="1"/>
  <c r="BC238" i="38"/>
  <c r="BD237" i="38"/>
  <c r="BE237" i="38" s="1"/>
  <c r="BF237" i="38" s="1"/>
  <c r="BG237" i="38" s="1"/>
  <c r="BC237" i="38"/>
  <c r="BF236" i="38"/>
  <c r="BG236" i="38" s="1"/>
  <c r="BC236" i="38"/>
  <c r="BD236" i="38" s="1"/>
  <c r="BE236" i="38" s="1"/>
  <c r="BC235" i="38"/>
  <c r="BD235" i="38" s="1"/>
  <c r="BE235" i="38" s="1"/>
  <c r="BF235" i="38" s="1"/>
  <c r="BG235" i="38" s="1"/>
  <c r="BE234" i="38"/>
  <c r="BF234" i="38" s="1"/>
  <c r="BG234" i="38" s="1"/>
  <c r="BC234" i="38"/>
  <c r="BD234" i="38" s="1"/>
  <c r="BC233" i="38"/>
  <c r="BD233" i="38" s="1"/>
  <c r="BE233" i="38" s="1"/>
  <c r="BF233" i="38" s="1"/>
  <c r="BG233" i="38" s="1"/>
  <c r="BC232" i="38"/>
  <c r="BD232" i="38" s="1"/>
  <c r="BE232" i="38" s="1"/>
  <c r="BF232" i="38" s="1"/>
  <c r="BG232" i="38" s="1"/>
  <c r="BG231" i="38"/>
  <c r="BD231" i="38"/>
  <c r="BE231" i="38" s="1"/>
  <c r="BF231" i="38" s="1"/>
  <c r="BC231" i="38"/>
  <c r="BC230" i="38"/>
  <c r="BD230" i="38" s="1"/>
  <c r="BE230" i="38" s="1"/>
  <c r="BF230" i="38" s="1"/>
  <c r="BG230" i="38" s="1"/>
  <c r="BC229" i="38"/>
  <c r="BD229" i="38" s="1"/>
  <c r="BE229" i="38" s="1"/>
  <c r="BF229" i="38" s="1"/>
  <c r="BG229" i="38" s="1"/>
  <c r="BC228" i="38"/>
  <c r="BD228" i="38" s="1"/>
  <c r="BE228" i="38" s="1"/>
  <c r="BF228" i="38" s="1"/>
  <c r="BG228" i="38" s="1"/>
  <c r="BC227" i="38"/>
  <c r="BD227" i="38" s="1"/>
  <c r="BE227" i="38" s="1"/>
  <c r="BF227" i="38" s="1"/>
  <c r="BG227" i="38" s="1"/>
  <c r="BC226" i="38"/>
  <c r="BD226" i="38" s="1"/>
  <c r="BE226" i="38" s="1"/>
  <c r="BF226" i="38" s="1"/>
  <c r="BG226" i="38" s="1"/>
  <c r="BE225" i="38"/>
  <c r="BF225" i="38" s="1"/>
  <c r="BG225" i="38" s="1"/>
  <c r="BC225" i="38"/>
  <c r="BD225" i="38" s="1"/>
  <c r="AJ224" i="38"/>
  <c r="AJ223" i="38"/>
  <c r="BC222" i="38"/>
  <c r="BD222" i="38" s="1"/>
  <c r="BE222" i="38" s="1"/>
  <c r="BF222" i="38" s="1"/>
  <c r="BG222" i="38" s="1"/>
  <c r="BC221" i="38"/>
  <c r="AZ220" i="38"/>
  <c r="BA220" i="38" s="1"/>
  <c r="BB220" i="38" s="1"/>
  <c r="BC220" i="38" s="1"/>
  <c r="BD220" i="38" s="1"/>
  <c r="BE220" i="38" s="1"/>
  <c r="BF220" i="38" s="1"/>
  <c r="BG220" i="38" s="1"/>
  <c r="AH220" i="38"/>
  <c r="AI220" i="38" s="1"/>
  <c r="AJ220" i="38" s="1"/>
  <c r="AK220" i="38" s="1"/>
  <c r="AL220" i="38" s="1"/>
  <c r="AM220" i="38" s="1"/>
  <c r="AN220" i="38" s="1"/>
  <c r="AO220" i="38" s="1"/>
  <c r="AP220" i="38" s="1"/>
  <c r="AQ220" i="38" s="1"/>
  <c r="AR220" i="38" s="1"/>
  <c r="AS220" i="38" s="1"/>
  <c r="AT220" i="38" s="1"/>
  <c r="AU220" i="38" s="1"/>
  <c r="AV220" i="38" s="1"/>
  <c r="AW220" i="38" s="1"/>
  <c r="AX220" i="38" s="1"/>
  <c r="AZ219" i="38"/>
  <c r="BA219" i="38" s="1"/>
  <c r="BB219" i="38" s="1"/>
  <c r="BC219" i="38" s="1"/>
  <c r="BD219" i="38" s="1"/>
  <c r="BE219" i="38" s="1"/>
  <c r="BF219" i="38" s="1"/>
  <c r="BG219" i="38" s="1"/>
  <c r="AR219" i="38"/>
  <c r="AS219" i="38" s="1"/>
  <c r="AT219" i="38" s="1"/>
  <c r="AU219" i="38" s="1"/>
  <c r="AV219" i="38" s="1"/>
  <c r="AW219" i="38" s="1"/>
  <c r="AX219" i="38" s="1"/>
  <c r="AN219" i="38"/>
  <c r="AO219" i="38" s="1"/>
  <c r="AP219" i="38" s="1"/>
  <c r="AQ219" i="38" s="1"/>
  <c r="AZ218" i="38"/>
  <c r="BA218" i="38" s="1"/>
  <c r="BB218" i="38" s="1"/>
  <c r="BC218" i="38" s="1"/>
  <c r="BD218" i="38" s="1"/>
  <c r="BE218" i="38" s="1"/>
  <c r="BF218" i="38" s="1"/>
  <c r="BG218" i="38" s="1"/>
  <c r="AN218" i="38"/>
  <c r="AO218" i="38" s="1"/>
  <c r="AP218" i="38" s="1"/>
  <c r="AQ218" i="38" s="1"/>
  <c r="AR218" i="38" s="1"/>
  <c r="AS218" i="38" s="1"/>
  <c r="AT218" i="38" s="1"/>
  <c r="AU218" i="38" s="1"/>
  <c r="AV218" i="38" s="1"/>
  <c r="AW218" i="38" s="1"/>
  <c r="AX218" i="38" s="1"/>
  <c r="AG217" i="38"/>
  <c r="AH217" i="38" s="1"/>
  <c r="AI217" i="38" s="1"/>
  <c r="AJ217" i="38" s="1"/>
  <c r="AK217" i="38" s="1"/>
  <c r="AL217" i="38" s="1"/>
  <c r="AM217" i="38" s="1"/>
  <c r="AN217" i="38" s="1"/>
  <c r="AO217" i="38" s="1"/>
  <c r="AP217" i="38" s="1"/>
  <c r="AQ217" i="38" s="1"/>
  <c r="AR217" i="38" s="1"/>
  <c r="AS217" i="38" s="1"/>
  <c r="AT217" i="38" s="1"/>
  <c r="AU217" i="38" s="1"/>
  <c r="AV217" i="38" s="1"/>
  <c r="AW217" i="38" s="1"/>
  <c r="AX217" i="38" s="1"/>
  <c r="BC216" i="38"/>
  <c r="BD216" i="38" s="1"/>
  <c r="BE216" i="38" s="1"/>
  <c r="BF216" i="38" s="1"/>
  <c r="BG216" i="38" s="1"/>
  <c r="AZ215" i="38"/>
  <c r="BA215" i="38" s="1"/>
  <c r="BB215" i="38" s="1"/>
  <c r="BC215" i="38" s="1"/>
  <c r="BD215" i="38" s="1"/>
  <c r="BE215" i="38" s="1"/>
  <c r="BF215" i="38" s="1"/>
  <c r="BG215" i="38" s="1"/>
  <c r="AN215" i="38"/>
  <c r="AO215" i="38" s="1"/>
  <c r="AP215" i="38" s="1"/>
  <c r="AQ215" i="38" s="1"/>
  <c r="AR215" i="38" s="1"/>
  <c r="AS215" i="38" s="1"/>
  <c r="AT215" i="38" s="1"/>
  <c r="AU215" i="38" s="1"/>
  <c r="AV215" i="38" s="1"/>
  <c r="AW215" i="38" s="1"/>
  <c r="AX215" i="38" s="1"/>
  <c r="AZ214" i="38"/>
  <c r="BA214" i="38" s="1"/>
  <c r="BB214" i="38" s="1"/>
  <c r="BC214" i="38" s="1"/>
  <c r="BD214" i="38" s="1"/>
  <c r="BE214" i="38" s="1"/>
  <c r="BF214" i="38" s="1"/>
  <c r="BG214" i="38" s="1"/>
  <c r="AN214" i="38"/>
  <c r="AO214" i="38" s="1"/>
  <c r="AP214" i="38" s="1"/>
  <c r="AQ214" i="38" s="1"/>
  <c r="AR214" i="38" s="1"/>
  <c r="AS214" i="38" s="1"/>
  <c r="AT214" i="38" s="1"/>
  <c r="AU214" i="38" s="1"/>
  <c r="AV214" i="38" s="1"/>
  <c r="AW214" i="38" s="1"/>
  <c r="AX214" i="38" s="1"/>
  <c r="AZ213" i="38"/>
  <c r="BA213" i="38" s="1"/>
  <c r="BB213" i="38" s="1"/>
  <c r="BC213" i="38" s="1"/>
  <c r="BD213" i="38" s="1"/>
  <c r="BE213" i="38" s="1"/>
  <c r="BF213" i="38" s="1"/>
  <c r="BG213" i="38" s="1"/>
  <c r="AN213" i="38"/>
  <c r="AO213" i="38" s="1"/>
  <c r="AP213" i="38" s="1"/>
  <c r="AQ213" i="38" s="1"/>
  <c r="AR213" i="38" s="1"/>
  <c r="AS213" i="38" s="1"/>
  <c r="AT213" i="38" s="1"/>
  <c r="AU213" i="38" s="1"/>
  <c r="AV213" i="38" s="1"/>
  <c r="AW213" i="38" s="1"/>
  <c r="AX213" i="38" s="1"/>
  <c r="BB212" i="38"/>
  <c r="BC212" i="38" s="1"/>
  <c r="BD212" i="38" s="1"/>
  <c r="BE212" i="38" s="1"/>
  <c r="BF212" i="38" s="1"/>
  <c r="BG212" i="38" s="1"/>
  <c r="AZ212" i="38"/>
  <c r="BA212" i="38" s="1"/>
  <c r="AO212" i="38"/>
  <c r="AP212" i="38" s="1"/>
  <c r="AQ212" i="38" s="1"/>
  <c r="AR212" i="38" s="1"/>
  <c r="AS212" i="38" s="1"/>
  <c r="AT212" i="38" s="1"/>
  <c r="AU212" i="38" s="1"/>
  <c r="AV212" i="38" s="1"/>
  <c r="AW212" i="38" s="1"/>
  <c r="AX212" i="38" s="1"/>
  <c r="AN212" i="38"/>
  <c r="BA211" i="38"/>
  <c r="BB211" i="38" s="1"/>
  <c r="BC211" i="38" s="1"/>
  <c r="BD211" i="38" s="1"/>
  <c r="BE211" i="38" s="1"/>
  <c r="BF211" i="38" s="1"/>
  <c r="BG211" i="38" s="1"/>
  <c r="AZ211" i="38"/>
  <c r="AO211" i="38"/>
  <c r="AP211" i="38" s="1"/>
  <c r="AQ211" i="38" s="1"/>
  <c r="AR211" i="38" s="1"/>
  <c r="AS211" i="38" s="1"/>
  <c r="AT211" i="38" s="1"/>
  <c r="AU211" i="38" s="1"/>
  <c r="AV211" i="38" s="1"/>
  <c r="AW211" i="38" s="1"/>
  <c r="AX211" i="38" s="1"/>
  <c r="AN211" i="38"/>
  <c r="BD210" i="38"/>
  <c r="BE210" i="38" s="1"/>
  <c r="BF210" i="38" s="1"/>
  <c r="BG210" i="38" s="1"/>
  <c r="BA210" i="38"/>
  <c r="BB210" i="38" s="1"/>
  <c r="BC210" i="38" s="1"/>
  <c r="AZ210" i="38"/>
  <c r="AO210" i="38"/>
  <c r="AP210" i="38" s="1"/>
  <c r="AQ210" i="38" s="1"/>
  <c r="AR210" i="38" s="1"/>
  <c r="AS210" i="38" s="1"/>
  <c r="AT210" i="38" s="1"/>
  <c r="AU210" i="38" s="1"/>
  <c r="AV210" i="38" s="1"/>
  <c r="AW210" i="38" s="1"/>
  <c r="AX210" i="38" s="1"/>
  <c r="AN210" i="38"/>
  <c r="AZ209" i="38"/>
  <c r="BA209" i="38" s="1"/>
  <c r="BB209" i="38" s="1"/>
  <c r="BC209" i="38" s="1"/>
  <c r="BD209" i="38" s="1"/>
  <c r="BE209" i="38" s="1"/>
  <c r="BF209" i="38" s="1"/>
  <c r="BG209" i="38" s="1"/>
  <c r="AO209" i="38"/>
  <c r="AP209" i="38" s="1"/>
  <c r="AQ209" i="38" s="1"/>
  <c r="AR209" i="38" s="1"/>
  <c r="AS209" i="38" s="1"/>
  <c r="AT209" i="38" s="1"/>
  <c r="AU209" i="38" s="1"/>
  <c r="AV209" i="38" s="1"/>
  <c r="AW209" i="38" s="1"/>
  <c r="AX209" i="38" s="1"/>
  <c r="AN209" i="38"/>
  <c r="AI207" i="38"/>
  <c r="AJ207" i="38" s="1"/>
  <c r="AH207" i="38"/>
  <c r="AJ206" i="38"/>
  <c r="AK205" i="38"/>
  <c r="AJ205" i="38"/>
  <c r="AI202" i="38"/>
  <c r="AH202" i="38"/>
  <c r="AH203" i="38" s="1"/>
  <c r="AH204" i="38" s="1"/>
  <c r="AG202" i="38"/>
  <c r="AG203" i="38" s="1"/>
  <c r="AG204" i="38" s="1"/>
  <c r="AJ201" i="38"/>
  <c r="AH200" i="38"/>
  <c r="AI200" i="38" s="1"/>
  <c r="AJ200" i="38" s="1"/>
  <c r="AK200" i="38" s="1"/>
  <c r="AJ199" i="38"/>
  <c r="AI198" i="38"/>
  <c r="AJ198" i="38" s="1"/>
  <c r="AK198" i="38" s="1"/>
  <c r="AI197" i="38"/>
  <c r="AJ197" i="38" s="1"/>
  <c r="AH197" i="38"/>
  <c r="AH198" i="38" s="1"/>
  <c r="AG197" i="38"/>
  <c r="AG198" i="38" s="1"/>
  <c r="AJ196" i="38"/>
  <c r="AK196" i="38" s="1"/>
  <c r="AZ195" i="38"/>
  <c r="BA195" i="38" s="1"/>
  <c r="BB195" i="38" s="1"/>
  <c r="BC195" i="38" s="1"/>
  <c r="BD195" i="38" s="1"/>
  <c r="BE195" i="38" s="1"/>
  <c r="BF195" i="38" s="1"/>
  <c r="BG195" i="38" s="1"/>
  <c r="AK195" i="38"/>
  <c r="AL195" i="38" s="1"/>
  <c r="AM195" i="38" s="1"/>
  <c r="AN195" i="38" s="1"/>
  <c r="AO195" i="38" s="1"/>
  <c r="AP195" i="38" s="1"/>
  <c r="AQ195" i="38" s="1"/>
  <c r="AR195" i="38" s="1"/>
  <c r="AS195" i="38" s="1"/>
  <c r="AT195" i="38" s="1"/>
  <c r="AU195" i="38" s="1"/>
  <c r="AV195" i="38" s="1"/>
  <c r="AW195" i="38" s="1"/>
  <c r="AX195" i="38" s="1"/>
  <c r="AG195" i="38"/>
  <c r="AH195" i="38" s="1"/>
  <c r="AI195" i="38" s="1"/>
  <c r="AJ195" i="38" s="1"/>
  <c r="BC194" i="38"/>
  <c r="BD194" i="38" s="1"/>
  <c r="BE194" i="38" s="1"/>
  <c r="BC193" i="38"/>
  <c r="BD193" i="38" s="1"/>
  <c r="BE193" i="38" s="1"/>
  <c r="BF193" i="38" s="1"/>
  <c r="BG193" i="38" s="1"/>
  <c r="BC192" i="38"/>
  <c r="BD192" i="38" s="1"/>
  <c r="BE192" i="38" s="1"/>
  <c r="BF192" i="38" s="1"/>
  <c r="BG192" i="38" s="1"/>
  <c r="BC191" i="38"/>
  <c r="BD191" i="38" s="1"/>
  <c r="BE191" i="38" s="1"/>
  <c r="BF191" i="38" s="1"/>
  <c r="BG191" i="38" s="1"/>
  <c r="BC190" i="38"/>
  <c r="BD190" i="38" s="1"/>
  <c r="BE190" i="38" s="1"/>
  <c r="BF190" i="38" s="1"/>
  <c r="BG190" i="38" s="1"/>
  <c r="BC189" i="38"/>
  <c r="BD189" i="38" s="1"/>
  <c r="BE189" i="38" s="1"/>
  <c r="BF189" i="38" s="1"/>
  <c r="BG189" i="38" s="1"/>
  <c r="BC188" i="38"/>
  <c r="BD188" i="38" s="1"/>
  <c r="BE188" i="38" s="1"/>
  <c r="BF188" i="38" s="1"/>
  <c r="BG188" i="38" s="1"/>
  <c r="BE187" i="38"/>
  <c r="BF187" i="38" s="1"/>
  <c r="BG187" i="38" s="1"/>
  <c r="BC187" i="38"/>
  <c r="BD187" i="38" s="1"/>
  <c r="BC186" i="38"/>
  <c r="BD186" i="38" s="1"/>
  <c r="BE186" i="38" s="1"/>
  <c r="BF186" i="38" s="1"/>
  <c r="BG186" i="38" s="1"/>
  <c r="BD185" i="38"/>
  <c r="BE185" i="38" s="1"/>
  <c r="BF185" i="38" s="1"/>
  <c r="BG185" i="38" s="1"/>
  <c r="BC185" i="38"/>
  <c r="BD184" i="38"/>
  <c r="BE184" i="38" s="1"/>
  <c r="BF184" i="38" s="1"/>
  <c r="BG184" i="38" s="1"/>
  <c r="BC184" i="38"/>
  <c r="BC183" i="38"/>
  <c r="BD183" i="38" s="1"/>
  <c r="BE183" i="38" s="1"/>
  <c r="BF183" i="38" s="1"/>
  <c r="BG183" i="38" s="1"/>
  <c r="BC182" i="38"/>
  <c r="BD182" i="38" s="1"/>
  <c r="BE182" i="38" s="1"/>
  <c r="BF182" i="38" s="1"/>
  <c r="BG182" i="38" s="1"/>
  <c r="BC181" i="38"/>
  <c r="BD181" i="38" s="1"/>
  <c r="BE181" i="38" s="1"/>
  <c r="BF181" i="38" s="1"/>
  <c r="BG181" i="38" s="1"/>
  <c r="BC180" i="38"/>
  <c r="BD180" i="38" s="1"/>
  <c r="BE180" i="38" s="1"/>
  <c r="BF180" i="38" s="1"/>
  <c r="BG180" i="38" s="1"/>
  <c r="BE179" i="38"/>
  <c r="BF179" i="38" s="1"/>
  <c r="BG179" i="38" s="1"/>
  <c r="BC179" i="38"/>
  <c r="BD179" i="38" s="1"/>
  <c r="BC178" i="38"/>
  <c r="BD178" i="38" s="1"/>
  <c r="BE178" i="38" s="1"/>
  <c r="BF178" i="38" s="1"/>
  <c r="BG178" i="38" s="1"/>
  <c r="BC177" i="38"/>
  <c r="BD177" i="38" s="1"/>
  <c r="BE177" i="38" s="1"/>
  <c r="BF177" i="38" s="1"/>
  <c r="BG177" i="38" s="1"/>
  <c r="BC176" i="38"/>
  <c r="BD176" i="38" s="1"/>
  <c r="BE176" i="38" s="1"/>
  <c r="BF176" i="38" s="1"/>
  <c r="BG176" i="38" s="1"/>
  <c r="BC174" i="38"/>
  <c r="BD174" i="38" s="1"/>
  <c r="BE174" i="38" s="1"/>
  <c r="BF174" i="38" s="1"/>
  <c r="BG174" i="38" s="1"/>
  <c r="BC173" i="38"/>
  <c r="BD173" i="38" s="1"/>
  <c r="BE173" i="38" s="1"/>
  <c r="BF173" i="38" s="1"/>
  <c r="BG173" i="38" s="1"/>
  <c r="BC172" i="38"/>
  <c r="BD172" i="38" s="1"/>
  <c r="BE172" i="38" s="1"/>
  <c r="BF172" i="38" s="1"/>
  <c r="BG172" i="38" s="1"/>
  <c r="BC171" i="38"/>
  <c r="BD171" i="38" s="1"/>
  <c r="BE171" i="38" s="1"/>
  <c r="BF171" i="38" s="1"/>
  <c r="BG171" i="38" s="1"/>
  <c r="BE170" i="38"/>
  <c r="BF170" i="38" s="1"/>
  <c r="BG170" i="38" s="1"/>
  <c r="BC170" i="38"/>
  <c r="BD170" i="38" s="1"/>
  <c r="BC169" i="38"/>
  <c r="BD169" i="38" s="1"/>
  <c r="BE169" i="38" s="1"/>
  <c r="BF169" i="38" s="1"/>
  <c r="BG169" i="38" s="1"/>
  <c r="BD168" i="38"/>
  <c r="BE168" i="38" s="1"/>
  <c r="BF168" i="38" s="1"/>
  <c r="BG168" i="38" s="1"/>
  <c r="BC168" i="38"/>
  <c r="BD167" i="38"/>
  <c r="BE167" i="38" s="1"/>
  <c r="BF167" i="38" s="1"/>
  <c r="BG167" i="38" s="1"/>
  <c r="BC167" i="38"/>
  <c r="BC166" i="38"/>
  <c r="BD166" i="38" s="1"/>
  <c r="BE166" i="38" s="1"/>
  <c r="BF166" i="38" s="1"/>
  <c r="BG166" i="38" s="1"/>
  <c r="BC165" i="38"/>
  <c r="BD165" i="38" s="1"/>
  <c r="BE165" i="38" s="1"/>
  <c r="BF165" i="38" s="1"/>
  <c r="BG165" i="38" s="1"/>
  <c r="BC164" i="38"/>
  <c r="BD164" i="38" s="1"/>
  <c r="BE164" i="38" s="1"/>
  <c r="BF164" i="38" s="1"/>
  <c r="BG164" i="38" s="1"/>
  <c r="BC163" i="38"/>
  <c r="BD163" i="38" s="1"/>
  <c r="BE163" i="38" s="1"/>
  <c r="BF163" i="38" s="1"/>
  <c r="BG163" i="38" s="1"/>
  <c r="BE162" i="38"/>
  <c r="BF162" i="38" s="1"/>
  <c r="BG162" i="38" s="1"/>
  <c r="BC162" i="38"/>
  <c r="BD162" i="38" s="1"/>
  <c r="BC161" i="38"/>
  <c r="BD161" i="38" s="1"/>
  <c r="BE161" i="38" s="1"/>
  <c r="BF161" i="38" s="1"/>
  <c r="BG161" i="38" s="1"/>
  <c r="BC160" i="38"/>
  <c r="BD160" i="38" s="1"/>
  <c r="BE160" i="38" s="1"/>
  <c r="BF160" i="38" s="1"/>
  <c r="BG160" i="38" s="1"/>
  <c r="BC159" i="38"/>
  <c r="BD159" i="38" s="1"/>
  <c r="BE159" i="38" s="1"/>
  <c r="BF159" i="38" s="1"/>
  <c r="BG159" i="38" s="1"/>
  <c r="BC158" i="38"/>
  <c r="BD158" i="38" s="1"/>
  <c r="BE158" i="38" s="1"/>
  <c r="BF158" i="38" s="1"/>
  <c r="BG158" i="38" s="1"/>
  <c r="BC157" i="38"/>
  <c r="BD157" i="38" s="1"/>
  <c r="BE157" i="38" s="1"/>
  <c r="BF157" i="38" s="1"/>
  <c r="BG157" i="38" s="1"/>
  <c r="BC156" i="38"/>
  <c r="BD156" i="38" s="1"/>
  <c r="BE156" i="38" s="1"/>
  <c r="BF156" i="38" s="1"/>
  <c r="BG156" i="38" s="1"/>
  <c r="BC155" i="38"/>
  <c r="BD155" i="38" s="1"/>
  <c r="BE155" i="38" s="1"/>
  <c r="BF155" i="38" s="1"/>
  <c r="BG155" i="38" s="1"/>
  <c r="BE154" i="38"/>
  <c r="BF154" i="38" s="1"/>
  <c r="BG154" i="38" s="1"/>
  <c r="BC154" i="38"/>
  <c r="BD154" i="38" s="1"/>
  <c r="BC153" i="38"/>
  <c r="BD153" i="38" s="1"/>
  <c r="BE153" i="38" s="1"/>
  <c r="BF153" i="38" s="1"/>
  <c r="BG153" i="38" s="1"/>
  <c r="BD152" i="38"/>
  <c r="BE152" i="38" s="1"/>
  <c r="BF152" i="38" s="1"/>
  <c r="BG152" i="38" s="1"/>
  <c r="BC152" i="38"/>
  <c r="BD134" i="38"/>
  <c r="BE134" i="38" s="1"/>
  <c r="BF134" i="38" s="1"/>
  <c r="BG134" i="38" s="1"/>
  <c r="BC134" i="38"/>
  <c r="BB133" i="38"/>
  <c r="BC133" i="38" s="1"/>
  <c r="BD133" i="38" s="1"/>
  <c r="BE133" i="38" s="1"/>
  <c r="BF133" i="38" s="1"/>
  <c r="BG133" i="38" s="1"/>
  <c r="BA133" i="38"/>
  <c r="AZ133" i="38"/>
  <c r="AZ132" i="38"/>
  <c r="BA132" i="38" s="1"/>
  <c r="BB132" i="38" s="1"/>
  <c r="BC132" i="38" s="1"/>
  <c r="BD132" i="38" s="1"/>
  <c r="BE132" i="38" s="1"/>
  <c r="BF132" i="38" s="1"/>
  <c r="BG132" i="38" s="1"/>
  <c r="AZ131" i="38"/>
  <c r="BA131" i="38" s="1"/>
  <c r="BB131" i="38" s="1"/>
  <c r="BC131" i="38" s="1"/>
  <c r="BD131" i="38" s="1"/>
  <c r="BE131" i="38" s="1"/>
  <c r="BF131" i="38" s="1"/>
  <c r="BG131" i="38" s="1"/>
  <c r="AZ130" i="38"/>
  <c r="BA130" i="38" s="1"/>
  <c r="BB130" i="38" s="1"/>
  <c r="BC130" i="38" s="1"/>
  <c r="BD130" i="38" s="1"/>
  <c r="BE130" i="38" s="1"/>
  <c r="BF130" i="38" s="1"/>
  <c r="BG130" i="38" s="1"/>
  <c r="BA129" i="38"/>
  <c r="BB129" i="38" s="1"/>
  <c r="BC129" i="38" s="1"/>
  <c r="BD129" i="38" s="1"/>
  <c r="BE129" i="38" s="1"/>
  <c r="BF129" i="38" s="1"/>
  <c r="BG129" i="38" s="1"/>
  <c r="AZ129" i="38"/>
  <c r="AZ128" i="38"/>
  <c r="BA128" i="38" s="1"/>
  <c r="BB128" i="38" s="1"/>
  <c r="BC128" i="38" s="1"/>
  <c r="BD128" i="38" s="1"/>
  <c r="BE128" i="38" s="1"/>
  <c r="BF128" i="38" s="1"/>
  <c r="BG128" i="38" s="1"/>
  <c r="BB127" i="38"/>
  <c r="BA127" i="38"/>
  <c r="AZ127" i="38"/>
  <c r="AY127" i="38"/>
  <c r="AX127" i="38"/>
  <c r="AW127" i="38"/>
  <c r="AV127" i="38"/>
  <c r="AU127" i="38"/>
  <c r="AT127" i="38"/>
  <c r="AS127" i="38"/>
  <c r="AR127" i="38"/>
  <c r="AQ127" i="38"/>
  <c r="AP127" i="38"/>
  <c r="AO127" i="38"/>
  <c r="AN127" i="38"/>
  <c r="AM127" i="38"/>
  <c r="AL127" i="38"/>
  <c r="AK127" i="38"/>
  <c r="AJ127" i="38"/>
  <c r="AI127" i="38"/>
  <c r="AH127" i="38"/>
  <c r="AG127" i="38"/>
  <c r="AF127" i="38"/>
  <c r="AE127" i="38"/>
  <c r="BC126" i="38"/>
  <c r="BC125" i="38"/>
  <c r="BD125" i="38" s="1"/>
  <c r="BE125" i="38" s="1"/>
  <c r="BF125" i="38" s="1"/>
  <c r="BG125" i="38" s="1"/>
  <c r="BD124" i="38"/>
  <c r="BE124" i="38" s="1"/>
  <c r="BF124" i="38" s="1"/>
  <c r="BG124" i="38" s="1"/>
  <c r="BC124" i="38"/>
  <c r="BC123" i="38"/>
  <c r="BD123" i="38" s="1"/>
  <c r="BE123" i="38" s="1"/>
  <c r="BF123" i="38" s="1"/>
  <c r="BG123" i="38" s="1"/>
  <c r="BC122" i="38"/>
  <c r="BD122" i="38" s="1"/>
  <c r="BE122" i="38" s="1"/>
  <c r="BF122" i="38" s="1"/>
  <c r="BG122" i="38" s="1"/>
  <c r="BC121" i="38"/>
  <c r="BD121" i="38" s="1"/>
  <c r="BE121" i="38" s="1"/>
  <c r="BF121" i="38" s="1"/>
  <c r="BG121" i="38" s="1"/>
  <c r="AI48" i="38"/>
  <c r="AH48" i="38"/>
  <c r="AG48" i="38"/>
  <c r="AF48" i="38"/>
  <c r="AJ47" i="38"/>
  <c r="AJ48" i="38" s="1"/>
  <c r="AI45" i="38"/>
  <c r="AH45" i="38"/>
  <c r="AG45" i="38"/>
  <c r="AF45" i="38"/>
  <c r="AE45" i="38"/>
  <c r="AH44" i="38"/>
  <c r="AI44" i="38" s="1"/>
  <c r="AG44" i="38"/>
  <c r="AF44" i="38"/>
  <c r="AF46" i="38" s="1"/>
  <c r="AE44" i="38"/>
  <c r="AE46" i="38" s="1"/>
  <c r="AJ43" i="38"/>
  <c r="AI42" i="38"/>
  <c r="AH42" i="38"/>
  <c r="AH41" i="38"/>
  <c r="AH26" i="38" s="1"/>
  <c r="AJ39" i="38"/>
  <c r="AJ49" i="38" s="1"/>
  <c r="AK37" i="38"/>
  <c r="AL37" i="38" s="1"/>
  <c r="AM37" i="38" s="1"/>
  <c r="AN37" i="38" s="1"/>
  <c r="AO37" i="38" s="1"/>
  <c r="AP37" i="38" s="1"/>
  <c r="AQ37" i="38" s="1"/>
  <c r="AR37" i="38" s="1"/>
  <c r="AS37" i="38" s="1"/>
  <c r="AT37" i="38" s="1"/>
  <c r="AU37" i="38" s="1"/>
  <c r="AV37" i="38" s="1"/>
  <c r="AW37" i="38" s="1"/>
  <c r="AX37" i="38" s="1"/>
  <c r="AY37" i="38" s="1"/>
  <c r="AZ37" i="38" s="1"/>
  <c r="BA37" i="38" s="1"/>
  <c r="BB37" i="38" s="1"/>
  <c r="BC37" i="38" s="1"/>
  <c r="BD37" i="38" s="1"/>
  <c r="BE37" i="38" s="1"/>
  <c r="BF37" i="38" s="1"/>
  <c r="BG37" i="38" s="1"/>
  <c r="AJ36" i="38"/>
  <c r="AJ529" i="38" s="1"/>
  <c r="AI36" i="38"/>
  <c r="AH36" i="38"/>
  <c r="AH529" i="38" s="1"/>
  <c r="AG36" i="38"/>
  <c r="AG529" i="38" s="1"/>
  <c r="AF36" i="38"/>
  <c r="AF529" i="38" s="1"/>
  <c r="AE36" i="38"/>
  <c r="AE529" i="38" s="1"/>
  <c r="AJ35" i="38"/>
  <c r="AJ528" i="38" s="1"/>
  <c r="AK34" i="38"/>
  <c r="AL34" i="38" s="1"/>
  <c r="AM34" i="38" s="1"/>
  <c r="AN34" i="38" s="1"/>
  <c r="AO34" i="38" s="1"/>
  <c r="AP34" i="38" s="1"/>
  <c r="AQ34" i="38" s="1"/>
  <c r="AR34" i="38" s="1"/>
  <c r="AS34" i="38" s="1"/>
  <c r="AT34" i="38" s="1"/>
  <c r="AU34" i="38" s="1"/>
  <c r="AV34" i="38" s="1"/>
  <c r="AW34" i="38" s="1"/>
  <c r="AX34" i="38" s="1"/>
  <c r="AY34" i="38" s="1"/>
  <c r="AZ34" i="38" s="1"/>
  <c r="BA34" i="38" s="1"/>
  <c r="BB34" i="38" s="1"/>
  <c r="BC34" i="38" s="1"/>
  <c r="BD34" i="38" s="1"/>
  <c r="BE34" i="38" s="1"/>
  <c r="BF34" i="38" s="1"/>
  <c r="BG34" i="38" s="1"/>
  <c r="AI34" i="38"/>
  <c r="AE34" i="38"/>
  <c r="AF34" i="38" s="1"/>
  <c r="AL33" i="38"/>
  <c r="AM33" i="38" s="1"/>
  <c r="AN33" i="38" s="1"/>
  <c r="AO33" i="38" s="1"/>
  <c r="AP33" i="38" s="1"/>
  <c r="AQ33" i="38" s="1"/>
  <c r="AR33" i="38" s="1"/>
  <c r="AS33" i="38" s="1"/>
  <c r="AT33" i="38" s="1"/>
  <c r="AU33" i="38" s="1"/>
  <c r="AV33" i="38" s="1"/>
  <c r="AW33" i="38" s="1"/>
  <c r="AX33" i="38" s="1"/>
  <c r="AY33" i="38" s="1"/>
  <c r="AZ33" i="38" s="1"/>
  <c r="BA33" i="38" s="1"/>
  <c r="BB33" i="38" s="1"/>
  <c r="BC33" i="38" s="1"/>
  <c r="BD33" i="38" s="1"/>
  <c r="BE33" i="38" s="1"/>
  <c r="BF33" i="38" s="1"/>
  <c r="BG33" i="38" s="1"/>
  <c r="AK33" i="38"/>
  <c r="AI33" i="38"/>
  <c r="AE33" i="38"/>
  <c r="AF33" i="38" s="1"/>
  <c r="AL32" i="38"/>
  <c r="AM32" i="38" s="1"/>
  <c r="AN32" i="38" s="1"/>
  <c r="AO32" i="38" s="1"/>
  <c r="AP32" i="38" s="1"/>
  <c r="AQ32" i="38" s="1"/>
  <c r="AR32" i="38" s="1"/>
  <c r="AS32" i="38" s="1"/>
  <c r="AT32" i="38" s="1"/>
  <c r="AU32" i="38" s="1"/>
  <c r="AV32" i="38" s="1"/>
  <c r="AW32" i="38" s="1"/>
  <c r="AX32" i="38" s="1"/>
  <c r="AY32" i="38" s="1"/>
  <c r="AZ32" i="38" s="1"/>
  <c r="BA32" i="38" s="1"/>
  <c r="BB32" i="38" s="1"/>
  <c r="BC32" i="38" s="1"/>
  <c r="BD32" i="38" s="1"/>
  <c r="BE32" i="38" s="1"/>
  <c r="BF32" i="38" s="1"/>
  <c r="BG32" i="38" s="1"/>
  <c r="AK32" i="38"/>
  <c r="AI32" i="38"/>
  <c r="AE32" i="38"/>
  <c r="AF32" i="38" s="1"/>
  <c r="AL31" i="38"/>
  <c r="AM31" i="38" s="1"/>
  <c r="AN31" i="38" s="1"/>
  <c r="AO31" i="38" s="1"/>
  <c r="AP31" i="38" s="1"/>
  <c r="AQ31" i="38" s="1"/>
  <c r="AR31" i="38" s="1"/>
  <c r="AS31" i="38" s="1"/>
  <c r="AT31" i="38" s="1"/>
  <c r="AU31" i="38" s="1"/>
  <c r="AV31" i="38" s="1"/>
  <c r="AW31" i="38" s="1"/>
  <c r="AX31" i="38" s="1"/>
  <c r="AY31" i="38" s="1"/>
  <c r="AZ31" i="38" s="1"/>
  <c r="BA31" i="38" s="1"/>
  <c r="BB31" i="38" s="1"/>
  <c r="BC31" i="38" s="1"/>
  <c r="BD31" i="38" s="1"/>
  <c r="BE31" i="38" s="1"/>
  <c r="BF31" i="38" s="1"/>
  <c r="BG31" i="38" s="1"/>
  <c r="AK31" i="38"/>
  <c r="AI31" i="38"/>
  <c r="AE31" i="38"/>
  <c r="AF31" i="38" s="1"/>
  <c r="AJ30" i="38"/>
  <c r="AI30" i="38"/>
  <c r="AH30" i="38"/>
  <c r="AG30" i="38"/>
  <c r="AF30" i="38"/>
  <c r="AE30" i="38"/>
  <c r="AK29" i="38"/>
  <c r="AK30" i="38" s="1"/>
  <c r="BB28" i="38"/>
  <c r="BA28" i="38"/>
  <c r="AZ28" i="38"/>
  <c r="AY28" i="38"/>
  <c r="AJ28" i="38"/>
  <c r="AI28" i="38"/>
  <c r="AH28" i="38"/>
  <c r="AG28" i="38"/>
  <c r="AF28" i="38"/>
  <c r="AE28" i="38"/>
  <c r="AF27" i="38"/>
  <c r="AE27" i="38"/>
  <c r="AG26" i="38"/>
  <c r="AF26" i="38"/>
  <c r="AE26" i="38"/>
  <c r="AI24" i="38"/>
  <c r="AH24" i="38"/>
  <c r="AG24" i="38"/>
  <c r="AF24" i="38"/>
  <c r="AE24" i="38"/>
  <c r="AJ22" i="38"/>
  <c r="AK20" i="38"/>
  <c r="AL20" i="38" s="1"/>
  <c r="AM20" i="38" s="1"/>
  <c r="AN20" i="38" s="1"/>
  <c r="AO20" i="38" s="1"/>
  <c r="AP20" i="38" s="1"/>
  <c r="AQ20" i="38" s="1"/>
  <c r="AR20" i="38" s="1"/>
  <c r="AS20" i="38" s="1"/>
  <c r="AT20" i="38" s="1"/>
  <c r="AU20" i="38" s="1"/>
  <c r="AV20" i="38" s="1"/>
  <c r="AW20" i="38" s="1"/>
  <c r="AX20" i="38" s="1"/>
  <c r="AY20" i="38" s="1"/>
  <c r="AZ20" i="38" s="1"/>
  <c r="BA20" i="38" s="1"/>
  <c r="BB20" i="38" s="1"/>
  <c r="BC20" i="38" s="1"/>
  <c r="BD20" i="38" s="1"/>
  <c r="BE20" i="38" s="1"/>
  <c r="BF20" i="38" s="1"/>
  <c r="BG20" i="38" s="1"/>
  <c r="AJ19" i="38"/>
  <c r="AK18" i="38"/>
  <c r="AL18" i="38" s="1"/>
  <c r="AM18" i="38" s="1"/>
  <c r="AN18" i="38" s="1"/>
  <c r="AO18" i="38" s="1"/>
  <c r="AP18" i="38" s="1"/>
  <c r="AQ18" i="38" s="1"/>
  <c r="AR18" i="38" s="1"/>
  <c r="AS18" i="38" s="1"/>
  <c r="AT18" i="38" s="1"/>
  <c r="AU18" i="38" s="1"/>
  <c r="AV18" i="38" s="1"/>
  <c r="AW18" i="38" s="1"/>
  <c r="AX18" i="38" s="1"/>
  <c r="AY18" i="38" s="1"/>
  <c r="AZ18" i="38" s="1"/>
  <c r="BA18" i="38" s="1"/>
  <c r="BB18" i="38" s="1"/>
  <c r="BC18" i="38" s="1"/>
  <c r="BD18" i="38" s="1"/>
  <c r="BE18" i="38" s="1"/>
  <c r="BF18" i="38" s="1"/>
  <c r="BG18" i="38" s="1"/>
  <c r="AI18" i="38"/>
  <c r="AE18" i="38"/>
  <c r="AF18" i="38" s="1"/>
  <c r="AE17" i="38"/>
  <c r="AF17" i="38" s="1"/>
  <c r="AG17" i="38" s="1"/>
  <c r="AH17" i="38" s="1"/>
  <c r="AI17" i="38" s="1"/>
  <c r="AJ17" i="38" s="1"/>
  <c r="AK17" i="38" s="1"/>
  <c r="AL17" i="38" s="1"/>
  <c r="AM17" i="38" s="1"/>
  <c r="AN17" i="38" s="1"/>
  <c r="AO17" i="38" s="1"/>
  <c r="AP17" i="38" s="1"/>
  <c r="AQ17" i="38" s="1"/>
  <c r="AR17" i="38" s="1"/>
  <c r="AS17" i="38" s="1"/>
  <c r="AT17" i="38" s="1"/>
  <c r="AU17" i="38" s="1"/>
  <c r="AV17" i="38" s="1"/>
  <c r="AW17" i="38" s="1"/>
  <c r="AX17" i="38" s="1"/>
  <c r="AY17" i="38" s="1"/>
  <c r="AZ17" i="38" s="1"/>
  <c r="BA17" i="38" s="1"/>
  <c r="BB17" i="38" s="1"/>
  <c r="BC17" i="38" s="1"/>
  <c r="BD17" i="38" s="1"/>
  <c r="BE17" i="38" s="1"/>
  <c r="BF17" i="38" s="1"/>
  <c r="BG17" i="38" s="1"/>
  <c r="AK16" i="38"/>
  <c r="AL16" i="38" s="1"/>
  <c r="AM16" i="38" s="1"/>
  <c r="AN16" i="38" s="1"/>
  <c r="AO16" i="38" s="1"/>
  <c r="AP16" i="38" s="1"/>
  <c r="AQ16" i="38" s="1"/>
  <c r="AR16" i="38" s="1"/>
  <c r="AS16" i="38" s="1"/>
  <c r="AT16" i="38" s="1"/>
  <c r="AU16" i="38" s="1"/>
  <c r="AV16" i="38" s="1"/>
  <c r="AW16" i="38" s="1"/>
  <c r="AX16" i="38" s="1"/>
  <c r="AY16" i="38" s="1"/>
  <c r="AZ16" i="38" s="1"/>
  <c r="BA16" i="38" s="1"/>
  <c r="BB16" i="38" s="1"/>
  <c r="BC16" i="38" s="1"/>
  <c r="BD16" i="38" s="1"/>
  <c r="BE16" i="38" s="1"/>
  <c r="BF16" i="38" s="1"/>
  <c r="BG16" i="38" s="1"/>
  <c r="AI16" i="38"/>
  <c r="AE16" i="38"/>
  <c r="AF16" i="38" s="1"/>
  <c r="AI15" i="38"/>
  <c r="AH15" i="38"/>
  <c r="AG15" i="38"/>
  <c r="AF15" i="38"/>
  <c r="AE15" i="38"/>
  <c r="AJ14" i="38"/>
  <c r="AJ309" i="38" s="1"/>
  <c r="AK13" i="38"/>
  <c r="AL13" i="38" s="1"/>
  <c r="AM13" i="38" s="1"/>
  <c r="AN13" i="38" s="1"/>
  <c r="AO13" i="38" s="1"/>
  <c r="AP13" i="38" s="1"/>
  <c r="AQ13" i="38" s="1"/>
  <c r="AR13" i="38" s="1"/>
  <c r="AS13" i="38" s="1"/>
  <c r="AT13" i="38" s="1"/>
  <c r="AU13" i="38" s="1"/>
  <c r="AV13" i="38" s="1"/>
  <c r="AW13" i="38" s="1"/>
  <c r="AX13" i="38" s="1"/>
  <c r="AY13" i="38" s="1"/>
  <c r="AZ13" i="38" s="1"/>
  <c r="BA13" i="38" s="1"/>
  <c r="BB13" i="38" s="1"/>
  <c r="BC13" i="38" s="1"/>
  <c r="BD13" i="38" s="1"/>
  <c r="BE13" i="38" s="1"/>
  <c r="BF13" i="38" s="1"/>
  <c r="BG13" i="38" s="1"/>
  <c r="AI13" i="38"/>
  <c r="AE13" i="38"/>
  <c r="AF13" i="38" s="1"/>
  <c r="AE12" i="38"/>
  <c r="AF12" i="38" s="1"/>
  <c r="AG12" i="38" s="1"/>
  <c r="AH12" i="38" s="1"/>
  <c r="AI12" i="38" s="1"/>
  <c r="AJ12" i="38" s="1"/>
  <c r="AK12" i="38" s="1"/>
  <c r="AL12" i="38" s="1"/>
  <c r="AM12" i="38" s="1"/>
  <c r="AN12" i="38" s="1"/>
  <c r="AO12" i="38" s="1"/>
  <c r="AP12" i="38" s="1"/>
  <c r="AQ12" i="38" s="1"/>
  <c r="AR12" i="38" s="1"/>
  <c r="AS12" i="38" s="1"/>
  <c r="AT12" i="38" s="1"/>
  <c r="AU12" i="38" s="1"/>
  <c r="AV12" i="38" s="1"/>
  <c r="AW12" i="38" s="1"/>
  <c r="AX12" i="38" s="1"/>
  <c r="AY12" i="38" s="1"/>
  <c r="AZ12" i="38" s="1"/>
  <c r="BA12" i="38" s="1"/>
  <c r="BB12" i="38" s="1"/>
  <c r="BC12" i="38" s="1"/>
  <c r="BD12" i="38" s="1"/>
  <c r="BE12" i="38" s="1"/>
  <c r="BF12" i="38" s="1"/>
  <c r="BG12" i="38" s="1"/>
  <c r="AI11" i="38"/>
  <c r="AJ11" i="38" s="1"/>
  <c r="AH11" i="38"/>
  <c r="AL10" i="38"/>
  <c r="AM10" i="38" s="1"/>
  <c r="AN10" i="38" s="1"/>
  <c r="AO10" i="38" s="1"/>
  <c r="AP10" i="38" s="1"/>
  <c r="AQ10" i="38" s="1"/>
  <c r="AR10" i="38" s="1"/>
  <c r="AS10" i="38" s="1"/>
  <c r="AT10" i="38" s="1"/>
  <c r="AU10" i="38" s="1"/>
  <c r="AV10" i="38" s="1"/>
  <c r="AW10" i="38" s="1"/>
  <c r="AX10" i="38" s="1"/>
  <c r="AY10" i="38" s="1"/>
  <c r="AZ10" i="38" s="1"/>
  <c r="BA10" i="38" s="1"/>
  <c r="BB10" i="38" s="1"/>
  <c r="BC10" i="38" s="1"/>
  <c r="BD10" i="38" s="1"/>
  <c r="BE10" i="38" s="1"/>
  <c r="BF10" i="38" s="1"/>
  <c r="BG10" i="38" s="1"/>
  <c r="AK10" i="38"/>
  <c r="AJ9" i="38"/>
  <c r="AJ546" i="38" s="1"/>
  <c r="AI7" i="38"/>
  <c r="AH7" i="38"/>
  <c r="AG7" i="38"/>
  <c r="AK6" i="38"/>
  <c r="AJ6" i="38"/>
  <c r="AK5" i="38"/>
  <c r="AL5" i="38" s="1"/>
  <c r="AL6" i="38" s="1"/>
  <c r="BC4" i="38"/>
  <c r="AK4" i="38"/>
  <c r="V10" i="36" s="1"/>
  <c r="AM3" i="38"/>
  <c r="AN3" i="38" s="1"/>
  <c r="AL3" i="38"/>
  <c r="AK3" i="38"/>
  <c r="AK2" i="38"/>
  <c r="AJ23" i="38" l="1"/>
  <c r="AJ514" i="38"/>
  <c r="AL4" i="38"/>
  <c r="AJ15" i="38"/>
  <c r="AJ305" i="38" s="1"/>
  <c r="AK36" i="38"/>
  <c r="AK529" i="38" s="1"/>
  <c r="AK199" i="38"/>
  <c r="AL199" i="38" s="1"/>
  <c r="AM199" i="38" s="1"/>
  <c r="AN199" i="38" s="1"/>
  <c r="AO199" i="38" s="1"/>
  <c r="AJ42" i="38"/>
  <c r="AK14" i="38"/>
  <c r="AJ25" i="38"/>
  <c r="AK39" i="38"/>
  <c r="AK11" i="38" s="1"/>
  <c r="AI518" i="38"/>
  <c r="AJ518" i="38" s="1"/>
  <c r="AI41" i="38"/>
  <c r="AK47" i="38"/>
  <c r="AK48" i="38" s="1"/>
  <c r="AK22" i="38"/>
  <c r="AK9" i="38"/>
  <c r="AK546" i="38" s="1"/>
  <c r="AL29" i="38"/>
  <c r="AL30" i="38" s="1"/>
  <c r="AK197" i="38"/>
  <c r="AK201" i="38"/>
  <c r="AK207" i="38"/>
  <c r="AI511" i="38"/>
  <c r="AI515" i="38"/>
  <c r="AH519" i="38"/>
  <c r="AJ21" i="38"/>
  <c r="AK21" i="38" s="1"/>
  <c r="AK28" i="38"/>
  <c r="AI508" i="38"/>
  <c r="AN483" i="38"/>
  <c r="AN484" i="38" s="1"/>
  <c r="AN485" i="38" s="1"/>
  <c r="AN486" i="38" s="1"/>
  <c r="AN487" i="38" s="1"/>
  <c r="AN488" i="38" s="1"/>
  <c r="AN489" i="38" s="1"/>
  <c r="AN490" i="38" s="1"/>
  <c r="AN271" i="38"/>
  <c r="AN275" i="38"/>
  <c r="AO3" i="38"/>
  <c r="AM304" i="38" s="1"/>
  <c r="AL207" i="38"/>
  <c r="AM207" i="38" s="1"/>
  <c r="AN207" i="38" s="1"/>
  <c r="AK19" i="38"/>
  <c r="AK282" i="38"/>
  <c r="AK272" i="38" s="1"/>
  <c r="AK279" i="38"/>
  <c r="AK278" i="38"/>
  <c r="AK273" i="38"/>
  <c r="AK270" i="38"/>
  <c r="AL9" i="38"/>
  <c r="AL198" i="38"/>
  <c r="AM198" i="38" s="1"/>
  <c r="AN198" i="38" s="1"/>
  <c r="AL483" i="38"/>
  <c r="AL484" i="38" s="1"/>
  <c r="AL485" i="38" s="1"/>
  <c r="AL486" i="38" s="1"/>
  <c r="AL487" i="38" s="1"/>
  <c r="AL488" i="38" s="1"/>
  <c r="AL489" i="38" s="1"/>
  <c r="AL490" i="38" s="1"/>
  <c r="AL271" i="38"/>
  <c r="AL304" i="38"/>
  <c r="AL275" i="38"/>
  <c r="AL19" i="38"/>
  <c r="AL205" i="38"/>
  <c r="AM205" i="38" s="1"/>
  <c r="AN205" i="38" s="1"/>
  <c r="AL282" i="38"/>
  <c r="AL272" i="38" s="1"/>
  <c r="AL273" i="38"/>
  <c r="AL270" i="38"/>
  <c r="AL278" i="38"/>
  <c r="AL279" i="38"/>
  <c r="AM5" i="38"/>
  <c r="AG46" i="38"/>
  <c r="AG27" i="38"/>
  <c r="AG8" i="38"/>
  <c r="BF194" i="38"/>
  <c r="AL201" i="38"/>
  <c r="AM201" i="38" s="1"/>
  <c r="AN201" i="38" s="1"/>
  <c r="AH46" i="38"/>
  <c r="AH8" i="38"/>
  <c r="AM29" i="38"/>
  <c r="BD4" i="38"/>
  <c r="BC28" i="38"/>
  <c r="AM483" i="38"/>
  <c r="AM484" i="38" s="1"/>
  <c r="AM485" i="38" s="1"/>
  <c r="AM486" i="38" s="1"/>
  <c r="AM487" i="38" s="1"/>
  <c r="AM488" i="38" s="1"/>
  <c r="AM489" i="38" s="1"/>
  <c r="AM490" i="38" s="1"/>
  <c r="AM271" i="38"/>
  <c r="AM275" i="38"/>
  <c r="AM6" i="38"/>
  <c r="AI46" i="38"/>
  <c r="AI8" i="38"/>
  <c r="AK547" i="38"/>
  <c r="AK313" i="38" s="1"/>
  <c r="AK545" i="38"/>
  <c r="AK280" i="38"/>
  <c r="AL2" i="38"/>
  <c r="AK309" i="38"/>
  <c r="AK303" i="38"/>
  <c r="AJ7" i="38"/>
  <c r="AF8" i="38"/>
  <c r="BC127" i="38"/>
  <c r="BD126" i="38"/>
  <c r="AZ281" i="38"/>
  <c r="AK423" i="38"/>
  <c r="AK42" i="38"/>
  <c r="AI203" i="38"/>
  <c r="AJ202" i="38"/>
  <c r="AK202" i="38" s="1"/>
  <c r="AL202" i="38" s="1"/>
  <c r="AM202" i="38" s="1"/>
  <c r="AN202" i="38" s="1"/>
  <c r="BG247" i="38"/>
  <c r="BG245" i="38" s="1"/>
  <c r="BF245" i="38"/>
  <c r="AK271" i="38"/>
  <c r="AL197" i="38"/>
  <c r="AM197" i="38" s="1"/>
  <c r="AN197" i="38" s="1"/>
  <c r="BA242" i="38"/>
  <c r="AK422" i="38"/>
  <c r="AK35" i="38"/>
  <c r="AK304" i="38"/>
  <c r="AK275" i="38"/>
  <c r="AI304" i="38"/>
  <c r="AK483" i="38"/>
  <c r="AK484" i="38" s="1"/>
  <c r="AK485" i="38" s="1"/>
  <c r="AK486" i="38" s="1"/>
  <c r="AK487" i="38" s="1"/>
  <c r="AK488" i="38" s="1"/>
  <c r="AK489" i="38" s="1"/>
  <c r="AK490" i="38" s="1"/>
  <c r="AK206" i="38"/>
  <c r="AL206" i="38" s="1"/>
  <c r="AM206" i="38" s="1"/>
  <c r="AN206" i="38" s="1"/>
  <c r="AO206" i="38" s="1"/>
  <c r="BD221" i="38"/>
  <c r="AJ303" i="38"/>
  <c r="AI529" i="38"/>
  <c r="AK43" i="38"/>
  <c r="AL43" i="38" s="1"/>
  <c r="AM43" i="38" s="1"/>
  <c r="AN43" i="38" s="1"/>
  <c r="AO43" i="38" s="1"/>
  <c r="AP43" i="38" s="1"/>
  <c r="AQ43" i="38" s="1"/>
  <c r="AR43" i="38" s="1"/>
  <c r="AS43" i="38" s="1"/>
  <c r="AT43" i="38" s="1"/>
  <c r="AU43" i="38" s="1"/>
  <c r="AV43" i="38" s="1"/>
  <c r="AW43" i="38" s="1"/>
  <c r="AX43" i="38" s="1"/>
  <c r="AY43" i="38" s="1"/>
  <c r="AZ43" i="38" s="1"/>
  <c r="BA43" i="38" s="1"/>
  <c r="BB43" i="38" s="1"/>
  <c r="BC43" i="38" s="1"/>
  <c r="BD43" i="38" s="1"/>
  <c r="BE43" i="38" s="1"/>
  <c r="BF43" i="38" s="1"/>
  <c r="BG43" i="38" s="1"/>
  <c r="AJ44" i="38"/>
  <c r="AK44" i="38" s="1"/>
  <c r="AL44" i="38" s="1"/>
  <c r="AM44" i="38" s="1"/>
  <c r="AN44" i="38" s="1"/>
  <c r="AO44" i="38" s="1"/>
  <c r="AP44" i="38" s="1"/>
  <c r="AQ44" i="38" s="1"/>
  <c r="AR44" i="38" s="1"/>
  <c r="AS44" i="38" s="1"/>
  <c r="AT44" i="38" s="1"/>
  <c r="AU44" i="38" s="1"/>
  <c r="AV44" i="38" s="1"/>
  <c r="AW44" i="38" s="1"/>
  <c r="AX44" i="38" s="1"/>
  <c r="AY44" i="38" s="1"/>
  <c r="AZ44" i="38" s="1"/>
  <c r="BA44" i="38" s="1"/>
  <c r="BB44" i="38" s="1"/>
  <c r="BC44" i="38" s="1"/>
  <c r="BD44" i="38" s="1"/>
  <c r="BE44" i="38" s="1"/>
  <c r="BF44" i="38" s="1"/>
  <c r="BG44" i="38" s="1"/>
  <c r="AJ45" i="38"/>
  <c r="AL196" i="38"/>
  <c r="AM196" i="38" s="1"/>
  <c r="AN196" i="38" s="1"/>
  <c r="AO196" i="38" s="1"/>
  <c r="AL200" i="38"/>
  <c r="AM200" i="38" s="1"/>
  <c r="AN200" i="38" s="1"/>
  <c r="AJ304" i="38"/>
  <c r="AK424" i="38"/>
  <c r="BD248" i="38"/>
  <c r="BC246" i="38"/>
  <c r="AJ523" i="38"/>
  <c r="AK523" i="38"/>
  <c r="AL522" i="38"/>
  <c r="AJ508" i="38"/>
  <c r="AK223" i="38"/>
  <c r="AL223" i="38" s="1"/>
  <c r="AM223" i="38" s="1"/>
  <c r="AN223" i="38" s="1"/>
  <c r="AK224" i="38"/>
  <c r="AL224" i="38" s="1"/>
  <c r="AM224" i="38" s="1"/>
  <c r="AN224" i="38" s="1"/>
  <c r="AK510" i="38"/>
  <c r="AK509" i="38" s="1"/>
  <c r="AK508" i="38" s="1"/>
  <c r="AJ511" i="38"/>
  <c r="AI521" i="38"/>
  <c r="AI520" i="38" s="1"/>
  <c r="AJ531" i="38"/>
  <c r="AK530" i="38"/>
  <c r="AK425" i="38"/>
  <c r="AK514" i="38"/>
  <c r="AJ515" i="38"/>
  <c r="AJ513" i="38"/>
  <c r="AH516" i="38"/>
  <c r="AH524" i="38"/>
  <c r="AI526" i="38"/>
  <c r="AI525" i="38" s="1"/>
  <c r="AI531" i="38"/>
  <c r="AI519" i="38"/>
  <c r="AI534" i="38"/>
  <c r="AH533" i="38"/>
  <c r="AO198" i="38" l="1"/>
  <c r="AI26" i="38"/>
  <c r="AJ41" i="38"/>
  <c r="AH40" i="38"/>
  <c r="AJ519" i="38"/>
  <c r="AK518" i="38"/>
  <c r="AO197" i="38"/>
  <c r="AO205" i="38"/>
  <c r="AP205" i="38" s="1"/>
  <c r="AL47" i="38"/>
  <c r="AO223" i="38"/>
  <c r="AK45" i="38"/>
  <c r="AL36" i="38"/>
  <c r="AL529" i="38" s="1"/>
  <c r="W10" i="36"/>
  <c r="AM4" i="38"/>
  <c r="AL28" i="38"/>
  <c r="AO224" i="38"/>
  <c r="AO207" i="38"/>
  <c r="AO202" i="38"/>
  <c r="AL274" i="38"/>
  <c r="AK25" i="38"/>
  <c r="AO201" i="38"/>
  <c r="AP201" i="38" s="1"/>
  <c r="AK23" i="38"/>
  <c r="AK24" i="38" s="1"/>
  <c r="AJ24" i="38"/>
  <c r="AI517" i="38"/>
  <c r="AJ516" i="38" s="1"/>
  <c r="AO200" i="38"/>
  <c r="AL39" i="38"/>
  <c r="AM39" i="38" s="1"/>
  <c r="AK49" i="38"/>
  <c r="AL49" i="38" s="1"/>
  <c r="AM49" i="38" s="1"/>
  <c r="AL14" i="38"/>
  <c r="AK511" i="38"/>
  <c r="AL510" i="38"/>
  <c r="BA281" i="38"/>
  <c r="BB242" i="38"/>
  <c r="AL42" i="38"/>
  <c r="AL546" i="38"/>
  <c r="AM9" i="38"/>
  <c r="AL11" i="38"/>
  <c r="AK515" i="38"/>
  <c r="AL514" i="38"/>
  <c r="BD246" i="38"/>
  <c r="BE248" i="38"/>
  <c r="AP223" i="38"/>
  <c r="AJ526" i="38"/>
  <c r="AI527" i="38"/>
  <c r="AL425" i="38"/>
  <c r="AM425" i="38" s="1"/>
  <c r="AL424" i="38"/>
  <c r="AL423" i="38"/>
  <c r="AP199" i="38"/>
  <c r="AL25" i="38"/>
  <c r="AO275" i="38"/>
  <c r="AO271" i="38"/>
  <c r="AO483" i="38"/>
  <c r="AO484" i="38" s="1"/>
  <c r="AO485" i="38" s="1"/>
  <c r="AO486" i="38" s="1"/>
  <c r="AO487" i="38" s="1"/>
  <c r="AO488" i="38" s="1"/>
  <c r="AO489" i="38" s="1"/>
  <c r="AO490" i="38" s="1"/>
  <c r="AP3" i="38"/>
  <c r="AP206" i="38" s="1"/>
  <c r="AM30" i="38"/>
  <c r="AN29" i="38"/>
  <c r="AK531" i="38"/>
  <c r="AL530" i="38"/>
  <c r="AM522" i="38"/>
  <c r="AL523" i="38"/>
  <c r="AM36" i="38"/>
  <c r="AL22" i="38"/>
  <c r="AK274" i="38"/>
  <c r="AJ525" i="38"/>
  <c r="AJ524" i="38" s="1"/>
  <c r="AI524" i="38"/>
  <c r="AP224" i="38"/>
  <c r="AL547" i="38"/>
  <c r="AL313" i="38" s="1"/>
  <c r="AL545" i="38"/>
  <c r="AL280" i="38"/>
  <c r="AM2" i="38"/>
  <c r="BE4" i="38"/>
  <c r="BD28" i="38"/>
  <c r="AP200" i="38"/>
  <c r="BE126" i="38"/>
  <c r="BD127" i="38"/>
  <c r="AH532" i="38"/>
  <c r="AI533" i="38"/>
  <c r="AI532" i="38" s="1"/>
  <c r="AJ517" i="38"/>
  <c r="AP196" i="38"/>
  <c r="AK528" i="38"/>
  <c r="AL35" i="38"/>
  <c r="AP202" i="38"/>
  <c r="AJ8" i="38"/>
  <c r="AJ46" i="38"/>
  <c r="AM270" i="38"/>
  <c r="AM278" i="38"/>
  <c r="AN5" i="38"/>
  <c r="AM282" i="38"/>
  <c r="AM272" i="38" s="1"/>
  <c r="AM279" i="38"/>
  <c r="AM273" i="38"/>
  <c r="AP198" i="38"/>
  <c r="AJ521" i="38"/>
  <c r="AJ520" i="38" s="1"/>
  <c r="AJ534" i="38"/>
  <c r="AI535" i="38"/>
  <c r="AK513" i="38"/>
  <c r="AK512" i="38"/>
  <c r="AJ512" i="38"/>
  <c r="BE221" i="38"/>
  <c r="AL422" i="38"/>
  <c r="AI204" i="38"/>
  <c r="AJ204" i="38" s="1"/>
  <c r="AK204" i="38" s="1"/>
  <c r="AL204" i="38" s="1"/>
  <c r="AM204" i="38" s="1"/>
  <c r="AN204" i="38" s="1"/>
  <c r="AO204" i="38" s="1"/>
  <c r="AP204" i="38" s="1"/>
  <c r="AJ203" i="38"/>
  <c r="AK203" i="38" s="1"/>
  <c r="AL203" i="38" s="1"/>
  <c r="AM203" i="38" s="1"/>
  <c r="AN203" i="38" s="1"/>
  <c r="AO203" i="38" s="1"/>
  <c r="AP203" i="38" s="1"/>
  <c r="AK15" i="38"/>
  <c r="AK305" i="38" s="1"/>
  <c r="AL48" i="38"/>
  <c r="AM47" i="38"/>
  <c r="BG194" i="38"/>
  <c r="AL21" i="38"/>
  <c r="AL23" i="38" l="1"/>
  <c r="AM22" i="38"/>
  <c r="AM25" i="38"/>
  <c r="AL303" i="38"/>
  <c r="AL309" i="38"/>
  <c r="AM14" i="38"/>
  <c r="AK7" i="38"/>
  <c r="AL45" i="38"/>
  <c r="AH38" i="38"/>
  <c r="AH27" i="38"/>
  <c r="AM28" i="38"/>
  <c r="X10" i="36"/>
  <c r="AN4" i="38"/>
  <c r="AK41" i="38"/>
  <c r="AJ26" i="38"/>
  <c r="AI40" i="38"/>
  <c r="AL518" i="38"/>
  <c r="AK519" i="38"/>
  <c r="AI516" i="38"/>
  <c r="AP207" i="38"/>
  <c r="AM21" i="38"/>
  <c r="AM424" i="38"/>
  <c r="AM510" i="38"/>
  <c r="AL511" i="38"/>
  <c r="AJ535" i="38"/>
  <c r="AK534" i="38"/>
  <c r="AJ533" i="38"/>
  <c r="AJ532" i="38"/>
  <c r="AQ224" i="38"/>
  <c r="AN30" i="38"/>
  <c r="AO29" i="38"/>
  <c r="AL509" i="38"/>
  <c r="AM529" i="38"/>
  <c r="AN36" i="38"/>
  <c r="AM546" i="38"/>
  <c r="AN9" i="38"/>
  <c r="AM19" i="38"/>
  <c r="AM422" i="38"/>
  <c r="AK521" i="38"/>
  <c r="AK520" i="38" s="1"/>
  <c r="AN270" i="38"/>
  <c r="AN323" i="38"/>
  <c r="AN321" i="38"/>
  <c r="AN273" i="38"/>
  <c r="AN278" i="38"/>
  <c r="AN279" i="38"/>
  <c r="AN282" i="38"/>
  <c r="AN272" i="38" s="1"/>
  <c r="AO5" i="38"/>
  <c r="AN6" i="38"/>
  <c r="AL528" i="38"/>
  <c r="AM35" i="38"/>
  <c r="AL15" i="38"/>
  <c r="AL305" i="38" s="1"/>
  <c r="AM23" i="38"/>
  <c r="AL24" i="38"/>
  <c r="BF248" i="38"/>
  <c r="BE246" i="38"/>
  <c r="AN39" i="38"/>
  <c r="AN22" i="38" s="1"/>
  <c r="AM42" i="38"/>
  <c r="AM530" i="38"/>
  <c r="AL531" i="38"/>
  <c r="AK517" i="38"/>
  <c r="BF221" i="38"/>
  <c r="AM274" i="38"/>
  <c r="AP483" i="38"/>
  <c r="AP484" i="38" s="1"/>
  <c r="AP485" i="38" s="1"/>
  <c r="AP486" i="38" s="1"/>
  <c r="AP487" i="38" s="1"/>
  <c r="AP488" i="38" s="1"/>
  <c r="AP489" i="38" s="1"/>
  <c r="AP490" i="38" s="1"/>
  <c r="AP271" i="38"/>
  <c r="AP275" i="38"/>
  <c r="AQ3" i="38"/>
  <c r="AQ204" i="38" s="1"/>
  <c r="AN304" i="38"/>
  <c r="AM48" i="38"/>
  <c r="AN47" i="38"/>
  <c r="BF4" i="38"/>
  <c r="BE28" i="38"/>
  <c r="AM514" i="38"/>
  <c r="AL515" i="38"/>
  <c r="BC242" i="38"/>
  <c r="BB281" i="38"/>
  <c r="BE127" i="38"/>
  <c r="BF126" i="38"/>
  <c r="AM545" i="38"/>
  <c r="AM547" i="38"/>
  <c r="AM313" i="38" s="1"/>
  <c r="AM280" i="38"/>
  <c r="AN2" i="38"/>
  <c r="AM423" i="38"/>
  <c r="AN423" i="38" s="1"/>
  <c r="AL513" i="38"/>
  <c r="AQ198" i="38"/>
  <c r="AN49" i="38"/>
  <c r="AM523" i="38"/>
  <c r="AN522" i="38"/>
  <c r="AP197" i="38"/>
  <c r="AQ197" i="38" s="1"/>
  <c r="AJ527" i="38"/>
  <c r="AK526" i="38"/>
  <c r="AM11" i="38"/>
  <c r="AN11" i="38" s="1"/>
  <c r="AM45" i="38" l="1"/>
  <c r="AM309" i="38"/>
  <c r="AL7" i="38"/>
  <c r="AN14" i="38"/>
  <c r="AM303" i="38"/>
  <c r="AK46" i="38"/>
  <c r="AK8" i="38"/>
  <c r="AL41" i="38"/>
  <c r="AJ40" i="38"/>
  <c r="AK26" i="38"/>
  <c r="AN274" i="38"/>
  <c r="AN25" i="38"/>
  <c r="AL519" i="38"/>
  <c r="AM518" i="38"/>
  <c r="Y10" i="36"/>
  <c r="AN28" i="38"/>
  <c r="AO4" i="38"/>
  <c r="AQ223" i="38"/>
  <c r="AI38" i="38"/>
  <c r="AI27" i="38"/>
  <c r="AO282" i="38"/>
  <c r="AO272" i="38" s="1"/>
  <c r="AO279" i="38"/>
  <c r="AO278" i="38"/>
  <c r="AO274" i="38" s="1"/>
  <c r="AO273" i="38"/>
  <c r="AO270" i="38"/>
  <c r="AP5" i="38"/>
  <c r="AO6" i="38"/>
  <c r="AN529" i="38"/>
  <c r="AO36" i="38"/>
  <c r="AN510" i="38"/>
  <c r="AM511" i="38"/>
  <c r="AM513" i="38"/>
  <c r="AM512" i="38" s="1"/>
  <c r="AQ201" i="38"/>
  <c r="AR201" i="38" s="1"/>
  <c r="AQ199" i="38"/>
  <c r="AR199" i="38" s="1"/>
  <c r="AO39" i="38"/>
  <c r="AO11" i="38" s="1"/>
  <c r="AN42" i="38"/>
  <c r="AN21" i="38"/>
  <c r="AO21" i="38" s="1"/>
  <c r="AQ203" i="38"/>
  <c r="AQ202" i="38"/>
  <c r="BC281" i="38"/>
  <c r="BD242" i="38"/>
  <c r="BF127" i="38"/>
  <c r="BG126" i="38"/>
  <c r="BG127" i="38" s="1"/>
  <c r="AO25" i="38"/>
  <c r="AL517" i="38"/>
  <c r="AM509" i="38"/>
  <c r="AL508" i="38"/>
  <c r="AQ207" i="38"/>
  <c r="AK527" i="38"/>
  <c r="AL526" i="38"/>
  <c r="AO22" i="38"/>
  <c r="AK516" i="38"/>
  <c r="BG248" i="38"/>
  <c r="BG246" i="38" s="1"/>
  <c r="BF246" i="38"/>
  <c r="AO321" i="38"/>
  <c r="AN546" i="38"/>
  <c r="AO9" i="38"/>
  <c r="AN19" i="38"/>
  <c r="AK535" i="38"/>
  <c r="AL534" i="38"/>
  <c r="AM528" i="38"/>
  <c r="AM305" i="38"/>
  <c r="AN35" i="38"/>
  <c r="AM15" i="38"/>
  <c r="AN547" i="38"/>
  <c r="AN313" i="38" s="1"/>
  <c r="AN545" i="38"/>
  <c r="AN280" i="38"/>
  <c r="AO2" i="38"/>
  <c r="BF28" i="38"/>
  <c r="BG4" i="38"/>
  <c r="BG28" i="38" s="1"/>
  <c r="AO323" i="38"/>
  <c r="AP29" i="38"/>
  <c r="AO30" i="38"/>
  <c r="AN514" i="38"/>
  <c r="AM515" i="38"/>
  <c r="AN23" i="38"/>
  <c r="AM24" i="38"/>
  <c r="AL521" i="38"/>
  <c r="AL520" i="38" s="1"/>
  <c r="AN424" i="38"/>
  <c r="BG221" i="38"/>
  <c r="AR224" i="38"/>
  <c r="AK525" i="38"/>
  <c r="AQ275" i="38"/>
  <c r="AQ483" i="38"/>
  <c r="AQ484" i="38" s="1"/>
  <c r="AQ485" i="38" s="1"/>
  <c r="AQ486" i="38" s="1"/>
  <c r="AQ487" i="38" s="1"/>
  <c r="AQ488" i="38" s="1"/>
  <c r="AQ489" i="38" s="1"/>
  <c r="AQ490" i="38" s="1"/>
  <c r="AR3" i="38"/>
  <c r="AQ271" i="38"/>
  <c r="AO304" i="38"/>
  <c r="AM531" i="38"/>
  <c r="AN530" i="38"/>
  <c r="AO522" i="38"/>
  <c r="AN523" i="38"/>
  <c r="AL512" i="38"/>
  <c r="AQ196" i="38"/>
  <c r="AR196" i="38" s="1"/>
  <c r="AN425" i="38"/>
  <c r="AO425" i="38" s="1"/>
  <c r="AO47" i="38"/>
  <c r="AN48" i="38"/>
  <c r="AQ205" i="38"/>
  <c r="AR205" i="38" s="1"/>
  <c r="AN422" i="38"/>
  <c r="AQ200" i="38"/>
  <c r="AK533" i="38"/>
  <c r="AQ206" i="38"/>
  <c r="AR206" i="38" s="1"/>
  <c r="AM519" i="38" l="1"/>
  <c r="AN518" i="38"/>
  <c r="AO424" i="38"/>
  <c r="AN309" i="38"/>
  <c r="AN303" i="38"/>
  <c r="AN45" i="38"/>
  <c r="AO14" i="38"/>
  <c r="AM7" i="38"/>
  <c r="AK40" i="38"/>
  <c r="AM41" i="38"/>
  <c r="AL26" i="38"/>
  <c r="AO422" i="38"/>
  <c r="AO49" i="38"/>
  <c r="Z10" i="36"/>
  <c r="AO28" i="38"/>
  <c r="AP4" i="38"/>
  <c r="AJ38" i="38"/>
  <c r="AJ27" i="38"/>
  <c r="AL46" i="38"/>
  <c r="AL8" i="38"/>
  <c r="AN511" i="38"/>
  <c r="AO510" i="38"/>
  <c r="AS224" i="38"/>
  <c r="AN24" i="38"/>
  <c r="AO23" i="38"/>
  <c r="AN528" i="38"/>
  <c r="AO35" i="38"/>
  <c r="AN15" i="38"/>
  <c r="AN305" i="38" s="1"/>
  <c r="AO546" i="38"/>
  <c r="AP9" i="38"/>
  <c r="AO19" i="38"/>
  <c r="AM526" i="38"/>
  <c r="AL527" i="38"/>
  <c r="AR203" i="38"/>
  <c r="AS203" i="38" s="1"/>
  <c r="AN531" i="38"/>
  <c r="AO530" i="38"/>
  <c r="AL535" i="38"/>
  <c r="AM534" i="38"/>
  <c r="AP321" i="38"/>
  <c r="AQ321" i="38" s="1"/>
  <c r="AL533" i="38"/>
  <c r="AN513" i="38"/>
  <c r="AN512" i="38"/>
  <c r="AP282" i="38"/>
  <c r="AP272" i="38" s="1"/>
  <c r="AP279" i="38"/>
  <c r="AP278" i="38"/>
  <c r="AP274" i="38" s="1"/>
  <c r="AP273" i="38"/>
  <c r="AQ5" i="38"/>
  <c r="AP270" i="38"/>
  <c r="AP6" i="38"/>
  <c r="AK532" i="38"/>
  <c r="AR483" i="38"/>
  <c r="AR484" i="38" s="1"/>
  <c r="AR485" i="38" s="1"/>
  <c r="AR486" i="38" s="1"/>
  <c r="AR487" i="38" s="1"/>
  <c r="AR488" i="38" s="1"/>
  <c r="AR489" i="38" s="1"/>
  <c r="AR490" i="38" s="1"/>
  <c r="AR275" i="38"/>
  <c r="AS3" i="38"/>
  <c r="AR271" i="38"/>
  <c r="AN515" i="38"/>
  <c r="AO514" i="38"/>
  <c r="AR207" i="38"/>
  <c r="AS207" i="38" s="1"/>
  <c r="AR200" i="38"/>
  <c r="AO523" i="38"/>
  <c r="AP522" i="38"/>
  <c r="AR197" i="38"/>
  <c r="AQ304" i="38"/>
  <c r="AO545" i="38"/>
  <c r="AO280" i="38"/>
  <c r="AO547" i="38"/>
  <c r="AO313" i="38" s="1"/>
  <c r="AP2" i="38"/>
  <c r="AO423" i="38"/>
  <c r="AP423" i="38" s="1"/>
  <c r="BE242" i="38"/>
  <c r="BD281" i="38"/>
  <c r="AO42" i="38"/>
  <c r="AP39" i="38"/>
  <c r="AP49" i="38" s="1"/>
  <c r="AN509" i="38"/>
  <c r="AN508" i="38" s="1"/>
  <c r="AQ29" i="38"/>
  <c r="AP30" i="38"/>
  <c r="AM508" i="38"/>
  <c r="AO529" i="38"/>
  <c r="AP36" i="38"/>
  <c r="AL525" i="38"/>
  <c r="AK524" i="38"/>
  <c r="AM521" i="38"/>
  <c r="AP323" i="38"/>
  <c r="AP304" i="38"/>
  <c r="AM517" i="38"/>
  <c r="AM516" i="38" s="1"/>
  <c r="AP47" i="38"/>
  <c r="AO48" i="38"/>
  <c r="AR198" i="38"/>
  <c r="AS198" i="38" s="1"/>
  <c r="AR223" i="38"/>
  <c r="AL516" i="38"/>
  <c r="AR202" i="38"/>
  <c r="AS202" i="38" s="1"/>
  <c r="AR204" i="38"/>
  <c r="AS204" i="38" s="1"/>
  <c r="AO303" i="38" l="1"/>
  <c r="AN7" i="38"/>
  <c r="AP14" i="38"/>
  <c r="AO309" i="38"/>
  <c r="AO45" i="38"/>
  <c r="AP424" i="38"/>
  <c r="AK38" i="38"/>
  <c r="AK27" i="38"/>
  <c r="AO518" i="38"/>
  <c r="AN519" i="38"/>
  <c r="AP11" i="38"/>
  <c r="AP22" i="38"/>
  <c r="AN41" i="38"/>
  <c r="AL40" i="38"/>
  <c r="AM26" i="38"/>
  <c r="AQ323" i="38"/>
  <c r="AP28" i="38"/>
  <c r="AQ4" i="38"/>
  <c r="AM46" i="38"/>
  <c r="AM8" i="38"/>
  <c r="AT204" i="38"/>
  <c r="AM525" i="38"/>
  <c r="AO509" i="38"/>
  <c r="AS275" i="38"/>
  <c r="AS483" i="38"/>
  <c r="AS484" i="38" s="1"/>
  <c r="AS485" i="38" s="1"/>
  <c r="AS486" i="38" s="1"/>
  <c r="AS487" i="38" s="1"/>
  <c r="AS488" i="38" s="1"/>
  <c r="AS489" i="38" s="1"/>
  <c r="AS490" i="38" s="1"/>
  <c r="AS271" i="38"/>
  <c r="AT3" i="38"/>
  <c r="AT207" i="38" s="1"/>
  <c r="AM533" i="38"/>
  <c r="AM532" i="38"/>
  <c r="AQ423" i="38"/>
  <c r="AM527" i="38"/>
  <c r="AN526" i="38"/>
  <c r="AT224" i="38"/>
  <c r="AN521" i="38"/>
  <c r="AN520" i="38" s="1"/>
  <c r="AP523" i="38"/>
  <c r="AQ522" i="38"/>
  <c r="AM535" i="38"/>
  <c r="AN534" i="38"/>
  <c r="AP25" i="38"/>
  <c r="AP425" i="38"/>
  <c r="AT202" i="38"/>
  <c r="AP529" i="38"/>
  <c r="AQ36" i="38"/>
  <c r="AT203" i="38"/>
  <c r="AO528" i="38"/>
  <c r="AP35" i="38"/>
  <c r="AO15" i="38"/>
  <c r="AO305" i="38" s="1"/>
  <c r="BF242" i="38"/>
  <c r="BE281" i="38"/>
  <c r="AS197" i="38"/>
  <c r="AS201" i="38"/>
  <c r="AT201" i="38" s="1"/>
  <c r="AS205" i="38"/>
  <c r="AT205" i="38" s="1"/>
  <c r="AO515" i="38"/>
  <c r="AP514" i="38"/>
  <c r="AS196" i="38"/>
  <c r="AT196" i="38" s="1"/>
  <c r="AS206" i="38"/>
  <c r="AT206" i="38" s="1"/>
  <c r="AM520" i="38"/>
  <c r="AP510" i="38"/>
  <c r="AO511" i="38"/>
  <c r="AP545" i="38"/>
  <c r="AP547" i="38"/>
  <c r="AP313" i="38" s="1"/>
  <c r="AP280" i="38"/>
  <c r="AQ2" i="38"/>
  <c r="AO513" i="38"/>
  <c r="AO512" i="38" s="1"/>
  <c r="AP48" i="38"/>
  <c r="AQ47" i="38"/>
  <c r="AP42" i="38"/>
  <c r="AQ39" i="38"/>
  <c r="AP21" i="38"/>
  <c r="AP530" i="38"/>
  <c r="AO531" i="38"/>
  <c r="AP546" i="38"/>
  <c r="AQ9" i="38"/>
  <c r="AP19" i="38"/>
  <c r="AS199" i="38"/>
  <c r="AT199" i="38" s="1"/>
  <c r="AS223" i="38"/>
  <c r="AT223" i="38" s="1"/>
  <c r="AN517" i="38"/>
  <c r="AN516" i="38" s="1"/>
  <c r="AL524" i="38"/>
  <c r="AR29" i="38"/>
  <c r="AQ30" i="38"/>
  <c r="AS200" i="38"/>
  <c r="AT200" i="38" s="1"/>
  <c r="AQ270" i="38"/>
  <c r="AQ273" i="38"/>
  <c r="AQ282" i="38"/>
  <c r="AQ272" i="38" s="1"/>
  <c r="AQ279" i="38"/>
  <c r="AQ278" i="38"/>
  <c r="AR5" i="38"/>
  <c r="AR321" i="38" s="1"/>
  <c r="AQ6" i="38"/>
  <c r="AL532" i="38"/>
  <c r="AO24" i="38"/>
  <c r="AP23" i="38"/>
  <c r="AP422" i="38"/>
  <c r="AQ422" i="38" s="1"/>
  <c r="AP309" i="38" l="1"/>
  <c r="AO7" i="38"/>
  <c r="AP303" i="38"/>
  <c r="AQ14" i="38"/>
  <c r="AP45" i="38"/>
  <c r="AO41" i="38"/>
  <c r="AM40" i="38"/>
  <c r="AN26" i="38"/>
  <c r="AR4" i="38"/>
  <c r="AQ28" i="38"/>
  <c r="AL38" i="38"/>
  <c r="AL27" i="38"/>
  <c r="AP518" i="38"/>
  <c r="AO519" i="38"/>
  <c r="AN46" i="38"/>
  <c r="AN8" i="38"/>
  <c r="AP513" i="38"/>
  <c r="AP512" i="38"/>
  <c r="AR323" i="38"/>
  <c r="AS323" i="38" s="1"/>
  <c r="AQ25" i="38"/>
  <c r="AT483" i="38"/>
  <c r="AT484" i="38" s="1"/>
  <c r="AT485" i="38" s="1"/>
  <c r="AT486" i="38" s="1"/>
  <c r="AT487" i="38" s="1"/>
  <c r="AT488" i="38" s="1"/>
  <c r="AT489" i="38" s="1"/>
  <c r="AT490" i="38" s="1"/>
  <c r="AT271" i="38"/>
  <c r="AT275" i="38"/>
  <c r="AU3" i="38"/>
  <c r="AU203" i="38" s="1"/>
  <c r="AR304" i="38"/>
  <c r="AP509" i="38"/>
  <c r="AP508" i="38"/>
  <c r="AP528" i="38"/>
  <c r="AQ35" i="38"/>
  <c r="AP15" i="38"/>
  <c r="AP305" i="38" s="1"/>
  <c r="AN525" i="38"/>
  <c r="AU202" i="38"/>
  <c r="AO517" i="38"/>
  <c r="AO526" i="38"/>
  <c r="AN527" i="38"/>
  <c r="AM524" i="38"/>
  <c r="AR39" i="38"/>
  <c r="AQ42" i="38"/>
  <c r="AQ11" i="38"/>
  <c r="AP24" i="38"/>
  <c r="AQ23" i="38"/>
  <c r="AP531" i="38"/>
  <c r="AQ530" i="38"/>
  <c r="AQ547" i="38"/>
  <c r="AQ313" i="38" s="1"/>
  <c r="AQ545" i="38"/>
  <c r="AQ280" i="38"/>
  <c r="AR2" i="38"/>
  <c r="AR423" i="38" s="1"/>
  <c r="AQ21" i="38"/>
  <c r="AP515" i="38"/>
  <c r="AQ514" i="38"/>
  <c r="AT197" i="38"/>
  <c r="AU197" i="38" s="1"/>
  <c r="AQ22" i="38"/>
  <c r="AO534" i="38"/>
  <c r="AN535" i="38"/>
  <c r="AT198" i="38"/>
  <c r="AU205" i="38"/>
  <c r="AS29" i="38"/>
  <c r="AR30" i="38"/>
  <c r="AQ523" i="38"/>
  <c r="AR522" i="38"/>
  <c r="AR282" i="38"/>
  <c r="AR272" i="38" s="1"/>
  <c r="AR278" i="38"/>
  <c r="AR279" i="38"/>
  <c r="AR273" i="38"/>
  <c r="AR270" i="38"/>
  <c r="AS5" i="38"/>
  <c r="AR6" i="38"/>
  <c r="AQ48" i="38"/>
  <c r="AR47" i="38"/>
  <c r="AP511" i="38"/>
  <c r="AQ510" i="38"/>
  <c r="AR36" i="38"/>
  <c r="AQ529" i="38"/>
  <c r="AN533" i="38"/>
  <c r="AQ49" i="38"/>
  <c r="AR49" i="38" s="1"/>
  <c r="AQ274" i="38"/>
  <c r="AQ546" i="38"/>
  <c r="AR9" i="38"/>
  <c r="AQ19" i="38"/>
  <c r="BF281" i="38"/>
  <c r="BG242" i="38"/>
  <c r="AQ425" i="38"/>
  <c r="AO521" i="38"/>
  <c r="AO520" i="38" s="1"/>
  <c r="AO508" i="38"/>
  <c r="AQ424" i="38"/>
  <c r="AM38" i="38" l="1"/>
  <c r="AM27" i="38"/>
  <c r="AP41" i="38"/>
  <c r="AN40" i="38"/>
  <c r="AO26" i="38"/>
  <c r="AP519" i="38"/>
  <c r="AQ518" i="38"/>
  <c r="AO46" i="38"/>
  <c r="AO8" i="38"/>
  <c r="AR274" i="38"/>
  <c r="AR14" i="38"/>
  <c r="AP7" i="38"/>
  <c r="AQ309" i="38"/>
  <c r="AQ45" i="38"/>
  <c r="AQ303" i="38"/>
  <c r="AU201" i="38"/>
  <c r="AV201" i="38" s="1"/>
  <c r="AR22" i="38"/>
  <c r="AR28" i="38"/>
  <c r="AS4" i="38"/>
  <c r="AR424" i="38"/>
  <c r="AS30" i="38"/>
  <c r="AT29" i="38"/>
  <c r="AP517" i="38"/>
  <c r="AR25" i="38"/>
  <c r="AR529" i="38"/>
  <c r="AS36" i="38"/>
  <c r="AR48" i="38"/>
  <c r="AS47" i="38"/>
  <c r="AV205" i="38"/>
  <c r="AV202" i="38"/>
  <c r="AU483" i="38"/>
  <c r="AU484" i="38" s="1"/>
  <c r="AU485" i="38" s="1"/>
  <c r="AU486" i="38" s="1"/>
  <c r="AU487" i="38" s="1"/>
  <c r="AU488" i="38" s="1"/>
  <c r="AU489" i="38" s="1"/>
  <c r="AU490" i="38" s="1"/>
  <c r="AU271" i="38"/>
  <c r="AU275" i="38"/>
  <c r="AV3" i="38"/>
  <c r="AV203" i="38" s="1"/>
  <c r="AS304" i="38"/>
  <c r="AR546" i="38"/>
  <c r="AS9" i="38"/>
  <c r="AR19" i="38"/>
  <c r="AU204" i="38"/>
  <c r="AV204" i="38" s="1"/>
  <c r="AQ515" i="38"/>
  <c r="AR514" i="38"/>
  <c r="AR530" i="38"/>
  <c r="AQ531" i="38"/>
  <c r="AS39" i="38"/>
  <c r="AS22" i="38" s="1"/>
  <c r="AR42" i="38"/>
  <c r="AU200" i="38"/>
  <c r="AV200" i="38" s="1"/>
  <c r="AU206" i="38"/>
  <c r="AV206" i="38" s="1"/>
  <c r="AP521" i="38"/>
  <c r="AP520" i="38"/>
  <c r="AS522" i="38"/>
  <c r="AR523" i="38"/>
  <c r="AO525" i="38"/>
  <c r="AR425" i="38"/>
  <c r="AQ511" i="38"/>
  <c r="AR510" i="38"/>
  <c r="AS282" i="38"/>
  <c r="AS272" i="38" s="1"/>
  <c r="AS279" i="38"/>
  <c r="AS278" i="38"/>
  <c r="AS274" i="38" s="1"/>
  <c r="AS273" i="38"/>
  <c r="AS270" i="38"/>
  <c r="AT5" i="38"/>
  <c r="AT323" i="38" s="1"/>
  <c r="AS6" i="38"/>
  <c r="AU198" i="38"/>
  <c r="AV198" i="38" s="1"/>
  <c r="AR21" i="38"/>
  <c r="AU223" i="38"/>
  <c r="AV223" i="38" s="1"/>
  <c r="AN524" i="38"/>
  <c r="AU196" i="38"/>
  <c r="AV196" i="38" s="1"/>
  <c r="AR422" i="38"/>
  <c r="AQ513" i="38"/>
  <c r="BG281" i="38"/>
  <c r="AU207" i="38"/>
  <c r="AV207" i="38" s="1"/>
  <c r="AT304" i="38"/>
  <c r="AU199" i="38"/>
  <c r="AV199" i="38" s="1"/>
  <c r="AQ24" i="38"/>
  <c r="AR23" i="38"/>
  <c r="AO527" i="38"/>
  <c r="AP526" i="38"/>
  <c r="AU224" i="38"/>
  <c r="AV224" i="38" s="1"/>
  <c r="AO533" i="38"/>
  <c r="AO532" i="38" s="1"/>
  <c r="AR547" i="38"/>
  <c r="AR313" i="38" s="1"/>
  <c r="AR545" i="38"/>
  <c r="AR280" i="38"/>
  <c r="AS2" i="38"/>
  <c r="AN532" i="38"/>
  <c r="AO535" i="38"/>
  <c r="AP534" i="38"/>
  <c r="AR11" i="38"/>
  <c r="AO516" i="38"/>
  <c r="AQ528" i="38"/>
  <c r="AR35" i="38"/>
  <c r="AQ15" i="38"/>
  <c r="AQ305" i="38" s="1"/>
  <c r="AQ509" i="38"/>
  <c r="AQ508" i="38"/>
  <c r="AS321" i="38"/>
  <c r="AT321" i="38" s="1"/>
  <c r="AQ519" i="38" l="1"/>
  <c r="AR518" i="38"/>
  <c r="AS21" i="38"/>
  <c r="AN38" i="38"/>
  <c r="AN27" i="38"/>
  <c r="AP8" i="38"/>
  <c r="AP46" i="38"/>
  <c r="AS49" i="38"/>
  <c r="AT4" i="38"/>
  <c r="AS28" i="38"/>
  <c r="AR303" i="38"/>
  <c r="AR45" i="38"/>
  <c r="AR309" i="38"/>
  <c r="AQ7" i="38"/>
  <c r="AS14" i="38"/>
  <c r="AO40" i="38"/>
  <c r="AQ41" i="38"/>
  <c r="AP26" i="38"/>
  <c r="AS11" i="38"/>
  <c r="AT11" i="38" s="1"/>
  <c r="AP525" i="38"/>
  <c r="AP524" i="38"/>
  <c r="AQ517" i="38"/>
  <c r="AT47" i="38"/>
  <c r="AS48" i="38"/>
  <c r="AP535" i="38"/>
  <c r="AQ534" i="38"/>
  <c r="AS547" i="38"/>
  <c r="AS313" i="38" s="1"/>
  <c r="AS545" i="38"/>
  <c r="AS280" i="38"/>
  <c r="AT2" i="38"/>
  <c r="AP527" i="38"/>
  <c r="AQ526" i="38"/>
  <c r="AT522" i="38"/>
  <c r="AS523" i="38"/>
  <c r="AS42" i="38"/>
  <c r="AT39" i="38"/>
  <c r="AT21" i="38" s="1"/>
  <c r="AT30" i="38"/>
  <c r="AU29" i="38"/>
  <c r="AR509" i="38"/>
  <c r="AS546" i="38"/>
  <c r="AT9" i="38"/>
  <c r="AS19" i="38"/>
  <c r="AS529" i="38"/>
  <c r="AT36" i="38"/>
  <c r="AS23" i="38"/>
  <c r="AR24" i="38"/>
  <c r="AS510" i="38"/>
  <c r="AR511" i="38"/>
  <c r="AQ521" i="38"/>
  <c r="AS530" i="38"/>
  <c r="AR531" i="38"/>
  <c r="AR513" i="38"/>
  <c r="AS514" i="38"/>
  <c r="AR515" i="38"/>
  <c r="AS424" i="38"/>
  <c r="AT424" i="38" s="1"/>
  <c r="AR528" i="38"/>
  <c r="AS35" i="38"/>
  <c r="AR15" i="38"/>
  <c r="AR305" i="38" s="1"/>
  <c r="AQ512" i="38"/>
  <c r="AT270" i="38"/>
  <c r="AT278" i="38"/>
  <c r="AT282" i="38"/>
  <c r="AT272" i="38" s="1"/>
  <c r="AT279" i="38"/>
  <c r="AT273" i="38"/>
  <c r="AU5" i="38"/>
  <c r="AT6" i="38"/>
  <c r="AS425" i="38"/>
  <c r="AT425" i="38" s="1"/>
  <c r="AS25" i="38"/>
  <c r="AT25" i="38" s="1"/>
  <c r="AP533" i="38"/>
  <c r="AP532" i="38" s="1"/>
  <c r="AS422" i="38"/>
  <c r="AT422" i="38" s="1"/>
  <c r="AO524" i="38"/>
  <c r="AV271" i="38"/>
  <c r="AV483" i="38"/>
  <c r="AV484" i="38" s="1"/>
  <c r="AV485" i="38" s="1"/>
  <c r="AV486" i="38" s="1"/>
  <c r="AV487" i="38" s="1"/>
  <c r="AV488" i="38" s="1"/>
  <c r="AV489" i="38" s="1"/>
  <c r="AV490" i="38" s="1"/>
  <c r="AV275" i="38"/>
  <c r="AW3" i="38"/>
  <c r="AW200" i="38" s="1"/>
  <c r="AV197" i="38"/>
  <c r="AP516" i="38"/>
  <c r="AS423" i="38"/>
  <c r="AW207" i="38" l="1"/>
  <c r="AQ46" i="38"/>
  <c r="AQ8" i="38"/>
  <c r="AW199" i="38"/>
  <c r="AW198" i="38"/>
  <c r="AO38" i="38"/>
  <c r="AO27" i="38"/>
  <c r="AQ26" i="38"/>
  <c r="AP40" i="38"/>
  <c r="AR41" i="38"/>
  <c r="AT28" i="38"/>
  <c r="AU4" i="38"/>
  <c r="AR519" i="38"/>
  <c r="AS518" i="38"/>
  <c r="AW197" i="38"/>
  <c r="AX197" i="38" s="1"/>
  <c r="AT14" i="38"/>
  <c r="AS309" i="38"/>
  <c r="AS303" i="38"/>
  <c r="AS45" i="38"/>
  <c r="AR7" i="38"/>
  <c r="AU30" i="38"/>
  <c r="AV29" i="38"/>
  <c r="AR526" i="38"/>
  <c r="AQ527" i="38"/>
  <c r="AT48" i="38"/>
  <c r="AU47" i="38"/>
  <c r="AT547" i="38"/>
  <c r="AT313" i="38" s="1"/>
  <c r="AT545" i="38"/>
  <c r="AT280" i="38"/>
  <c r="AU2" i="38"/>
  <c r="AU425" i="38" s="1"/>
  <c r="AW204" i="38"/>
  <c r="AT23" i="38"/>
  <c r="AS24" i="38"/>
  <c r="AT42" i="38"/>
  <c r="AU39" i="38"/>
  <c r="AU11" i="38" s="1"/>
  <c r="AT49" i="38"/>
  <c r="AW275" i="38"/>
  <c r="AW483" i="38"/>
  <c r="AW484" i="38" s="1"/>
  <c r="AW485" i="38" s="1"/>
  <c r="AW486" i="38" s="1"/>
  <c r="AW487" i="38" s="1"/>
  <c r="AW488" i="38" s="1"/>
  <c r="AW489" i="38" s="1"/>
  <c r="AW490" i="38" s="1"/>
  <c r="AW271" i="38"/>
  <c r="AX3" i="38"/>
  <c r="AV304" i="38"/>
  <c r="AU304" i="38"/>
  <c r="AQ533" i="38"/>
  <c r="AU270" i="38"/>
  <c r="AU278" i="38"/>
  <c r="AU279" i="38"/>
  <c r="AU273" i="38"/>
  <c r="AU282" i="38"/>
  <c r="AU272" i="38" s="1"/>
  <c r="AV5" i="38"/>
  <c r="AU6" i="38"/>
  <c r="AW201" i="38"/>
  <c r="AT514" i="38"/>
  <c r="AS515" i="38"/>
  <c r="AS531" i="38"/>
  <c r="AT530" i="38"/>
  <c r="AT529" i="38"/>
  <c r="AU36" i="38"/>
  <c r="AU321" i="38"/>
  <c r="AQ525" i="38"/>
  <c r="AX207" i="38"/>
  <c r="AW206" i="38"/>
  <c r="AX206" i="38" s="1"/>
  <c r="AR521" i="38"/>
  <c r="AR520" i="38" s="1"/>
  <c r="AR517" i="38"/>
  <c r="AR516" i="38"/>
  <c r="AW196" i="38"/>
  <c r="AX196" i="38" s="1"/>
  <c r="AS528" i="38"/>
  <c r="AT35" i="38"/>
  <c r="AS15" i="38"/>
  <c r="AS305" i="38" s="1"/>
  <c r="AS513" i="38"/>
  <c r="AS512" i="38"/>
  <c r="AQ520" i="38"/>
  <c r="AS509" i="38"/>
  <c r="AS508" i="38" s="1"/>
  <c r="AU522" i="38"/>
  <c r="AT523" i="38"/>
  <c r="AR534" i="38"/>
  <c r="AQ535" i="38"/>
  <c r="AQ516" i="38"/>
  <c r="AT22" i="38"/>
  <c r="AR512" i="38"/>
  <c r="AR508" i="38"/>
  <c r="AW223" i="38"/>
  <c r="AX223" i="38" s="1"/>
  <c r="AW205" i="38"/>
  <c r="AX205" i="38" s="1"/>
  <c r="AW203" i="38"/>
  <c r="AX203" i="38" s="1"/>
  <c r="AW202" i="38"/>
  <c r="AX202" i="38" s="1"/>
  <c r="AT423" i="38"/>
  <c r="AT274" i="38"/>
  <c r="AS511" i="38"/>
  <c r="AT510" i="38"/>
  <c r="AT546" i="38"/>
  <c r="AU9" i="38"/>
  <c r="AT19" i="38"/>
  <c r="AW224" i="38"/>
  <c r="AX224" i="38" s="1"/>
  <c r="AU323" i="38"/>
  <c r="AV323" i="38" s="1"/>
  <c r="AU423" i="38" l="1"/>
  <c r="AU424" i="38"/>
  <c r="AU28" i="38"/>
  <c r="AV4" i="38"/>
  <c r="AU422" i="38"/>
  <c r="AQ40" i="38"/>
  <c r="AS41" i="38"/>
  <c r="AR26" i="38"/>
  <c r="AU25" i="38"/>
  <c r="AT518" i="38"/>
  <c r="AS519" i="38"/>
  <c r="AU49" i="38"/>
  <c r="AR46" i="38"/>
  <c r="AR8" i="38"/>
  <c r="AU22" i="38"/>
  <c r="AX199" i="38"/>
  <c r="AP38" i="38"/>
  <c r="AP27" i="38"/>
  <c r="AT303" i="38"/>
  <c r="AU14" i="38"/>
  <c r="AT45" i="38"/>
  <c r="AT309" i="38"/>
  <c r="AS7" i="38"/>
  <c r="AU546" i="38"/>
  <c r="AV9" i="38"/>
  <c r="AU19" i="38"/>
  <c r="AU529" i="38"/>
  <c r="AV36" i="38"/>
  <c r="AR533" i="38"/>
  <c r="AU23" i="38"/>
  <c r="AT24" i="38"/>
  <c r="AT509" i="38"/>
  <c r="AT508" i="38"/>
  <c r="AY207" i="38"/>
  <c r="AV270" i="38"/>
  <c r="AV279" i="38"/>
  <c r="AV273" i="38"/>
  <c r="AV278" i="38"/>
  <c r="AV282" i="38"/>
  <c r="AV272" i="38" s="1"/>
  <c r="AW5" i="38"/>
  <c r="AV6" i="38"/>
  <c r="AV422" i="38"/>
  <c r="AU48" i="38"/>
  <c r="AV47" i="38"/>
  <c r="AY197" i="38"/>
  <c r="AR525" i="38"/>
  <c r="AR524" i="38" s="1"/>
  <c r="AX204" i="38"/>
  <c r="AY204" i="38" s="1"/>
  <c r="AQ524" i="38"/>
  <c r="AU530" i="38"/>
  <c r="AT531" i="38"/>
  <c r="AX483" i="38"/>
  <c r="AX484" i="38" s="1"/>
  <c r="AX485" i="38" s="1"/>
  <c r="AX486" i="38" s="1"/>
  <c r="AX487" i="38" s="1"/>
  <c r="AX488" i="38" s="1"/>
  <c r="AX489" i="38" s="1"/>
  <c r="AX490" i="38" s="1"/>
  <c r="AX271" i="38"/>
  <c r="AX275" i="38"/>
  <c r="AY3" i="38"/>
  <c r="AY206" i="38" s="1"/>
  <c r="AW304" i="38"/>
  <c r="AX198" i="38"/>
  <c r="AY198" i="38" s="1"/>
  <c r="AU545" i="38"/>
  <c r="AU547" i="38"/>
  <c r="AU313" i="38" s="1"/>
  <c r="AU280" i="38"/>
  <c r="AV2" i="38"/>
  <c r="AV425" i="38" s="1"/>
  <c r="AY203" i="38"/>
  <c r="AT513" i="38"/>
  <c r="AT512" i="38" s="1"/>
  <c r="AV321" i="38"/>
  <c r="AU42" i="38"/>
  <c r="AV39" i="38"/>
  <c r="AV25" i="38" s="1"/>
  <c r="AR527" i="38"/>
  <c r="AS526" i="38"/>
  <c r="AS534" i="38"/>
  <c r="AR535" i="38"/>
  <c r="AS517" i="38"/>
  <c r="AS516" i="38" s="1"/>
  <c r="AU274" i="38"/>
  <c r="AV30" i="38"/>
  <c r="AW29" i="38"/>
  <c r="AY223" i="38"/>
  <c r="AT515" i="38"/>
  <c r="AU514" i="38"/>
  <c r="AU510" i="38"/>
  <c r="AT511" i="38"/>
  <c r="AV522" i="38"/>
  <c r="AU523" i="38"/>
  <c r="AT528" i="38"/>
  <c r="AU35" i="38"/>
  <c r="AT15" i="38"/>
  <c r="AT305" i="38" s="1"/>
  <c r="AS521" i="38"/>
  <c r="AX201" i="38"/>
  <c r="AY201" i="38" s="1"/>
  <c r="AQ532" i="38"/>
  <c r="AU21" i="38"/>
  <c r="AV21" i="38" s="1"/>
  <c r="AX200" i="38"/>
  <c r="AY200" i="38" s="1"/>
  <c r="AQ38" i="38" l="1"/>
  <c r="AQ27" i="38"/>
  <c r="AU303" i="38"/>
  <c r="AU45" i="38"/>
  <c r="AT7" i="38"/>
  <c r="AU309" i="38"/>
  <c r="AV14" i="38"/>
  <c r="AW4" i="38"/>
  <c r="AV28" i="38"/>
  <c r="AS46" i="38"/>
  <c r="AS8" i="38"/>
  <c r="AT41" i="38"/>
  <c r="AR40" i="38"/>
  <c r="AS26" i="38"/>
  <c r="AV274" i="38"/>
  <c r="AT519" i="38"/>
  <c r="AU518" i="38"/>
  <c r="AW422" i="38"/>
  <c r="AV23" i="38"/>
  <c r="AU24" i="38"/>
  <c r="AU513" i="38"/>
  <c r="AT526" i="38"/>
  <c r="AS527" i="38"/>
  <c r="AS525" i="38"/>
  <c r="AW282" i="38"/>
  <c r="AW272" i="38" s="1"/>
  <c r="AW279" i="38"/>
  <c r="AW278" i="38"/>
  <c r="AW274" i="38" s="1"/>
  <c r="AW273" i="38"/>
  <c r="AW270" i="38"/>
  <c r="AX5" i="38"/>
  <c r="AW6" i="38"/>
  <c r="AT521" i="38"/>
  <c r="AT520" i="38"/>
  <c r="AV530" i="38"/>
  <c r="AU531" i="38"/>
  <c r="AU509" i="38"/>
  <c r="AU508" i="38" s="1"/>
  <c r="AW522" i="38"/>
  <c r="AV523" i="38"/>
  <c r="AS520" i="38"/>
  <c r="AU528" i="38"/>
  <c r="AV35" i="38"/>
  <c r="AU15" i="38"/>
  <c r="AU305" i="38" s="1"/>
  <c r="AT517" i="38"/>
  <c r="AV42" i="38"/>
  <c r="AW39" i="38"/>
  <c r="AY757" i="38"/>
  <c r="AY758" i="38"/>
  <c r="AY270" i="38"/>
  <c r="AY759" i="38"/>
  <c r="AY282" i="38"/>
  <c r="AY272" i="38" s="1"/>
  <c r="AY275" i="38"/>
  <c r="AY271" i="38"/>
  <c r="AY483" i="38"/>
  <c r="AY484" i="38" s="1"/>
  <c r="AY485" i="38" s="1"/>
  <c r="AY486" i="38" s="1"/>
  <c r="AY487" i="38" s="1"/>
  <c r="AY488" i="38" s="1"/>
  <c r="AY489" i="38" s="1"/>
  <c r="AY490" i="38" s="1"/>
  <c r="AY279" i="38"/>
  <c r="AY278" i="38"/>
  <c r="AY274" i="38" s="1"/>
  <c r="AZ3" i="38"/>
  <c r="AZ204" i="38" s="1"/>
  <c r="AY208" i="38"/>
  <c r="AZ208" i="38" s="1"/>
  <c r="AX304" i="38"/>
  <c r="AV22" i="38"/>
  <c r="AS533" i="38"/>
  <c r="AS532" i="38"/>
  <c r="AU515" i="38"/>
  <c r="AV514" i="38"/>
  <c r="AZ223" i="38"/>
  <c r="AV545" i="38"/>
  <c r="AV547" i="38"/>
  <c r="AV313" i="38" s="1"/>
  <c r="AV280" i="38"/>
  <c r="AW2" i="38"/>
  <c r="AW425" i="38" s="1"/>
  <c r="AY196" i="38"/>
  <c r="AZ196" i="38" s="1"/>
  <c r="AY202" i="38"/>
  <c r="AZ202" i="38" s="1"/>
  <c r="AV423" i="38"/>
  <c r="AW423" i="38" s="1"/>
  <c r="AR532" i="38"/>
  <c r="AV546" i="38"/>
  <c r="AW9" i="38"/>
  <c r="AV19" i="38"/>
  <c r="AZ200" i="38"/>
  <c r="AW21" i="38"/>
  <c r="AY224" i="38"/>
  <c r="AZ224" i="38" s="1"/>
  <c r="AS535" i="38"/>
  <c r="AT534" i="38"/>
  <c r="AV49" i="38"/>
  <c r="AW49" i="38" s="1"/>
  <c r="AV11" i="38"/>
  <c r="AV48" i="38"/>
  <c r="AW47" i="38"/>
  <c r="AV424" i="38"/>
  <c r="AW424" i="38" s="1"/>
  <c r="AU511" i="38"/>
  <c r="AV510" i="38"/>
  <c r="AX29" i="38"/>
  <c r="AW30" i="38"/>
  <c r="AY205" i="38"/>
  <c r="AZ205" i="38" s="1"/>
  <c r="AW321" i="38"/>
  <c r="AW323" i="38"/>
  <c r="AV529" i="38"/>
  <c r="AW36" i="38"/>
  <c r="AY199" i="38"/>
  <c r="AZ199" i="38" s="1"/>
  <c r="AV309" i="38" l="1"/>
  <c r="AV45" i="38"/>
  <c r="AU7" i="38"/>
  <c r="AV303" i="38"/>
  <c r="AW14" i="38"/>
  <c r="AT8" i="38"/>
  <c r="AT46" i="38"/>
  <c r="AW28" i="38"/>
  <c r="AX4" i="38"/>
  <c r="AX28" i="38" s="1"/>
  <c r="AR38" i="38"/>
  <c r="AR27" i="38"/>
  <c r="AT26" i="38"/>
  <c r="AS40" i="38"/>
  <c r="AU41" i="38"/>
  <c r="AX321" i="38"/>
  <c r="AY321" i="38" s="1"/>
  <c r="AX323" i="38"/>
  <c r="AU519" i="38"/>
  <c r="AV518" i="38"/>
  <c r="AY29" i="38"/>
  <c r="AX30" i="38"/>
  <c r="AW42" i="38"/>
  <c r="AX39" i="38"/>
  <c r="AV528" i="38"/>
  <c r="AW35" i="38"/>
  <c r="AV15" i="38"/>
  <c r="AV305" i="38" s="1"/>
  <c r="AV509" i="38"/>
  <c r="AX282" i="38"/>
  <c r="AX272" i="38" s="1"/>
  <c r="AX279" i="38"/>
  <c r="AX278" i="38"/>
  <c r="AX274" i="38" s="1"/>
  <c r="AX273" i="38"/>
  <c r="AX270" i="38"/>
  <c r="AY5" i="38"/>
  <c r="AX6" i="38"/>
  <c r="AZ203" i="38"/>
  <c r="AZ207" i="38"/>
  <c r="AW546" i="38"/>
  <c r="AX9" i="38"/>
  <c r="AW19" i="38"/>
  <c r="AV511" i="38"/>
  <c r="AW510" i="38"/>
  <c r="AU517" i="38"/>
  <c r="AZ197" i="38"/>
  <c r="AT527" i="38"/>
  <c r="AU526" i="38"/>
  <c r="AX49" i="38"/>
  <c r="AU534" i="38"/>
  <c r="AT535" i="38"/>
  <c r="AW529" i="38"/>
  <c r="AX36" i="38"/>
  <c r="AV515" i="38"/>
  <c r="AW514" i="38"/>
  <c r="AZ757" i="38"/>
  <c r="AZ759" i="38"/>
  <c r="AZ758" i="38"/>
  <c r="AZ483" i="38"/>
  <c r="AZ484" i="38" s="1"/>
  <c r="AZ485" i="38" s="1"/>
  <c r="AZ486" i="38" s="1"/>
  <c r="AZ487" i="38" s="1"/>
  <c r="AZ488" i="38" s="1"/>
  <c r="AZ489" i="38" s="1"/>
  <c r="AZ490" i="38" s="1"/>
  <c r="AZ275" i="38"/>
  <c r="AZ271" i="38"/>
  <c r="AZ279" i="38"/>
  <c r="BA3" i="38"/>
  <c r="BA208" i="38" s="1"/>
  <c r="AZ278" i="38"/>
  <c r="AZ282" i="38"/>
  <c r="AZ272" i="38" s="1"/>
  <c r="AZ217" i="38"/>
  <c r="AZ270" i="38"/>
  <c r="AT516" i="38"/>
  <c r="AZ201" i="38"/>
  <c r="AX423" i="38"/>
  <c r="AW530" i="38"/>
  <c r="AV531" i="38"/>
  <c r="AV513" i="38"/>
  <c r="AX47" i="38"/>
  <c r="AW48" i="38"/>
  <c r="AX21" i="38"/>
  <c r="AW523" i="38"/>
  <c r="AX522" i="38"/>
  <c r="AU512" i="38"/>
  <c r="AW25" i="38"/>
  <c r="AX25" i="38" s="1"/>
  <c r="AT533" i="38"/>
  <c r="AT532" i="38" s="1"/>
  <c r="AU521" i="38"/>
  <c r="AU520" i="38"/>
  <c r="AT525" i="38"/>
  <c r="AW11" i="38"/>
  <c r="AX11" i="38" s="1"/>
  <c r="AZ198" i="38"/>
  <c r="BA198" i="38" s="1"/>
  <c r="AW547" i="38"/>
  <c r="AW313" i="38" s="1"/>
  <c r="AW280" i="38"/>
  <c r="AW545" i="38"/>
  <c r="AX2" i="38"/>
  <c r="AX425" i="38" s="1"/>
  <c r="AW22" i="38"/>
  <c r="AX22" i="38" s="1"/>
  <c r="AS524" i="38"/>
  <c r="AV24" i="38"/>
  <c r="AW23" i="38"/>
  <c r="AZ206" i="38"/>
  <c r="AS38" i="38" l="1"/>
  <c r="AS27" i="38"/>
  <c r="BA201" i="38"/>
  <c r="AW518" i="38"/>
  <c r="AV519" i="38"/>
  <c r="AU46" i="38"/>
  <c r="AU8" i="38"/>
  <c r="AV41" i="38"/>
  <c r="AU26" i="38"/>
  <c r="AT40" i="38"/>
  <c r="AW303" i="38"/>
  <c r="AX14" i="38"/>
  <c r="AW45" i="38"/>
  <c r="AV7" i="38"/>
  <c r="AW309" i="38"/>
  <c r="BA206" i="38"/>
  <c r="AU525" i="38"/>
  <c r="AW513" i="38"/>
  <c r="BA207" i="38"/>
  <c r="AX523" i="38"/>
  <c r="AY522" i="38"/>
  <c r="AV512" i="38"/>
  <c r="BA758" i="38"/>
  <c r="BA757" i="38"/>
  <c r="BA483" i="38"/>
  <c r="BA484" i="38" s="1"/>
  <c r="BA485" i="38" s="1"/>
  <c r="BA486" i="38" s="1"/>
  <c r="BA487" i="38" s="1"/>
  <c r="BA488" i="38" s="1"/>
  <c r="BA489" i="38" s="1"/>
  <c r="BA490" i="38" s="1"/>
  <c r="BA759" i="38"/>
  <c r="BA282" i="38"/>
  <c r="BA272" i="38" s="1"/>
  <c r="BA279" i="38"/>
  <c r="BA278" i="38"/>
  <c r="BA274" i="38" s="1"/>
  <c r="BA275" i="38"/>
  <c r="BA271" i="38"/>
  <c r="BB3" i="38"/>
  <c r="BB201" i="38" s="1"/>
  <c r="BA270" i="38"/>
  <c r="AZ304" i="38"/>
  <c r="AY304" i="38"/>
  <c r="AU535" i="38"/>
  <c r="AV534" i="38"/>
  <c r="AX510" i="38"/>
  <c r="AW511" i="38"/>
  <c r="BA203" i="38"/>
  <c r="BB203" i="38" s="1"/>
  <c r="AW509" i="38"/>
  <c r="AW508" i="38"/>
  <c r="AV521" i="38"/>
  <c r="AV520" i="38"/>
  <c r="AW515" i="38"/>
  <c r="AX514" i="38"/>
  <c r="AV508" i="38"/>
  <c r="BB198" i="38"/>
  <c r="BA202" i="38"/>
  <c r="BB202" i="38" s="1"/>
  <c r="AW531" i="38"/>
  <c r="AX530" i="38"/>
  <c r="AU527" i="38"/>
  <c r="AV526" i="38"/>
  <c r="AY273" i="38"/>
  <c r="AZ5" i="38"/>
  <c r="AY6" i="38"/>
  <c r="BA217" i="38"/>
  <c r="BB217" i="38" s="1"/>
  <c r="BA223" i="38"/>
  <c r="BB223" i="38" s="1"/>
  <c r="AX546" i="38"/>
  <c r="AY9" i="38"/>
  <c r="AX19" i="38"/>
  <c r="AW24" i="38"/>
  <c r="AX23" i="38"/>
  <c r="BA205" i="38"/>
  <c r="BB205" i="38" s="1"/>
  <c r="BA224" i="38"/>
  <c r="BB224" i="38" s="1"/>
  <c r="BA197" i="38"/>
  <c r="AW528" i="38"/>
  <c r="AX35" i="38"/>
  <c r="AW15" i="38"/>
  <c r="AW305" i="38" s="1"/>
  <c r="AZ29" i="38"/>
  <c r="AY30" i="38"/>
  <c r="AZ321" i="38"/>
  <c r="BA200" i="38"/>
  <c r="BB200" i="38" s="1"/>
  <c r="AX48" i="38"/>
  <c r="AY47" i="38"/>
  <c r="AX424" i="38"/>
  <c r="AZ274" i="38"/>
  <c r="AX529" i="38"/>
  <c r="AV517" i="38"/>
  <c r="BA199" i="38"/>
  <c r="BB199" i="38" s="1"/>
  <c r="AU532" i="38"/>
  <c r="AU533" i="38"/>
  <c r="BA196" i="38"/>
  <c r="AX545" i="38"/>
  <c r="AX547" i="38"/>
  <c r="AX313" i="38" s="1"/>
  <c r="AX280" i="38"/>
  <c r="AY2" i="38"/>
  <c r="AY425" i="38" s="1"/>
  <c r="AT524" i="38"/>
  <c r="AY323" i="38"/>
  <c r="AZ323" i="38" s="1"/>
  <c r="AU516" i="38"/>
  <c r="AX422" i="38"/>
  <c r="AX42" i="38"/>
  <c r="AY39" i="38"/>
  <c r="AY11" i="38" s="1"/>
  <c r="BA204" i="38"/>
  <c r="BB204" i="38" s="1"/>
  <c r="AY424" i="38" l="1"/>
  <c r="BB196" i="38"/>
  <c r="AX518" i="38"/>
  <c r="AW519" i="38"/>
  <c r="AU40" i="38"/>
  <c r="AW41" i="38"/>
  <c r="AV26" i="38"/>
  <c r="AY423" i="38"/>
  <c r="AV8" i="38"/>
  <c r="AV46" i="38"/>
  <c r="AY422" i="38"/>
  <c r="AX303" i="38"/>
  <c r="AW7" i="38"/>
  <c r="AX309" i="38"/>
  <c r="AX45" i="38"/>
  <c r="AY14" i="38"/>
  <c r="BB197" i="38"/>
  <c r="AT38" i="38"/>
  <c r="AT27" i="38"/>
  <c r="AX528" i="38"/>
  <c r="AY35" i="38"/>
  <c r="AX15" i="38"/>
  <c r="AX305" i="38" s="1"/>
  <c r="AV535" i="38"/>
  <c r="AW534" i="38"/>
  <c r="AY21" i="38"/>
  <c r="AX531" i="38"/>
  <c r="AY530" i="38"/>
  <c r="AW517" i="38"/>
  <c r="AW521" i="38"/>
  <c r="AW520" i="38"/>
  <c r="AX513" i="38"/>
  <c r="AX512" i="38" s="1"/>
  <c r="AZ39" i="38"/>
  <c r="AY42" i="38"/>
  <c r="AW512" i="38"/>
  <c r="BA321" i="38"/>
  <c r="AY546" i="38"/>
  <c r="AZ9" i="38"/>
  <c r="AY19" i="38"/>
  <c r="AX509" i="38"/>
  <c r="AX508" i="38"/>
  <c r="AY523" i="38"/>
  <c r="AZ522" i="38"/>
  <c r="AV525" i="38"/>
  <c r="AV524" i="38" s="1"/>
  <c r="AY48" i="38"/>
  <c r="AZ47" i="38"/>
  <c r="BA5" i="38"/>
  <c r="BA323" i="38" s="1"/>
  <c r="AZ273" i="38"/>
  <c r="AZ6" i="38"/>
  <c r="AU524" i="38"/>
  <c r="AZ422" i="38"/>
  <c r="AY22" i="38"/>
  <c r="BA29" i="38"/>
  <c r="AZ30" i="38"/>
  <c r="AX24" i="38"/>
  <c r="AY23" i="38"/>
  <c r="BC223" i="38"/>
  <c r="AY49" i="38"/>
  <c r="BB759" i="38"/>
  <c r="BB758" i="38"/>
  <c r="BB757" i="38"/>
  <c r="BB271" i="38"/>
  <c r="BB278" i="38"/>
  <c r="BB483" i="38"/>
  <c r="BB484" i="38" s="1"/>
  <c r="BB485" i="38" s="1"/>
  <c r="BB486" i="38" s="1"/>
  <c r="BB487" i="38" s="1"/>
  <c r="BB488" i="38" s="1"/>
  <c r="BB489" i="38" s="1"/>
  <c r="BB490" i="38" s="1"/>
  <c r="BB279" i="38"/>
  <c r="BB282" i="38"/>
  <c r="BB272" i="38" s="1"/>
  <c r="BB275" i="38"/>
  <c r="BC3" i="38"/>
  <c r="BC224" i="38" s="1"/>
  <c r="BB270" i="38"/>
  <c r="BB206" i="38"/>
  <c r="BC206" i="38" s="1"/>
  <c r="AV516" i="38"/>
  <c r="AY25" i="38"/>
  <c r="AZ25" i="38" s="1"/>
  <c r="AY545" i="38"/>
  <c r="AY547" i="38"/>
  <c r="AY313" i="38" s="1"/>
  <c r="AY280" i="38"/>
  <c r="AZ2" i="38"/>
  <c r="AZ424" i="38" s="1"/>
  <c r="AV533" i="38"/>
  <c r="AV532" i="38" s="1"/>
  <c r="AV527" i="38"/>
  <c r="AW526" i="38"/>
  <c r="AY514" i="38"/>
  <c r="AX515" i="38"/>
  <c r="AX511" i="38"/>
  <c r="AY510" i="38"/>
  <c r="BB207" i="38"/>
  <c r="BC207" i="38" s="1"/>
  <c r="BB208" i="38"/>
  <c r="BC208" i="38" s="1"/>
  <c r="AW8" i="38" l="1"/>
  <c r="AW46" i="38"/>
  <c r="AY518" i="38"/>
  <c r="AX519" i="38"/>
  <c r="AX41" i="38"/>
  <c r="AV40" i="38"/>
  <c r="AW26" i="38"/>
  <c r="AU38" i="38"/>
  <c r="AU27" i="38"/>
  <c r="AY45" i="38"/>
  <c r="AY7" i="38"/>
  <c r="AY46" i="38" s="1"/>
  <c r="AY303" i="38"/>
  <c r="AZ14" i="38"/>
  <c r="AY309" i="38"/>
  <c r="AX7" i="38"/>
  <c r="BC204" i="38"/>
  <c r="AZ22" i="38"/>
  <c r="BC196" i="38"/>
  <c r="BC205" i="38"/>
  <c r="AX517" i="38"/>
  <c r="AX516" i="38"/>
  <c r="AZ423" i="38"/>
  <c r="AY24" i="38"/>
  <c r="AZ23" i="38"/>
  <c r="BA522" i="38"/>
  <c r="AZ523" i="38"/>
  <c r="BA39" i="38"/>
  <c r="BA25" i="38" s="1"/>
  <c r="AZ42" i="38"/>
  <c r="BB274" i="38"/>
  <c r="AY528" i="38"/>
  <c r="AY36" i="38"/>
  <c r="AZ35" i="38"/>
  <c r="AY15" i="38"/>
  <c r="AY305" i="38" s="1"/>
  <c r="BD204" i="38"/>
  <c r="BC758" i="38"/>
  <c r="BC759" i="38"/>
  <c r="BC757" i="38"/>
  <c r="BC271" i="38"/>
  <c r="BC483" i="38"/>
  <c r="BC484" i="38" s="1"/>
  <c r="BC485" i="38" s="1"/>
  <c r="BC486" i="38" s="1"/>
  <c r="BC487" i="38" s="1"/>
  <c r="BC488" i="38" s="1"/>
  <c r="BC489" i="38" s="1"/>
  <c r="BC490" i="38" s="1"/>
  <c r="BC282" i="38"/>
  <c r="BC272" i="38" s="1"/>
  <c r="BC279" i="38"/>
  <c r="BC275" i="38"/>
  <c r="BC278" i="38"/>
  <c r="BD3" i="38"/>
  <c r="BC270" i="38"/>
  <c r="BA304" i="38"/>
  <c r="BB304" i="38"/>
  <c r="BC199" i="38"/>
  <c r="BD199" i="38" s="1"/>
  <c r="AY513" i="38"/>
  <c r="AY512" i="38"/>
  <c r="AZ530" i="38"/>
  <c r="AY531" i="38"/>
  <c r="BC217" i="38"/>
  <c r="BD217" i="38" s="1"/>
  <c r="BA30" i="38"/>
  <c r="BB29" i="38"/>
  <c r="BC203" i="38"/>
  <c r="AY509" i="38"/>
  <c r="AY508" i="38"/>
  <c r="BC201" i="38"/>
  <c r="BD201" i="38" s="1"/>
  <c r="BD207" i="38"/>
  <c r="AZ48" i="38"/>
  <c r="BA47" i="38"/>
  <c r="BC198" i="38"/>
  <c r="BC202" i="38"/>
  <c r="BD202" i="38" s="1"/>
  <c r="AZ21" i="38"/>
  <c r="BA21" i="38" s="1"/>
  <c r="AY515" i="38"/>
  <c r="AZ514" i="38"/>
  <c r="BC197" i="38"/>
  <c r="BD197" i="38" s="1"/>
  <c r="AX521" i="38"/>
  <c r="AX520" i="38" s="1"/>
  <c r="AX534" i="38"/>
  <c r="AW535" i="38"/>
  <c r="AZ11" i="38"/>
  <c r="AX526" i="38"/>
  <c r="AW527" i="38"/>
  <c r="BD208" i="38"/>
  <c r="AW533" i="38"/>
  <c r="AW532" i="38" s="1"/>
  <c r="AY511" i="38"/>
  <c r="AZ510" i="38"/>
  <c r="AZ547" i="38"/>
  <c r="AZ313" i="38" s="1"/>
  <c r="AZ545" i="38"/>
  <c r="AZ280" i="38"/>
  <c r="BA2" i="38"/>
  <c r="AZ49" i="38"/>
  <c r="BB5" i="38"/>
  <c r="BB323" i="38" s="1"/>
  <c r="BA273" i="38"/>
  <c r="BA6" i="38"/>
  <c r="AW525" i="38"/>
  <c r="AW524" i="38"/>
  <c r="AZ546" i="38"/>
  <c r="BA9" i="38"/>
  <c r="AZ19" i="38"/>
  <c r="BC200" i="38"/>
  <c r="BD200" i="38" s="1"/>
  <c r="AW516" i="38"/>
  <c r="AZ425" i="38"/>
  <c r="AZ309" i="38" l="1"/>
  <c r="AZ303" i="38"/>
  <c r="AZ45" i="38"/>
  <c r="BA14" i="38"/>
  <c r="AZ7" i="38"/>
  <c r="AZ46" i="38" s="1"/>
  <c r="AY519" i="38"/>
  <c r="AZ518" i="38"/>
  <c r="AV38" i="38"/>
  <c r="AV27" i="38"/>
  <c r="AW40" i="38"/>
  <c r="AY41" i="38"/>
  <c r="AX26" i="38"/>
  <c r="BA11" i="38"/>
  <c r="AX46" i="38"/>
  <c r="AX8" i="38"/>
  <c r="BA547" i="38"/>
  <c r="BA313" i="38" s="1"/>
  <c r="BA545" i="38"/>
  <c r="BA280" i="38"/>
  <c r="BB2" i="38"/>
  <c r="BB47" i="38"/>
  <c r="BA48" i="38"/>
  <c r="BB30" i="38"/>
  <c r="BC29" i="38"/>
  <c r="BA422" i="38"/>
  <c r="BA42" i="38"/>
  <c r="BB39" i="38"/>
  <c r="AX533" i="38"/>
  <c r="AY521" i="38"/>
  <c r="AY520" i="38" s="1"/>
  <c r="AY517" i="38"/>
  <c r="BB25" i="38"/>
  <c r="BA523" i="38"/>
  <c r="BB522" i="38"/>
  <c r="BD205" i="38"/>
  <c r="AX525" i="38"/>
  <c r="AX524" i="38" s="1"/>
  <c r="BA514" i="38"/>
  <c r="AZ515" i="38"/>
  <c r="AZ528" i="38"/>
  <c r="AZ36" i="38"/>
  <c r="BA35" i="38"/>
  <c r="AZ15" i="38"/>
  <c r="AZ305" i="38" s="1"/>
  <c r="BD196" i="38"/>
  <c r="AX527" i="38"/>
  <c r="AY526" i="38"/>
  <c r="BD757" i="38"/>
  <c r="BD758" i="38"/>
  <c r="BD759" i="38"/>
  <c r="BD483" i="38"/>
  <c r="BD484" i="38" s="1"/>
  <c r="BD485" i="38" s="1"/>
  <c r="BD486" i="38" s="1"/>
  <c r="BD487" i="38" s="1"/>
  <c r="BD488" i="38" s="1"/>
  <c r="BD489" i="38" s="1"/>
  <c r="BD490" i="38" s="1"/>
  <c r="BD282" i="38"/>
  <c r="BD272" i="38" s="1"/>
  <c r="BD275" i="38"/>
  <c r="BD278" i="38"/>
  <c r="BD271" i="38"/>
  <c r="BE3" i="38"/>
  <c r="BE202" i="38" s="1"/>
  <c r="BD279" i="38"/>
  <c r="BD270" i="38"/>
  <c r="AY529" i="38"/>
  <c r="AY8" i="38"/>
  <c r="BA22" i="38"/>
  <c r="BB22" i="38" s="1"/>
  <c r="BD223" i="38"/>
  <c r="BE197" i="38"/>
  <c r="BB11" i="38"/>
  <c r="BB21" i="38"/>
  <c r="AZ508" i="38"/>
  <c r="AZ509" i="38"/>
  <c r="AZ531" i="38"/>
  <c r="BA530" i="38"/>
  <c r="BA23" i="38"/>
  <c r="AZ24" i="38"/>
  <c r="BD206" i="38"/>
  <c r="BE206" i="38" s="1"/>
  <c r="BA546" i="38"/>
  <c r="BB9" i="38"/>
  <c r="BA19" i="38"/>
  <c r="BA510" i="38"/>
  <c r="AZ511" i="38"/>
  <c r="BC274" i="38"/>
  <c r="BD224" i="38"/>
  <c r="BA425" i="38"/>
  <c r="BB425" i="38" s="1"/>
  <c r="BC5" i="38"/>
  <c r="BB273" i="38"/>
  <c r="BB6" i="38"/>
  <c r="BA49" i="38"/>
  <c r="BB49" i="38" s="1"/>
  <c r="AY534" i="38"/>
  <c r="AX535" i="38"/>
  <c r="BD198" i="38"/>
  <c r="BD203" i="38"/>
  <c r="AZ513" i="38"/>
  <c r="AZ512" i="38" s="1"/>
  <c r="BB321" i="38"/>
  <c r="BC321" i="38" s="1"/>
  <c r="BA423" i="38"/>
  <c r="BB423" i="38" s="1"/>
  <c r="BA424" i="38"/>
  <c r="BB424" i="38" s="1"/>
  <c r="BE208" i="38" l="1"/>
  <c r="BE223" i="38"/>
  <c r="BA309" i="38"/>
  <c r="BA45" i="38"/>
  <c r="BA7" i="38"/>
  <c r="BA46" i="38" s="1"/>
  <c r="BA303" i="38"/>
  <c r="BB14" i="38"/>
  <c r="AZ41" i="38"/>
  <c r="AX40" i="38"/>
  <c r="AY26" i="38"/>
  <c r="AW38" i="38"/>
  <c r="AW27" i="38"/>
  <c r="BA518" i="38"/>
  <c r="AZ519" i="38"/>
  <c r="BE203" i="38"/>
  <c r="BF203" i="38" s="1"/>
  <c r="BE198" i="38"/>
  <c r="BB546" i="38"/>
  <c r="BC9" i="38"/>
  <c r="BB19" i="38"/>
  <c r="BE201" i="38"/>
  <c r="BE196" i="38"/>
  <c r="BE207" i="38"/>
  <c r="AY533" i="38"/>
  <c r="BD5" i="38"/>
  <c r="BD321" i="38" s="1"/>
  <c r="BC273" i="38"/>
  <c r="BC6" i="38"/>
  <c r="AX532" i="38"/>
  <c r="BB48" i="38"/>
  <c r="BC47" i="38"/>
  <c r="BA515" i="38"/>
  <c r="BB514" i="38"/>
  <c r="BC39" i="38"/>
  <c r="BB42" i="38"/>
  <c r="BB547" i="38"/>
  <c r="BB313" i="38" s="1"/>
  <c r="BB545" i="38"/>
  <c r="BB280" i="38"/>
  <c r="BC2" i="38"/>
  <c r="BC425" i="38" s="1"/>
  <c r="BB23" i="38"/>
  <c r="BA24" i="38"/>
  <c r="BE759" i="38"/>
  <c r="BE758" i="38"/>
  <c r="BE757" i="38"/>
  <c r="BE282" i="38"/>
  <c r="BE272" i="38" s="1"/>
  <c r="BE279" i="38"/>
  <c r="BE278" i="38"/>
  <c r="BE275" i="38"/>
  <c r="BE483" i="38"/>
  <c r="BE484" i="38" s="1"/>
  <c r="BE485" i="38" s="1"/>
  <c r="BE486" i="38" s="1"/>
  <c r="BE487" i="38" s="1"/>
  <c r="BE488" i="38" s="1"/>
  <c r="BE489" i="38" s="1"/>
  <c r="BE490" i="38" s="1"/>
  <c r="BE271" i="38"/>
  <c r="BF3" i="38"/>
  <c r="BF206" i="38" s="1"/>
  <c r="BE270" i="38"/>
  <c r="BC304" i="38"/>
  <c r="BA528" i="38"/>
  <c r="BA36" i="38"/>
  <c r="BB35" i="38"/>
  <c r="BA15" i="38"/>
  <c r="BA305" i="38" s="1"/>
  <c r="AZ517" i="38"/>
  <c r="AZ516" i="38"/>
  <c r="BB510" i="38"/>
  <c r="BA511" i="38"/>
  <c r="AZ529" i="38"/>
  <c r="AZ8" i="38"/>
  <c r="AY525" i="38"/>
  <c r="AY516" i="38"/>
  <c r="BB422" i="38"/>
  <c r="BA512" i="38"/>
  <c r="BA513" i="38"/>
  <c r="BA531" i="38"/>
  <c r="BB530" i="38"/>
  <c r="AZ534" i="38"/>
  <c r="AY535" i="38"/>
  <c r="BE224" i="38"/>
  <c r="BE200" i="38"/>
  <c r="AZ526" i="38"/>
  <c r="AY527" i="38"/>
  <c r="BE205" i="38"/>
  <c r="BF205" i="38" s="1"/>
  <c r="BE204" i="38"/>
  <c r="BF204" i="38" s="1"/>
  <c r="BE199" i="38"/>
  <c r="BC423" i="38"/>
  <c r="BC49" i="38"/>
  <c r="BA509" i="38"/>
  <c r="BA508" i="38"/>
  <c r="BD274" i="38"/>
  <c r="BE217" i="38"/>
  <c r="BF217" i="38" s="1"/>
  <c r="BC522" i="38"/>
  <c r="BB523" i="38"/>
  <c r="AZ521" i="38"/>
  <c r="AZ520" i="38" s="1"/>
  <c r="BC30" i="38"/>
  <c r="BD29" i="38"/>
  <c r="BC323" i="38"/>
  <c r="BD323" i="38" s="1"/>
  <c r="BB518" i="38" l="1"/>
  <c r="BA519" i="38"/>
  <c r="BF224" i="38"/>
  <c r="BE274" i="38"/>
  <c r="BB309" i="38"/>
  <c r="BC14" i="38"/>
  <c r="BB7" i="38"/>
  <c r="BB46" i="38" s="1"/>
  <c r="BB45" i="38"/>
  <c r="BB303" i="38"/>
  <c r="BF223" i="38"/>
  <c r="BF201" i="38"/>
  <c r="BF200" i="38"/>
  <c r="BD304" i="38"/>
  <c r="AX38" i="38"/>
  <c r="AX27" i="38"/>
  <c r="BF199" i="38"/>
  <c r="BG199" i="38" s="1"/>
  <c r="BF198" i="38"/>
  <c r="AZ26" i="38"/>
  <c r="AY40" i="38"/>
  <c r="BA41" i="38"/>
  <c r="BB511" i="38"/>
  <c r="BC510" i="38"/>
  <c r="BC48" i="38"/>
  <c r="BD47" i="38"/>
  <c r="AZ533" i="38"/>
  <c r="AZ532" i="38" s="1"/>
  <c r="AZ525" i="38"/>
  <c r="BD39" i="38"/>
  <c r="BD49" i="38" s="1"/>
  <c r="BC42" i="38"/>
  <c r="AY532" i="38"/>
  <c r="BC21" i="38"/>
  <c r="BD21" i="38" s="1"/>
  <c r="BC530" i="38"/>
  <c r="BB531" i="38"/>
  <c r="AY524" i="38"/>
  <c r="BC25" i="38"/>
  <c r="BG201" i="38"/>
  <c r="BB509" i="38"/>
  <c r="BB508" i="38"/>
  <c r="BA517" i="38"/>
  <c r="BC23" i="38"/>
  <c r="BB24" i="38"/>
  <c r="BB515" i="38"/>
  <c r="BC514" i="38"/>
  <c r="BC11" i="38"/>
  <c r="BD11" i="38" s="1"/>
  <c r="BF208" i="38"/>
  <c r="AZ527" i="38"/>
  <c r="BA526" i="38"/>
  <c r="BC547" i="38"/>
  <c r="BC313" i="38" s="1"/>
  <c r="BC545" i="38"/>
  <c r="BC280" i="38"/>
  <c r="BD2" i="38"/>
  <c r="BD425" i="38" s="1"/>
  <c r="BF207" i="38"/>
  <c r="BB513" i="38"/>
  <c r="BB512" i="38"/>
  <c r="BB528" i="38"/>
  <c r="BC35" i="38"/>
  <c r="BB36" i="38"/>
  <c r="BB15" i="38"/>
  <c r="BB305" i="38" s="1"/>
  <c r="BF758" i="38"/>
  <c r="BF759" i="38"/>
  <c r="BF757" i="38"/>
  <c r="BF271" i="38"/>
  <c r="BF282" i="38"/>
  <c r="BF272" i="38" s="1"/>
  <c r="BF279" i="38"/>
  <c r="BF278" i="38"/>
  <c r="BF274" i="38" s="1"/>
  <c r="BF275" i="38"/>
  <c r="BF483" i="38"/>
  <c r="BF484" i="38" s="1"/>
  <c r="BF485" i="38" s="1"/>
  <c r="BF486" i="38" s="1"/>
  <c r="BF487" i="38" s="1"/>
  <c r="BF488" i="38" s="1"/>
  <c r="BF489" i="38" s="1"/>
  <c r="BF490" i="38" s="1"/>
  <c r="BG3" i="38"/>
  <c r="BG223" i="38" s="1"/>
  <c r="BF270" i="38"/>
  <c r="BF304" i="38"/>
  <c r="BF197" i="38"/>
  <c r="BG197" i="38" s="1"/>
  <c r="BF196" i="38"/>
  <c r="BC546" i="38"/>
  <c r="BD9" i="38"/>
  <c r="BC19" i="38"/>
  <c r="BC523" i="38"/>
  <c r="BD522" i="38"/>
  <c r="AZ535" i="38"/>
  <c r="BA534" i="38"/>
  <c r="BC22" i="38"/>
  <c r="BD22" i="38" s="1"/>
  <c r="BF202" i="38"/>
  <c r="BG202" i="38" s="1"/>
  <c r="BD30" i="38"/>
  <c r="BE29" i="38"/>
  <c r="BA521" i="38"/>
  <c r="BG217" i="38"/>
  <c r="BG204" i="38"/>
  <c r="BC424" i="38"/>
  <c r="BC422" i="38"/>
  <c r="BA529" i="38"/>
  <c r="BA8" i="38"/>
  <c r="BE5" i="38"/>
  <c r="BE323" i="38" s="1"/>
  <c r="BD273" i="38"/>
  <c r="BD6" i="38"/>
  <c r="BE304" i="38"/>
  <c r="BD422" i="38" l="1"/>
  <c r="BC45" i="38"/>
  <c r="BC309" i="38"/>
  <c r="BC7" i="38"/>
  <c r="BC303" i="38"/>
  <c r="BD14" i="38"/>
  <c r="AZ40" i="38"/>
  <c r="BB41" i="38"/>
  <c r="BA26" i="38"/>
  <c r="BG224" i="38"/>
  <c r="AY27" i="38"/>
  <c r="AY38" i="38"/>
  <c r="BB519" i="38"/>
  <c r="BC518" i="38"/>
  <c r="BD424" i="38"/>
  <c r="BG207" i="38"/>
  <c r="BB529" i="38"/>
  <c r="BB8" i="38"/>
  <c r="BE425" i="38"/>
  <c r="BD23" i="38"/>
  <c r="BC24" i="38"/>
  <c r="BA533" i="38"/>
  <c r="BB521" i="38"/>
  <c r="BC528" i="38"/>
  <c r="BC36" i="38"/>
  <c r="BD35" i="38"/>
  <c r="BC15" i="38"/>
  <c r="BC305" i="38" s="1"/>
  <c r="BD547" i="38"/>
  <c r="BD313" i="38" s="1"/>
  <c r="BD545" i="38"/>
  <c r="BD280" i="38"/>
  <c r="BE2" i="38"/>
  <c r="BB526" i="38"/>
  <c r="BA527" i="38"/>
  <c r="BB517" i="38"/>
  <c r="BB516" i="38" s="1"/>
  <c r="BD48" i="38"/>
  <c r="BE47" i="38"/>
  <c r="BB534" i="38"/>
  <c r="BA535" i="38"/>
  <c r="BA520" i="38"/>
  <c r="BE522" i="38"/>
  <c r="BD523" i="38"/>
  <c r="BA516" i="38"/>
  <c r="BE39" i="38"/>
  <c r="BD42" i="38"/>
  <c r="BF29" i="38"/>
  <c r="BE30" i="38"/>
  <c r="BG208" i="38"/>
  <c r="BG200" i="38"/>
  <c r="BD25" i="38"/>
  <c r="BE25" i="38" s="1"/>
  <c r="BD510" i="38"/>
  <c r="BC511" i="38"/>
  <c r="BD546" i="38"/>
  <c r="BE9" i="38"/>
  <c r="BD19" i="38"/>
  <c r="BG758" i="38"/>
  <c r="BG759" i="38"/>
  <c r="BG757" i="38"/>
  <c r="BG483" i="38"/>
  <c r="BG484" i="38" s="1"/>
  <c r="BG485" i="38" s="1"/>
  <c r="BG486" i="38" s="1"/>
  <c r="BG487" i="38" s="1"/>
  <c r="BG488" i="38" s="1"/>
  <c r="BG489" i="38" s="1"/>
  <c r="BG490" i="38" s="1"/>
  <c r="BG275" i="38"/>
  <c r="BG278" i="38"/>
  <c r="BG271" i="38"/>
  <c r="BG282" i="38"/>
  <c r="BG272" i="38" s="1"/>
  <c r="BG279" i="38"/>
  <c r="BG270" i="38"/>
  <c r="BD423" i="38"/>
  <c r="BE423" i="38" s="1"/>
  <c r="BG198" i="38"/>
  <c r="BG304" i="38"/>
  <c r="BC513" i="38"/>
  <c r="BC515" i="38"/>
  <c r="BD514" i="38"/>
  <c r="BA525" i="38"/>
  <c r="BA524" i="38"/>
  <c r="BG205" i="38"/>
  <c r="BF5" i="38"/>
  <c r="BE273" i="38"/>
  <c r="BE6" i="38"/>
  <c r="BE321" i="38"/>
  <c r="BE22" i="38"/>
  <c r="BG196" i="38"/>
  <c r="BG203" i="38"/>
  <c r="BC509" i="38"/>
  <c r="BC508" i="38" s="1"/>
  <c r="BC531" i="38"/>
  <c r="BD530" i="38"/>
  <c r="AZ524" i="38"/>
  <c r="BG206" i="38"/>
  <c r="BD45" i="38" l="1"/>
  <c r="BD7" i="38"/>
  <c r="BD46" i="38" s="1"/>
  <c r="BD309" i="38"/>
  <c r="BE14" i="38"/>
  <c r="BD303" i="38"/>
  <c r="AZ27" i="38"/>
  <c r="AZ38" i="38"/>
  <c r="BC519" i="38"/>
  <c r="BD518" i="38"/>
  <c r="BC46" i="38"/>
  <c r="BF321" i="38"/>
  <c r="BB26" i="38"/>
  <c r="BA40" i="38"/>
  <c r="BC41" i="38"/>
  <c r="BB40" i="38"/>
  <c r="BD528" i="38"/>
  <c r="BE35" i="38"/>
  <c r="BD36" i="38"/>
  <c r="BD15" i="38"/>
  <c r="BD305" i="38" s="1"/>
  <c r="BD24" i="38"/>
  <c r="BE23" i="38"/>
  <c r="BD513" i="38"/>
  <c r="BD512" i="38"/>
  <c r="BB535" i="38"/>
  <c r="BC534" i="38"/>
  <c r="BC526" i="38"/>
  <c r="BB527" i="38"/>
  <c r="BC529" i="38"/>
  <c r="BC8" i="38"/>
  <c r="BC512" i="38"/>
  <c r="BE42" i="38"/>
  <c r="BF39" i="38"/>
  <c r="BF22" i="38" s="1"/>
  <c r="BF47" i="38"/>
  <c r="BE48" i="38"/>
  <c r="BE545" i="38"/>
  <c r="BE547" i="38"/>
  <c r="BE313" i="38" s="1"/>
  <c r="BE280" i="38"/>
  <c r="BF2" i="38"/>
  <c r="BE530" i="38"/>
  <c r="BD531" i="38"/>
  <c r="BC521" i="38"/>
  <c r="BG5" i="38"/>
  <c r="BF273" i="38"/>
  <c r="BF6" i="38"/>
  <c r="BE546" i="38"/>
  <c r="BF9" i="38"/>
  <c r="BE19" i="38"/>
  <c r="BG29" i="38"/>
  <c r="BG30" i="38" s="1"/>
  <c r="BF30" i="38"/>
  <c r="BB520" i="38"/>
  <c r="BF423" i="38"/>
  <c r="BG274" i="38"/>
  <c r="BE424" i="38"/>
  <c r="BE523" i="38"/>
  <c r="BF522" i="38"/>
  <c r="BB533" i="38"/>
  <c r="BB532" i="38"/>
  <c r="BE21" i="38"/>
  <c r="BD509" i="38"/>
  <c r="BB525" i="38"/>
  <c r="BB524" i="38"/>
  <c r="BE11" i="38"/>
  <c r="BC517" i="38"/>
  <c r="BA532" i="38"/>
  <c r="BE49" i="38"/>
  <c r="BD515" i="38"/>
  <c r="BE514" i="38"/>
  <c r="BD511" i="38"/>
  <c r="BE510" i="38"/>
  <c r="BE422" i="38"/>
  <c r="BF422" i="38" s="1"/>
  <c r="BF323" i="38"/>
  <c r="BG323" i="38" s="1"/>
  <c r="BE45" i="38" l="1"/>
  <c r="BF14" i="38"/>
  <c r="BE7" i="38"/>
  <c r="BE46" i="38" s="1"/>
  <c r="BE309" i="38"/>
  <c r="BE303" i="38"/>
  <c r="BD41" i="38"/>
  <c r="BC40" i="38"/>
  <c r="BC26" i="38"/>
  <c r="BA27" i="38"/>
  <c r="BA38" i="38"/>
  <c r="BD519" i="38"/>
  <c r="BE518" i="38"/>
  <c r="BF49" i="38"/>
  <c r="BF21" i="38"/>
  <c r="BB27" i="38"/>
  <c r="BB38" i="38"/>
  <c r="BD521" i="38"/>
  <c r="BD520" i="38"/>
  <c r="BE509" i="38"/>
  <c r="BF42" i="38"/>
  <c r="BG39" i="38"/>
  <c r="BG42" i="38" s="1"/>
  <c r="BC535" i="38"/>
  <c r="BD534" i="38"/>
  <c r="BD529" i="38"/>
  <c r="BD8" i="38"/>
  <c r="BF530" i="38"/>
  <c r="BE531" i="38"/>
  <c r="BE528" i="38"/>
  <c r="BE36" i="38"/>
  <c r="BF35" i="38"/>
  <c r="BE15" i="38"/>
  <c r="BE305" i="38" s="1"/>
  <c r="BC527" i="38"/>
  <c r="BD526" i="38"/>
  <c r="BF547" i="38"/>
  <c r="BF313" i="38" s="1"/>
  <c r="BF545" i="38"/>
  <c r="BF280" i="38"/>
  <c r="BG2" i="38"/>
  <c r="BG423" i="38" s="1"/>
  <c r="BF425" i="38"/>
  <c r="BG425" i="38" s="1"/>
  <c r="BD517" i="38"/>
  <c r="BD516" i="38"/>
  <c r="BC533" i="38"/>
  <c r="BC532" i="38" s="1"/>
  <c r="BG273" i="38"/>
  <c r="BG6" i="38"/>
  <c r="BE513" i="38"/>
  <c r="BE512" i="38"/>
  <c r="BF25" i="38"/>
  <c r="BG25" i="38" s="1"/>
  <c r="BF546" i="38"/>
  <c r="BG9" i="38"/>
  <c r="BF19" i="38"/>
  <c r="BF510" i="38"/>
  <c r="BE511" i="38"/>
  <c r="BF523" i="38"/>
  <c r="BG522" i="38"/>
  <c r="BG523" i="38" s="1"/>
  <c r="BE24" i="38"/>
  <c r="BF23" i="38"/>
  <c r="BF48" i="38"/>
  <c r="BG47" i="38"/>
  <c r="BG48" i="38" s="1"/>
  <c r="BF11" i="38"/>
  <c r="BC525" i="38"/>
  <c r="BC524" i="38"/>
  <c r="BG422" i="38"/>
  <c r="BC516" i="38"/>
  <c r="BF514" i="38"/>
  <c r="BE515" i="38"/>
  <c r="BG321" i="38"/>
  <c r="BD508" i="38"/>
  <c r="BF424" i="38"/>
  <c r="BG424" i="38" s="1"/>
  <c r="BC520" i="38"/>
  <c r="BD40" i="38" l="1"/>
  <c r="BE41" i="38"/>
  <c r="BD26" i="38"/>
  <c r="BC38" i="38"/>
  <c r="BC27" i="38"/>
  <c r="BF518" i="38"/>
  <c r="BE519" i="38"/>
  <c r="BF309" i="38"/>
  <c r="BF45" i="38"/>
  <c r="BF7" i="38"/>
  <c r="BF46" i="38" s="1"/>
  <c r="BG14" i="38"/>
  <c r="BF303" i="38"/>
  <c r="BE529" i="38"/>
  <c r="BE8" i="38"/>
  <c r="BF24" i="38"/>
  <c r="BG23" i="38"/>
  <c r="BG24" i="38" s="1"/>
  <c r="BG546" i="38"/>
  <c r="BG19" i="38"/>
  <c r="BD535" i="38"/>
  <c r="BE534" i="38"/>
  <c r="BD533" i="38"/>
  <c r="BD527" i="38"/>
  <c r="BE526" i="38"/>
  <c r="BF531" i="38"/>
  <c r="BG530" i="38"/>
  <c r="BG531" i="38" s="1"/>
  <c r="BG22" i="38"/>
  <c r="BG21" i="38"/>
  <c r="BF509" i="38"/>
  <c r="BD525" i="38"/>
  <c r="BD524" i="38" s="1"/>
  <c r="BF513" i="38"/>
  <c r="BF512" i="38" s="1"/>
  <c r="BE517" i="38"/>
  <c r="BE516" i="38" s="1"/>
  <c r="BG49" i="38"/>
  <c r="BE508" i="38"/>
  <c r="BG11" i="38"/>
  <c r="BF511" i="38"/>
  <c r="BG510" i="38"/>
  <c r="BG511" i="38" s="1"/>
  <c r="BF515" i="38"/>
  <c r="BG514" i="38"/>
  <c r="BG515" i="38" s="1"/>
  <c r="BG547" i="38"/>
  <c r="BG313" i="38" s="1"/>
  <c r="BG545" i="38"/>
  <c r="BG280" i="38"/>
  <c r="BF528" i="38"/>
  <c r="BF36" i="38"/>
  <c r="BG35" i="38"/>
  <c r="BF15" i="38"/>
  <c r="BF305" i="38" s="1"/>
  <c r="BE521" i="38"/>
  <c r="BE520" i="38"/>
  <c r="BF519" i="38" l="1"/>
  <c r="BG518" i="38"/>
  <c r="BG519" i="38" s="1"/>
  <c r="BG309" i="38"/>
  <c r="BG303" i="38"/>
  <c r="BG45" i="38"/>
  <c r="BG7" i="38"/>
  <c r="BF41" i="38"/>
  <c r="BE40" i="38"/>
  <c r="BE26" i="38"/>
  <c r="BD27" i="38"/>
  <c r="BD38" i="38"/>
  <c r="BG513" i="38"/>
  <c r="BG512" i="38" s="1"/>
  <c r="BE527" i="38"/>
  <c r="BF526" i="38"/>
  <c r="BF529" i="38"/>
  <c r="BF8" i="38"/>
  <c r="BG509" i="38"/>
  <c r="BG508" i="38" s="1"/>
  <c r="BE533" i="38"/>
  <c r="BE525" i="38"/>
  <c r="BE524" i="38" s="1"/>
  <c r="BF508" i="38"/>
  <c r="BD532" i="38"/>
  <c r="BF521" i="38"/>
  <c r="BF520" i="38" s="1"/>
  <c r="BG528" i="38"/>
  <c r="BG36" i="38"/>
  <c r="BG15" i="38"/>
  <c r="BG305" i="38" s="1"/>
  <c r="BF517" i="38"/>
  <c r="BE535" i="38"/>
  <c r="BF534" i="38"/>
  <c r="BE27" i="38" l="1"/>
  <c r="BE38" i="38"/>
  <c r="BF40" i="38"/>
  <c r="BG41" i="38"/>
  <c r="BF26" i="38"/>
  <c r="BG46" i="38"/>
  <c r="BG517" i="38"/>
  <c r="BG516" i="38" s="1"/>
  <c r="BF516" i="38"/>
  <c r="BF527" i="38"/>
  <c r="BG526" i="38"/>
  <c r="BG527" i="38" s="1"/>
  <c r="BF533" i="38"/>
  <c r="BF532" i="38"/>
  <c r="BE532" i="38"/>
  <c r="BF525" i="38"/>
  <c r="BF524" i="38" s="1"/>
  <c r="BG529" i="38"/>
  <c r="BG8" i="38"/>
  <c r="BG534" i="38"/>
  <c r="BG535" i="38" s="1"/>
  <c r="BF535" i="38"/>
  <c r="BG521" i="38"/>
  <c r="BG520" i="38" s="1"/>
  <c r="BG40" i="38" l="1"/>
  <c r="BG26" i="38"/>
  <c r="BF27" i="38"/>
  <c r="BF38" i="38"/>
  <c r="BG533" i="38"/>
  <c r="BG532" i="38" s="1"/>
  <c r="BG525" i="38"/>
  <c r="BG524" i="38"/>
  <c r="BG38" i="38" l="1"/>
  <c r="BG27" i="38"/>
  <c r="BC998" i="37"/>
  <c r="BD998" i="37" s="1"/>
  <c r="BE998" i="37" s="1"/>
  <c r="BF998" i="37" s="1"/>
  <c r="BG998" i="37" s="1"/>
  <c r="BC997" i="37"/>
  <c r="BD997" i="37" s="1"/>
  <c r="BE997" i="37" s="1"/>
  <c r="BF997" i="37" s="1"/>
  <c r="BG997" i="37" s="1"/>
  <c r="BC996" i="37"/>
  <c r="BD996" i="37" s="1"/>
  <c r="BE996" i="37" s="1"/>
  <c r="BF996" i="37" s="1"/>
  <c r="BG996" i="37" s="1"/>
  <c r="BC995" i="37"/>
  <c r="BD995" i="37" s="1"/>
  <c r="BE995" i="37" s="1"/>
  <c r="BF995" i="37" s="1"/>
  <c r="BG995" i="37" s="1"/>
  <c r="BC994" i="37"/>
  <c r="BD994" i="37" s="1"/>
  <c r="BE994" i="37" s="1"/>
  <c r="BF994" i="37" s="1"/>
  <c r="BG994" i="37" s="1"/>
  <c r="BC993" i="37"/>
  <c r="BD993" i="37" s="1"/>
  <c r="BE993" i="37" s="1"/>
  <c r="BF993" i="37" s="1"/>
  <c r="BG993" i="37" s="1"/>
  <c r="BC992" i="37"/>
  <c r="BD992" i="37" s="1"/>
  <c r="BE992" i="37" s="1"/>
  <c r="BF992" i="37" s="1"/>
  <c r="BG992" i="37" s="1"/>
  <c r="BC991" i="37"/>
  <c r="BD991" i="37" s="1"/>
  <c r="BE991" i="37" s="1"/>
  <c r="BF991" i="37" s="1"/>
  <c r="BG991" i="37" s="1"/>
  <c r="BC990" i="37"/>
  <c r="BD990" i="37" s="1"/>
  <c r="BE990" i="37" s="1"/>
  <c r="BF990" i="37" s="1"/>
  <c r="BG990" i="37" s="1"/>
  <c r="BC989" i="37"/>
  <c r="BD989" i="37" s="1"/>
  <c r="BE989" i="37" s="1"/>
  <c r="BF989" i="37" s="1"/>
  <c r="BG989" i="37" s="1"/>
  <c r="BC988" i="37"/>
  <c r="BD988" i="37" s="1"/>
  <c r="BE988" i="37" s="1"/>
  <c r="BF988" i="37" s="1"/>
  <c r="BG988" i="37" s="1"/>
  <c r="AN760" i="37"/>
  <c r="AO760" i="37" s="1"/>
  <c r="AP760" i="37" s="1"/>
  <c r="AQ760" i="37" s="1"/>
  <c r="AR760" i="37" s="1"/>
  <c r="AS760" i="37" s="1"/>
  <c r="AT760" i="37" s="1"/>
  <c r="AU760" i="37" s="1"/>
  <c r="AV760" i="37" s="1"/>
  <c r="AW760" i="37" s="1"/>
  <c r="AX760" i="37" s="1"/>
  <c r="AY760" i="37" s="1"/>
  <c r="AZ760" i="37" s="1"/>
  <c r="BA760" i="37" s="1"/>
  <c r="BB760" i="37" s="1"/>
  <c r="BC760" i="37" s="1"/>
  <c r="BD760" i="37" s="1"/>
  <c r="BE760" i="37" s="1"/>
  <c r="BF760" i="37" s="1"/>
  <c r="BG760" i="37" s="1"/>
  <c r="AJ759" i="37"/>
  <c r="AI759" i="37"/>
  <c r="AH759" i="37"/>
  <c r="AJ758" i="37"/>
  <c r="AI758" i="37"/>
  <c r="AH758" i="37"/>
  <c r="AJ757" i="37"/>
  <c r="AI757" i="37"/>
  <c r="AH757" i="37"/>
  <c r="AG757" i="37"/>
  <c r="AF757" i="37"/>
  <c r="AN756" i="37"/>
  <c r="AO756" i="37" s="1"/>
  <c r="AP756" i="37" s="1"/>
  <c r="AQ756" i="37" s="1"/>
  <c r="AR756" i="37" s="1"/>
  <c r="AS756" i="37" s="1"/>
  <c r="AT756" i="37" s="1"/>
  <c r="AU756" i="37" s="1"/>
  <c r="AV756" i="37" s="1"/>
  <c r="AW756" i="37" s="1"/>
  <c r="AX756" i="37" s="1"/>
  <c r="AY756" i="37" s="1"/>
  <c r="AZ756" i="37" s="1"/>
  <c r="BA756" i="37" s="1"/>
  <c r="BB756" i="37" s="1"/>
  <c r="BC756" i="37" s="1"/>
  <c r="BD756" i="37" s="1"/>
  <c r="BE756" i="37" s="1"/>
  <c r="BF756" i="37" s="1"/>
  <c r="BG756" i="37" s="1"/>
  <c r="AN755" i="37"/>
  <c r="AO755" i="37" s="1"/>
  <c r="AP755" i="37" s="1"/>
  <c r="AQ755" i="37" s="1"/>
  <c r="AR755" i="37" s="1"/>
  <c r="AS755" i="37" s="1"/>
  <c r="AT755" i="37" s="1"/>
  <c r="AU755" i="37" s="1"/>
  <c r="AV755" i="37" s="1"/>
  <c r="AW755" i="37" s="1"/>
  <c r="AX755" i="37" s="1"/>
  <c r="AY755" i="37" s="1"/>
  <c r="AZ755" i="37" s="1"/>
  <c r="BA755" i="37" s="1"/>
  <c r="BB755" i="37" s="1"/>
  <c r="BC755" i="37" s="1"/>
  <c r="BD755" i="37" s="1"/>
  <c r="BE755" i="37" s="1"/>
  <c r="BF755" i="37" s="1"/>
  <c r="BG755" i="37" s="1"/>
  <c r="AN754" i="37"/>
  <c r="AO754" i="37" s="1"/>
  <c r="AP754" i="37" s="1"/>
  <c r="AQ754" i="37" s="1"/>
  <c r="AR754" i="37" s="1"/>
  <c r="AS754" i="37" s="1"/>
  <c r="AT754" i="37" s="1"/>
  <c r="AU754" i="37" s="1"/>
  <c r="AV754" i="37" s="1"/>
  <c r="AW754" i="37" s="1"/>
  <c r="AX754" i="37" s="1"/>
  <c r="AY754" i="37" s="1"/>
  <c r="AZ754" i="37" s="1"/>
  <c r="BA754" i="37" s="1"/>
  <c r="BB754" i="37" s="1"/>
  <c r="BC754" i="37" s="1"/>
  <c r="BD754" i="37" s="1"/>
  <c r="BE754" i="37" s="1"/>
  <c r="BF754" i="37" s="1"/>
  <c r="BG754" i="37" s="1"/>
  <c r="AN753" i="37"/>
  <c r="AO753" i="37" s="1"/>
  <c r="AP753" i="37" s="1"/>
  <c r="AQ753" i="37" s="1"/>
  <c r="AR753" i="37" s="1"/>
  <c r="AS753" i="37" s="1"/>
  <c r="AT753" i="37" s="1"/>
  <c r="AU753" i="37" s="1"/>
  <c r="AV753" i="37" s="1"/>
  <c r="AW753" i="37" s="1"/>
  <c r="AX753" i="37" s="1"/>
  <c r="AY753" i="37" s="1"/>
  <c r="AZ753" i="37" s="1"/>
  <c r="BA753" i="37" s="1"/>
  <c r="BB753" i="37" s="1"/>
  <c r="BC753" i="37" s="1"/>
  <c r="BD753" i="37" s="1"/>
  <c r="BE753" i="37" s="1"/>
  <c r="BF753" i="37" s="1"/>
  <c r="BG753" i="37" s="1"/>
  <c r="AN752" i="37"/>
  <c r="AO752" i="37" s="1"/>
  <c r="AP752" i="37" s="1"/>
  <c r="AQ752" i="37" s="1"/>
  <c r="AR752" i="37" s="1"/>
  <c r="AS752" i="37" s="1"/>
  <c r="AT752" i="37" s="1"/>
  <c r="AU752" i="37" s="1"/>
  <c r="AV752" i="37" s="1"/>
  <c r="AW752" i="37" s="1"/>
  <c r="AX752" i="37" s="1"/>
  <c r="AY752" i="37" s="1"/>
  <c r="AZ752" i="37" s="1"/>
  <c r="BA752" i="37" s="1"/>
  <c r="BB752" i="37" s="1"/>
  <c r="BC752" i="37" s="1"/>
  <c r="BD752" i="37" s="1"/>
  <c r="BE752" i="37" s="1"/>
  <c r="BF752" i="37" s="1"/>
  <c r="BG752" i="37" s="1"/>
  <c r="AN751" i="37"/>
  <c r="AO751" i="37" s="1"/>
  <c r="AP751" i="37" s="1"/>
  <c r="AQ751" i="37" s="1"/>
  <c r="AR751" i="37" s="1"/>
  <c r="AS751" i="37" s="1"/>
  <c r="AT751" i="37" s="1"/>
  <c r="AU751" i="37" s="1"/>
  <c r="AV751" i="37" s="1"/>
  <c r="AW751" i="37" s="1"/>
  <c r="AX751" i="37" s="1"/>
  <c r="AY751" i="37" s="1"/>
  <c r="AZ751" i="37" s="1"/>
  <c r="BA751" i="37" s="1"/>
  <c r="BB751" i="37" s="1"/>
  <c r="BC751" i="37" s="1"/>
  <c r="BD751" i="37" s="1"/>
  <c r="BE751" i="37" s="1"/>
  <c r="BF751" i="37" s="1"/>
  <c r="BG751" i="37" s="1"/>
  <c r="AN750" i="37"/>
  <c r="AO750" i="37" s="1"/>
  <c r="AP750" i="37" s="1"/>
  <c r="AQ750" i="37" s="1"/>
  <c r="AR750" i="37" s="1"/>
  <c r="AS750" i="37" s="1"/>
  <c r="AT750" i="37" s="1"/>
  <c r="AU750" i="37" s="1"/>
  <c r="AV750" i="37" s="1"/>
  <c r="AW750" i="37" s="1"/>
  <c r="AX750" i="37" s="1"/>
  <c r="AY750" i="37" s="1"/>
  <c r="AZ750" i="37" s="1"/>
  <c r="BA750" i="37" s="1"/>
  <c r="BB750" i="37" s="1"/>
  <c r="BC750" i="37" s="1"/>
  <c r="BD750" i="37" s="1"/>
  <c r="BE750" i="37" s="1"/>
  <c r="BF750" i="37" s="1"/>
  <c r="BG750" i="37" s="1"/>
  <c r="BC700" i="37"/>
  <c r="BD700" i="37" s="1"/>
  <c r="BE700" i="37" s="1"/>
  <c r="BF700" i="37" s="1"/>
  <c r="BG700" i="37" s="1"/>
  <c r="BC675" i="37"/>
  <c r="BD675" i="37" s="1"/>
  <c r="BE675" i="37" s="1"/>
  <c r="BF675" i="37" s="1"/>
  <c r="BG675" i="37" s="1"/>
  <c r="BC674" i="37"/>
  <c r="BD674" i="37" s="1"/>
  <c r="BE674" i="37" s="1"/>
  <c r="BF674" i="37" s="1"/>
  <c r="BG674" i="37" s="1"/>
  <c r="BD673" i="37"/>
  <c r="BE673" i="37" s="1"/>
  <c r="BF673" i="37" s="1"/>
  <c r="BG673" i="37" s="1"/>
  <c r="BC673" i="37"/>
  <c r="BC672" i="37"/>
  <c r="BD672" i="37" s="1"/>
  <c r="BE672" i="37" s="1"/>
  <c r="BF672" i="37" s="1"/>
  <c r="BG672" i="37" s="1"/>
  <c r="BC671" i="37"/>
  <c r="BD671" i="37" s="1"/>
  <c r="BE671" i="37" s="1"/>
  <c r="BF671" i="37" s="1"/>
  <c r="BG671" i="37" s="1"/>
  <c r="BC670" i="37"/>
  <c r="BD670" i="37" s="1"/>
  <c r="BE670" i="37" s="1"/>
  <c r="BF670" i="37" s="1"/>
  <c r="BG670" i="37" s="1"/>
  <c r="BC669" i="37"/>
  <c r="BD669" i="37" s="1"/>
  <c r="BE669" i="37" s="1"/>
  <c r="BF669" i="37" s="1"/>
  <c r="BG669" i="37" s="1"/>
  <c r="BC668" i="37"/>
  <c r="BD668" i="37" s="1"/>
  <c r="BE668" i="37" s="1"/>
  <c r="BF668" i="37" s="1"/>
  <c r="BG668" i="37" s="1"/>
  <c r="BC654" i="37"/>
  <c r="BD654" i="37" s="1"/>
  <c r="BE654" i="37" s="1"/>
  <c r="BF654" i="37" s="1"/>
  <c r="BG654" i="37" s="1"/>
  <c r="BC653" i="37"/>
  <c r="BD653" i="37" s="1"/>
  <c r="BE653" i="37" s="1"/>
  <c r="BF653" i="37" s="1"/>
  <c r="BG653" i="37" s="1"/>
  <c r="BC652" i="37"/>
  <c r="BD652" i="37" s="1"/>
  <c r="BE652" i="37" s="1"/>
  <c r="BF652" i="37" s="1"/>
  <c r="BG652" i="37" s="1"/>
  <c r="BC651" i="37"/>
  <c r="BD651" i="37" s="1"/>
  <c r="BE651" i="37" s="1"/>
  <c r="BF651" i="37" s="1"/>
  <c r="BG651" i="37" s="1"/>
  <c r="BC650" i="37"/>
  <c r="BD650" i="37" s="1"/>
  <c r="BE650" i="37" s="1"/>
  <c r="BF650" i="37" s="1"/>
  <c r="BG650" i="37" s="1"/>
  <c r="BC638" i="37"/>
  <c r="BD638" i="37" s="1"/>
  <c r="BE638" i="37" s="1"/>
  <c r="BF638" i="37" s="1"/>
  <c r="BG638" i="37" s="1"/>
  <c r="BC637" i="37"/>
  <c r="BD637" i="37" s="1"/>
  <c r="BE637" i="37" s="1"/>
  <c r="BF637" i="37" s="1"/>
  <c r="BG637" i="37" s="1"/>
  <c r="BC636" i="37"/>
  <c r="BD636" i="37" s="1"/>
  <c r="BE636" i="37" s="1"/>
  <c r="BF636" i="37" s="1"/>
  <c r="BG636" i="37" s="1"/>
  <c r="BC635" i="37"/>
  <c r="BD635" i="37" s="1"/>
  <c r="BE635" i="37" s="1"/>
  <c r="BF635" i="37" s="1"/>
  <c r="BG635" i="37" s="1"/>
  <c r="BC634" i="37"/>
  <c r="BD634" i="37" s="1"/>
  <c r="BE634" i="37" s="1"/>
  <c r="BF634" i="37" s="1"/>
  <c r="BG634" i="37" s="1"/>
  <c r="BC633" i="37"/>
  <c r="BD633" i="37" s="1"/>
  <c r="BE633" i="37" s="1"/>
  <c r="BF633" i="37" s="1"/>
  <c r="BG633" i="37" s="1"/>
  <c r="BC632" i="37"/>
  <c r="BD632" i="37" s="1"/>
  <c r="BE632" i="37" s="1"/>
  <c r="BF632" i="37" s="1"/>
  <c r="BG632" i="37" s="1"/>
  <c r="BC631" i="37"/>
  <c r="BD631" i="37" s="1"/>
  <c r="BE631" i="37" s="1"/>
  <c r="BF631" i="37" s="1"/>
  <c r="BG631" i="37" s="1"/>
  <c r="BC630" i="37"/>
  <c r="BD630" i="37" s="1"/>
  <c r="BE630" i="37" s="1"/>
  <c r="BF630" i="37" s="1"/>
  <c r="BG630" i="37" s="1"/>
  <c r="BC629" i="37"/>
  <c r="BD629" i="37" s="1"/>
  <c r="BE629" i="37" s="1"/>
  <c r="BF629" i="37" s="1"/>
  <c r="BG629" i="37" s="1"/>
  <c r="BC628" i="37"/>
  <c r="BD628" i="37" s="1"/>
  <c r="BE628" i="37" s="1"/>
  <c r="BF628" i="37" s="1"/>
  <c r="BG628" i="37" s="1"/>
  <c r="BD627" i="37"/>
  <c r="BE627" i="37" s="1"/>
  <c r="BF627" i="37" s="1"/>
  <c r="BG627" i="37" s="1"/>
  <c r="BC627" i="37"/>
  <c r="BC626" i="37"/>
  <c r="BD626" i="37" s="1"/>
  <c r="BE626" i="37" s="1"/>
  <c r="BF626" i="37" s="1"/>
  <c r="BG626" i="37" s="1"/>
  <c r="BC625" i="37"/>
  <c r="BD625" i="37" s="1"/>
  <c r="BE625" i="37" s="1"/>
  <c r="BF625" i="37" s="1"/>
  <c r="BG625" i="37" s="1"/>
  <c r="BC599" i="37"/>
  <c r="BD599" i="37" s="1"/>
  <c r="BE599" i="37" s="1"/>
  <c r="BF599" i="37" s="1"/>
  <c r="BG599" i="37" s="1"/>
  <c r="BC594" i="37"/>
  <c r="BD594" i="37" s="1"/>
  <c r="BE594" i="37" s="1"/>
  <c r="BF594" i="37" s="1"/>
  <c r="BG594" i="37" s="1"/>
  <c r="BC593" i="37"/>
  <c r="BD593" i="37" s="1"/>
  <c r="BE593" i="37" s="1"/>
  <c r="BF593" i="37" s="1"/>
  <c r="BG593" i="37" s="1"/>
  <c r="BC592" i="37"/>
  <c r="BD592" i="37" s="1"/>
  <c r="BE592" i="37" s="1"/>
  <c r="BF592" i="37" s="1"/>
  <c r="BG592" i="37" s="1"/>
  <c r="BC591" i="37"/>
  <c r="BD591" i="37" s="1"/>
  <c r="BE591" i="37" s="1"/>
  <c r="BF591" i="37" s="1"/>
  <c r="BG591" i="37" s="1"/>
  <c r="BC590" i="37"/>
  <c r="BD590" i="37" s="1"/>
  <c r="BE590" i="37" s="1"/>
  <c r="BF590" i="37" s="1"/>
  <c r="BG590" i="37" s="1"/>
  <c r="BC589" i="37"/>
  <c r="BD589" i="37" s="1"/>
  <c r="BE589" i="37" s="1"/>
  <c r="BF589" i="37" s="1"/>
  <c r="BG589" i="37" s="1"/>
  <c r="BC588" i="37"/>
  <c r="BD588" i="37" s="1"/>
  <c r="BE588" i="37" s="1"/>
  <c r="BF588" i="37" s="1"/>
  <c r="BG588" i="37" s="1"/>
  <c r="BC586" i="37"/>
  <c r="BD586" i="37" s="1"/>
  <c r="BE586" i="37" s="1"/>
  <c r="BF586" i="37" s="1"/>
  <c r="BG586" i="37" s="1"/>
  <c r="BC585" i="37"/>
  <c r="BD585" i="37" s="1"/>
  <c r="BE585" i="37" s="1"/>
  <c r="BF585" i="37" s="1"/>
  <c r="BG585" i="37" s="1"/>
  <c r="BC584" i="37"/>
  <c r="BD584" i="37" s="1"/>
  <c r="BE584" i="37" s="1"/>
  <c r="BF584" i="37" s="1"/>
  <c r="BG584" i="37" s="1"/>
  <c r="BC583" i="37"/>
  <c r="BD583" i="37" s="1"/>
  <c r="BE583" i="37" s="1"/>
  <c r="BF583" i="37" s="1"/>
  <c r="BG583" i="37" s="1"/>
  <c r="BC582" i="37"/>
  <c r="BD582" i="37" s="1"/>
  <c r="BE582" i="37" s="1"/>
  <c r="BF582" i="37" s="1"/>
  <c r="BG582" i="37" s="1"/>
  <c r="BC581" i="37"/>
  <c r="BD581" i="37" s="1"/>
  <c r="BE581" i="37" s="1"/>
  <c r="BF581" i="37" s="1"/>
  <c r="BG581" i="37" s="1"/>
  <c r="BC580" i="37"/>
  <c r="BD580" i="37" s="1"/>
  <c r="BE580" i="37" s="1"/>
  <c r="BF580" i="37" s="1"/>
  <c r="BG580" i="37" s="1"/>
  <c r="BC579" i="37"/>
  <c r="BD579" i="37" s="1"/>
  <c r="BE579" i="37" s="1"/>
  <c r="BF579" i="37" s="1"/>
  <c r="BG579" i="37" s="1"/>
  <c r="BC578" i="37"/>
  <c r="BD578" i="37" s="1"/>
  <c r="BE578" i="37" s="1"/>
  <c r="BF578" i="37" s="1"/>
  <c r="BG578" i="37" s="1"/>
  <c r="BC577" i="37"/>
  <c r="BD577" i="37" s="1"/>
  <c r="BE577" i="37" s="1"/>
  <c r="BF577" i="37" s="1"/>
  <c r="BG577" i="37" s="1"/>
  <c r="BC576" i="37"/>
  <c r="BD576" i="37" s="1"/>
  <c r="BE576" i="37" s="1"/>
  <c r="BF576" i="37" s="1"/>
  <c r="BG576" i="37" s="1"/>
  <c r="BC575" i="37"/>
  <c r="BD575" i="37" s="1"/>
  <c r="BE575" i="37" s="1"/>
  <c r="BF575" i="37" s="1"/>
  <c r="BG575" i="37" s="1"/>
  <c r="BC574" i="37"/>
  <c r="BD574" i="37" s="1"/>
  <c r="BE574" i="37" s="1"/>
  <c r="BF574" i="37" s="1"/>
  <c r="BG574" i="37" s="1"/>
  <c r="BC573" i="37"/>
  <c r="BD573" i="37" s="1"/>
  <c r="BE573" i="37" s="1"/>
  <c r="BF573" i="37" s="1"/>
  <c r="BG573" i="37" s="1"/>
  <c r="BC572" i="37"/>
  <c r="BD572" i="37" s="1"/>
  <c r="BE572" i="37" s="1"/>
  <c r="BF572" i="37" s="1"/>
  <c r="BG572" i="37" s="1"/>
  <c r="BC571" i="37"/>
  <c r="BD571" i="37" s="1"/>
  <c r="BE571" i="37" s="1"/>
  <c r="BF571" i="37" s="1"/>
  <c r="BG571" i="37" s="1"/>
  <c r="BC570" i="37"/>
  <c r="BD570" i="37" s="1"/>
  <c r="BE570" i="37" s="1"/>
  <c r="BF570" i="37" s="1"/>
  <c r="BG570" i="37" s="1"/>
  <c r="BC569" i="37"/>
  <c r="BD569" i="37" s="1"/>
  <c r="BE569" i="37" s="1"/>
  <c r="BF569" i="37" s="1"/>
  <c r="BG569" i="37" s="1"/>
  <c r="BC568" i="37"/>
  <c r="BD568" i="37" s="1"/>
  <c r="BE568" i="37" s="1"/>
  <c r="BF568" i="37" s="1"/>
  <c r="BG568" i="37" s="1"/>
  <c r="BC567" i="37"/>
  <c r="BD567" i="37" s="1"/>
  <c r="BE567" i="37" s="1"/>
  <c r="BF567" i="37" s="1"/>
  <c r="BG567" i="37" s="1"/>
  <c r="BE566" i="37"/>
  <c r="BF566" i="37" s="1"/>
  <c r="BG566" i="37" s="1"/>
  <c r="BC566" i="37"/>
  <c r="BD566" i="37" s="1"/>
  <c r="BC565" i="37"/>
  <c r="BD565" i="37" s="1"/>
  <c r="BE565" i="37" s="1"/>
  <c r="BF565" i="37" s="1"/>
  <c r="BG565" i="37" s="1"/>
  <c r="BC564" i="37"/>
  <c r="BD564" i="37" s="1"/>
  <c r="BE564" i="37" s="1"/>
  <c r="BF564" i="37" s="1"/>
  <c r="BG564" i="37" s="1"/>
  <c r="BC563" i="37"/>
  <c r="BD563" i="37" s="1"/>
  <c r="BE563" i="37" s="1"/>
  <c r="BF563" i="37" s="1"/>
  <c r="BG563" i="37" s="1"/>
  <c r="BC562" i="37"/>
  <c r="BD562" i="37" s="1"/>
  <c r="BE562" i="37" s="1"/>
  <c r="BF562" i="37" s="1"/>
  <c r="BG562" i="37" s="1"/>
  <c r="BC561" i="37"/>
  <c r="BD561" i="37" s="1"/>
  <c r="BE561" i="37" s="1"/>
  <c r="BF561" i="37" s="1"/>
  <c r="BG561" i="37" s="1"/>
  <c r="BC560" i="37"/>
  <c r="BD560" i="37" s="1"/>
  <c r="BE560" i="37" s="1"/>
  <c r="BF560" i="37" s="1"/>
  <c r="BG560" i="37" s="1"/>
  <c r="BC559" i="37"/>
  <c r="BD559" i="37" s="1"/>
  <c r="BE559" i="37" s="1"/>
  <c r="BF559" i="37" s="1"/>
  <c r="BG559" i="37" s="1"/>
  <c r="BC558" i="37"/>
  <c r="BD558" i="37" s="1"/>
  <c r="BE558" i="37" s="1"/>
  <c r="BF558" i="37" s="1"/>
  <c r="BG558" i="37" s="1"/>
  <c r="BC557" i="37"/>
  <c r="BD557" i="37" s="1"/>
  <c r="BE557" i="37" s="1"/>
  <c r="BF557" i="37" s="1"/>
  <c r="BG557" i="37" s="1"/>
  <c r="BC556" i="37"/>
  <c r="BD556" i="37" s="1"/>
  <c r="BE556" i="37" s="1"/>
  <c r="BF556" i="37" s="1"/>
  <c r="BG556" i="37" s="1"/>
  <c r="BC555" i="37"/>
  <c r="BD555" i="37" s="1"/>
  <c r="BE555" i="37" s="1"/>
  <c r="BF555" i="37" s="1"/>
  <c r="BG555" i="37" s="1"/>
  <c r="BC554" i="37"/>
  <c r="BD554" i="37" s="1"/>
  <c r="BE554" i="37" s="1"/>
  <c r="BF554" i="37" s="1"/>
  <c r="BG554" i="37" s="1"/>
  <c r="BC553" i="37"/>
  <c r="BD553" i="37" s="1"/>
  <c r="BE553" i="37" s="1"/>
  <c r="BF553" i="37" s="1"/>
  <c r="BG553" i="37" s="1"/>
  <c r="BC552" i="37"/>
  <c r="BD552" i="37" s="1"/>
  <c r="BE552" i="37" s="1"/>
  <c r="BF552" i="37" s="1"/>
  <c r="BG552" i="37" s="1"/>
  <c r="AJ548" i="37"/>
  <c r="AK548" i="37" s="1"/>
  <c r="AL548" i="37" s="1"/>
  <c r="AM548" i="37" s="1"/>
  <c r="AN548" i="37" s="1"/>
  <c r="AO548" i="37" s="1"/>
  <c r="AP548" i="37" s="1"/>
  <c r="AQ548" i="37" s="1"/>
  <c r="AR548" i="37" s="1"/>
  <c r="AS548" i="37" s="1"/>
  <c r="AT548" i="37" s="1"/>
  <c r="AU548" i="37" s="1"/>
  <c r="AV548" i="37" s="1"/>
  <c r="AW548" i="37" s="1"/>
  <c r="AX548" i="37" s="1"/>
  <c r="AY548" i="37" s="1"/>
  <c r="AZ548" i="37" s="1"/>
  <c r="BA548" i="37" s="1"/>
  <c r="BB548" i="37" s="1"/>
  <c r="BC548" i="37" s="1"/>
  <c r="BD548" i="37" s="1"/>
  <c r="BE548" i="37" s="1"/>
  <c r="BF548" i="37" s="1"/>
  <c r="BG548" i="37" s="1"/>
  <c r="AJ547" i="37"/>
  <c r="AJ313" i="37" s="1"/>
  <c r="AI546" i="37"/>
  <c r="AH546" i="37"/>
  <c r="AG546" i="37"/>
  <c r="AF546" i="37"/>
  <c r="AE546" i="37"/>
  <c r="AJ545" i="37"/>
  <c r="AG535" i="37"/>
  <c r="AF535" i="37"/>
  <c r="AE535" i="37"/>
  <c r="AH534" i="37"/>
  <c r="AI534" i="37" s="1"/>
  <c r="AJ534" i="37" s="1"/>
  <c r="AG531" i="37"/>
  <c r="AF531" i="37"/>
  <c r="AE531" i="37"/>
  <c r="AH530" i="37"/>
  <c r="AI528" i="37"/>
  <c r="AH528" i="37"/>
  <c r="AG528" i="37"/>
  <c r="AF528" i="37"/>
  <c r="AE528" i="37"/>
  <c r="AG527" i="37"/>
  <c r="AF527" i="37"/>
  <c r="AE527" i="37"/>
  <c r="AH526" i="37"/>
  <c r="AI526" i="37" s="1"/>
  <c r="AG523" i="37"/>
  <c r="AF523" i="37"/>
  <c r="AE523" i="37"/>
  <c r="AH522" i="37"/>
  <c r="AH523" i="37" s="1"/>
  <c r="AH521" i="37"/>
  <c r="AG519" i="37"/>
  <c r="AF519" i="37"/>
  <c r="AE519" i="37"/>
  <c r="AH518" i="37"/>
  <c r="AH519" i="37" s="1"/>
  <c r="AH515" i="37"/>
  <c r="AG515" i="37"/>
  <c r="AF515" i="37"/>
  <c r="AE515" i="37"/>
  <c r="AI514" i="37"/>
  <c r="AH511" i="37"/>
  <c r="AG511" i="37"/>
  <c r="AF511" i="37"/>
  <c r="AE511" i="37"/>
  <c r="AI510" i="37"/>
  <c r="AJ510" i="37" s="1"/>
  <c r="AI492" i="37"/>
  <c r="AJ492" i="37" s="1"/>
  <c r="AK492" i="37" s="1"/>
  <c r="AL492" i="37" s="1"/>
  <c r="AM492" i="37" s="1"/>
  <c r="AN492" i="37" s="1"/>
  <c r="AO492" i="37" s="1"/>
  <c r="AP492" i="37" s="1"/>
  <c r="AQ492" i="37" s="1"/>
  <c r="AR492" i="37" s="1"/>
  <c r="AS492" i="37" s="1"/>
  <c r="AT492" i="37" s="1"/>
  <c r="AU492" i="37" s="1"/>
  <c r="AV492" i="37" s="1"/>
  <c r="AW492" i="37" s="1"/>
  <c r="AX492" i="37" s="1"/>
  <c r="AY492" i="37" s="1"/>
  <c r="AZ492" i="37" s="1"/>
  <c r="BA492" i="37" s="1"/>
  <c r="BB492" i="37" s="1"/>
  <c r="BC492" i="37" s="1"/>
  <c r="BD492" i="37" s="1"/>
  <c r="BE492" i="37" s="1"/>
  <c r="BF492" i="37" s="1"/>
  <c r="BG492" i="37" s="1"/>
  <c r="AF484" i="37"/>
  <c r="AF485" i="37" s="1"/>
  <c r="AF486" i="37" s="1"/>
  <c r="AF487" i="37" s="1"/>
  <c r="AF488" i="37" s="1"/>
  <c r="AF489" i="37" s="1"/>
  <c r="AF490" i="37" s="1"/>
  <c r="AJ483" i="37"/>
  <c r="AJ484" i="37" s="1"/>
  <c r="AJ485" i="37" s="1"/>
  <c r="AJ486" i="37" s="1"/>
  <c r="AJ487" i="37" s="1"/>
  <c r="AJ488" i="37" s="1"/>
  <c r="AJ489" i="37" s="1"/>
  <c r="AJ490" i="37" s="1"/>
  <c r="AI483" i="37"/>
  <c r="AI484" i="37" s="1"/>
  <c r="AI485" i="37" s="1"/>
  <c r="AI486" i="37" s="1"/>
  <c r="AI487" i="37" s="1"/>
  <c r="AI488" i="37" s="1"/>
  <c r="AI489" i="37" s="1"/>
  <c r="AI490" i="37" s="1"/>
  <c r="AH483" i="37"/>
  <c r="AH484" i="37" s="1"/>
  <c r="AH485" i="37" s="1"/>
  <c r="AH486" i="37" s="1"/>
  <c r="AH487" i="37" s="1"/>
  <c r="AH488" i="37" s="1"/>
  <c r="AH489" i="37" s="1"/>
  <c r="AH490" i="37" s="1"/>
  <c r="AG483" i="37"/>
  <c r="AG484" i="37" s="1"/>
  <c r="AG485" i="37" s="1"/>
  <c r="AG486" i="37" s="1"/>
  <c r="AG487" i="37" s="1"/>
  <c r="AG488" i="37" s="1"/>
  <c r="AG489" i="37" s="1"/>
  <c r="AG490" i="37" s="1"/>
  <c r="AH425" i="37"/>
  <c r="AI425" i="37" s="1"/>
  <c r="AJ425" i="37" s="1"/>
  <c r="AI424" i="37"/>
  <c r="AJ424" i="37" s="1"/>
  <c r="AH423" i="37"/>
  <c r="AI423" i="37" s="1"/>
  <c r="AJ423" i="37" s="1"/>
  <c r="AH422" i="37"/>
  <c r="AI422" i="37" s="1"/>
  <c r="AJ422" i="37" s="1"/>
  <c r="BC346" i="37"/>
  <c r="BD346" i="37" s="1"/>
  <c r="BE346" i="37" s="1"/>
  <c r="BF346" i="37" s="1"/>
  <c r="BG346" i="37" s="1"/>
  <c r="BC345" i="37"/>
  <c r="BD345" i="37" s="1"/>
  <c r="BE345" i="37" s="1"/>
  <c r="BF345" i="37" s="1"/>
  <c r="BG345" i="37" s="1"/>
  <c r="BD344" i="37"/>
  <c r="BE344" i="37" s="1"/>
  <c r="BF344" i="37" s="1"/>
  <c r="BG344" i="37" s="1"/>
  <c r="BC344" i="37"/>
  <c r="BC342" i="37"/>
  <c r="BD342" i="37" s="1"/>
  <c r="BE342" i="37" s="1"/>
  <c r="BF342" i="37" s="1"/>
  <c r="BG342" i="37" s="1"/>
  <c r="BC341" i="37"/>
  <c r="BD341" i="37" s="1"/>
  <c r="BE341" i="37" s="1"/>
  <c r="BF341" i="37" s="1"/>
  <c r="BG341" i="37" s="1"/>
  <c r="BC339" i="37"/>
  <c r="BD339" i="37" s="1"/>
  <c r="BE339" i="37" s="1"/>
  <c r="BF339" i="37" s="1"/>
  <c r="BG339" i="37" s="1"/>
  <c r="BC338" i="37"/>
  <c r="BD338" i="37" s="1"/>
  <c r="BE338" i="37" s="1"/>
  <c r="BF338" i="37" s="1"/>
  <c r="BG338" i="37" s="1"/>
  <c r="AO326" i="37"/>
  <c r="AP326" i="37" s="1"/>
  <c r="AQ326" i="37" s="1"/>
  <c r="AR326" i="37" s="1"/>
  <c r="AS326" i="37" s="1"/>
  <c r="AT326" i="37" s="1"/>
  <c r="AU326" i="37" s="1"/>
  <c r="AV326" i="37" s="1"/>
  <c r="AW326" i="37" s="1"/>
  <c r="AX326" i="37" s="1"/>
  <c r="AY326" i="37" s="1"/>
  <c r="AZ326" i="37" s="1"/>
  <c r="BA326" i="37" s="1"/>
  <c r="BB326" i="37" s="1"/>
  <c r="BC326" i="37" s="1"/>
  <c r="BD326" i="37" s="1"/>
  <c r="BE326" i="37" s="1"/>
  <c r="BF326" i="37" s="1"/>
  <c r="BG326" i="37" s="1"/>
  <c r="AO325" i="37"/>
  <c r="AP325" i="37" s="1"/>
  <c r="AQ325" i="37" s="1"/>
  <c r="AR325" i="37" s="1"/>
  <c r="AS325" i="37" s="1"/>
  <c r="AT325" i="37" s="1"/>
  <c r="AU325" i="37" s="1"/>
  <c r="AV325" i="37" s="1"/>
  <c r="AW325" i="37" s="1"/>
  <c r="AX325" i="37" s="1"/>
  <c r="AY325" i="37" s="1"/>
  <c r="AZ325" i="37" s="1"/>
  <c r="BA325" i="37" s="1"/>
  <c r="BB325" i="37" s="1"/>
  <c r="BC325" i="37" s="1"/>
  <c r="BD325" i="37" s="1"/>
  <c r="BE325" i="37" s="1"/>
  <c r="BF325" i="37" s="1"/>
  <c r="BG325" i="37" s="1"/>
  <c r="AO324" i="37"/>
  <c r="AP324" i="37" s="1"/>
  <c r="AQ324" i="37" s="1"/>
  <c r="AR324" i="37" s="1"/>
  <c r="AS324" i="37" s="1"/>
  <c r="AT324" i="37" s="1"/>
  <c r="AU324" i="37" s="1"/>
  <c r="AV324" i="37" s="1"/>
  <c r="AW324" i="37" s="1"/>
  <c r="AX324" i="37" s="1"/>
  <c r="AY324" i="37" s="1"/>
  <c r="AZ324" i="37" s="1"/>
  <c r="BA324" i="37" s="1"/>
  <c r="BB324" i="37" s="1"/>
  <c r="BC324" i="37" s="1"/>
  <c r="BD324" i="37" s="1"/>
  <c r="BE324" i="37" s="1"/>
  <c r="BF324" i="37" s="1"/>
  <c r="BG324" i="37" s="1"/>
  <c r="AH323" i="37"/>
  <c r="AI323" i="37" s="1"/>
  <c r="AJ323" i="37" s="1"/>
  <c r="BC322" i="37"/>
  <c r="BD322" i="37" s="1"/>
  <c r="BE322" i="37" s="1"/>
  <c r="BF322" i="37" s="1"/>
  <c r="BG322" i="37" s="1"/>
  <c r="AH321" i="37"/>
  <c r="AI321" i="37" s="1"/>
  <c r="AJ321" i="37" s="1"/>
  <c r="AO320" i="37"/>
  <c r="AP320" i="37" s="1"/>
  <c r="AQ320" i="37" s="1"/>
  <c r="AR320" i="37" s="1"/>
  <c r="AS320" i="37" s="1"/>
  <c r="AT320" i="37" s="1"/>
  <c r="AU320" i="37" s="1"/>
  <c r="AV320" i="37" s="1"/>
  <c r="AW320" i="37" s="1"/>
  <c r="AX320" i="37" s="1"/>
  <c r="AY320" i="37" s="1"/>
  <c r="AZ320" i="37" s="1"/>
  <c r="BA320" i="37" s="1"/>
  <c r="BB320" i="37" s="1"/>
  <c r="BC320" i="37" s="1"/>
  <c r="BD320" i="37" s="1"/>
  <c r="BE320" i="37" s="1"/>
  <c r="BF320" i="37" s="1"/>
  <c r="BG320" i="37" s="1"/>
  <c r="BC318" i="37"/>
  <c r="BD318" i="37" s="1"/>
  <c r="BE318" i="37" s="1"/>
  <c r="BF318" i="37" s="1"/>
  <c r="BG318" i="37" s="1"/>
  <c r="BC317" i="37"/>
  <c r="BD317" i="37" s="1"/>
  <c r="BE317" i="37" s="1"/>
  <c r="BF317" i="37" s="1"/>
  <c r="BG317" i="37" s="1"/>
  <c r="BC316" i="37"/>
  <c r="BD316" i="37" s="1"/>
  <c r="BE316" i="37" s="1"/>
  <c r="BF316" i="37" s="1"/>
  <c r="BG316" i="37" s="1"/>
  <c r="AI313" i="37"/>
  <c r="AH313" i="37"/>
  <c r="AG313" i="37"/>
  <c r="AF313" i="37"/>
  <c r="AI309" i="37"/>
  <c r="AH309" i="37"/>
  <c r="AG309" i="37"/>
  <c r="AI305" i="37"/>
  <c r="AH305" i="37"/>
  <c r="AG305" i="37"/>
  <c r="AE304" i="37"/>
  <c r="AI303" i="37"/>
  <c r="AH303" i="37"/>
  <c r="AG303" i="37"/>
  <c r="AF303" i="37"/>
  <c r="AJ282" i="37"/>
  <c r="AZ281" i="37"/>
  <c r="AY281" i="37"/>
  <c r="AX281" i="37"/>
  <c r="AW281" i="37"/>
  <c r="AV281" i="37"/>
  <c r="AU281" i="37"/>
  <c r="AT281" i="37"/>
  <c r="AS281" i="37"/>
  <c r="AR281" i="37"/>
  <c r="AQ281" i="37"/>
  <c r="AP281" i="37"/>
  <c r="AO281" i="37"/>
  <c r="AN281" i="37"/>
  <c r="AM281" i="37"/>
  <c r="AL281" i="37"/>
  <c r="AK281" i="37"/>
  <c r="AJ281" i="37"/>
  <c r="AJ272" i="37" s="1"/>
  <c r="AJ280" i="37"/>
  <c r="AJ279" i="37"/>
  <c r="AJ278" i="37"/>
  <c r="AJ275" i="37"/>
  <c r="AI274" i="37"/>
  <c r="AH274" i="37"/>
  <c r="AG274" i="37"/>
  <c r="AF274" i="37"/>
  <c r="AE274" i="37"/>
  <c r="AD274" i="37"/>
  <c r="AC274" i="37"/>
  <c r="AJ273" i="37"/>
  <c r="AI272" i="37"/>
  <c r="AH272" i="37"/>
  <c r="AG272" i="37"/>
  <c r="AF272" i="37"/>
  <c r="AE272" i="37"/>
  <c r="AJ271" i="37"/>
  <c r="AJ270" i="37"/>
  <c r="BC250" i="37"/>
  <c r="BC255" i="37" s="1"/>
  <c r="BC249" i="37"/>
  <c r="BC254" i="37" s="1"/>
  <c r="BC248" i="37"/>
  <c r="BD248" i="37" s="1"/>
  <c r="BE248" i="37" s="1"/>
  <c r="BE246" i="37" s="1"/>
  <c r="BC247" i="37"/>
  <c r="BC245" i="37" s="1"/>
  <c r="BB246" i="37"/>
  <c r="BA246" i="37"/>
  <c r="AZ246" i="37"/>
  <c r="AY246" i="37"/>
  <c r="AX246" i="37"/>
  <c r="AW246" i="37"/>
  <c r="AW253" i="37" s="1"/>
  <c r="AV246" i="37"/>
  <c r="AU246" i="37"/>
  <c r="AT246" i="37"/>
  <c r="AS246" i="37"/>
  <c r="AR246" i="37"/>
  <c r="AQ246" i="37"/>
  <c r="AP246" i="37"/>
  <c r="AO246" i="37"/>
  <c r="AO253" i="37" s="1"/>
  <c r="AN246" i="37"/>
  <c r="AM246" i="37"/>
  <c r="AL246" i="37"/>
  <c r="AK246" i="37"/>
  <c r="AJ246" i="37"/>
  <c r="AI246" i="37"/>
  <c r="AH246" i="37"/>
  <c r="AG246" i="37"/>
  <c r="AG253" i="37" s="1"/>
  <c r="AF246" i="37"/>
  <c r="AE246" i="37"/>
  <c r="AE253" i="37" s="1"/>
  <c r="BB245" i="37"/>
  <c r="BA245" i="37"/>
  <c r="AZ245" i="37"/>
  <c r="AY245" i="37"/>
  <c r="AX245" i="37"/>
  <c r="AW245" i="37"/>
  <c r="AW252" i="37" s="1"/>
  <c r="AV245" i="37"/>
  <c r="AU245" i="37"/>
  <c r="AT245" i="37"/>
  <c r="AS245" i="37"/>
  <c r="AS252" i="37" s="1"/>
  <c r="AR245" i="37"/>
  <c r="AQ245" i="37"/>
  <c r="AP245" i="37"/>
  <c r="AO245" i="37"/>
  <c r="AO252" i="37" s="1"/>
  <c r="AN245" i="37"/>
  <c r="AM245" i="37"/>
  <c r="AL245" i="37"/>
  <c r="AK245" i="37"/>
  <c r="AK252" i="37" s="1"/>
  <c r="AJ245" i="37"/>
  <c r="AI245" i="37"/>
  <c r="AH245" i="37"/>
  <c r="AG245" i="37"/>
  <c r="AG252" i="37" s="1"/>
  <c r="AF245" i="37"/>
  <c r="AE245" i="37"/>
  <c r="AE252" i="37" s="1"/>
  <c r="AZ244" i="37"/>
  <c r="BA244" i="37" s="1"/>
  <c r="BB244" i="37" s="1"/>
  <c r="BC244" i="37" s="1"/>
  <c r="BD244" i="37" s="1"/>
  <c r="BE244" i="37" s="1"/>
  <c r="BF244" i="37" s="1"/>
  <c r="BG244" i="37" s="1"/>
  <c r="BB243" i="37"/>
  <c r="BC243" i="37" s="1"/>
  <c r="BD243" i="37" s="1"/>
  <c r="BE243" i="37" s="1"/>
  <c r="BF243" i="37" s="1"/>
  <c r="BG243" i="37" s="1"/>
  <c r="AZ243" i="37"/>
  <c r="BA243" i="37" s="1"/>
  <c r="AZ242" i="37"/>
  <c r="BA242" i="37" s="1"/>
  <c r="BA281" i="37" s="1"/>
  <c r="BC238" i="37"/>
  <c r="BD238" i="37" s="1"/>
  <c r="BE238" i="37" s="1"/>
  <c r="BF238" i="37" s="1"/>
  <c r="BG238" i="37" s="1"/>
  <c r="BD237" i="37"/>
  <c r="BE237" i="37" s="1"/>
  <c r="BF237" i="37" s="1"/>
  <c r="BG237" i="37" s="1"/>
  <c r="BC237" i="37"/>
  <c r="BC236" i="37"/>
  <c r="BD236" i="37" s="1"/>
  <c r="BE236" i="37" s="1"/>
  <c r="BF236" i="37" s="1"/>
  <c r="BG236" i="37" s="1"/>
  <c r="BC235" i="37"/>
  <c r="BD235" i="37" s="1"/>
  <c r="BE235" i="37" s="1"/>
  <c r="BF235" i="37" s="1"/>
  <c r="BG235" i="37" s="1"/>
  <c r="BC234" i="37"/>
  <c r="BD234" i="37" s="1"/>
  <c r="BE234" i="37" s="1"/>
  <c r="BF234" i="37" s="1"/>
  <c r="BG234" i="37" s="1"/>
  <c r="BC233" i="37"/>
  <c r="BD233" i="37" s="1"/>
  <c r="BE233" i="37" s="1"/>
  <c r="BF233" i="37" s="1"/>
  <c r="BG233" i="37" s="1"/>
  <c r="BC232" i="37"/>
  <c r="BD232" i="37" s="1"/>
  <c r="BE232" i="37" s="1"/>
  <c r="BF232" i="37" s="1"/>
  <c r="BG232" i="37" s="1"/>
  <c r="BC231" i="37"/>
  <c r="BD231" i="37" s="1"/>
  <c r="BE231" i="37" s="1"/>
  <c r="BF231" i="37" s="1"/>
  <c r="BG231" i="37" s="1"/>
  <c r="BC230" i="37"/>
  <c r="BD230" i="37" s="1"/>
  <c r="BE230" i="37" s="1"/>
  <c r="BF230" i="37" s="1"/>
  <c r="BG230" i="37" s="1"/>
  <c r="BC229" i="37"/>
  <c r="BD229" i="37" s="1"/>
  <c r="BE229" i="37" s="1"/>
  <c r="BF229" i="37" s="1"/>
  <c r="BG229" i="37" s="1"/>
  <c r="BC228" i="37"/>
  <c r="BD228" i="37" s="1"/>
  <c r="BE228" i="37" s="1"/>
  <c r="BF228" i="37" s="1"/>
  <c r="BG228" i="37" s="1"/>
  <c r="BC227" i="37"/>
  <c r="BD227" i="37" s="1"/>
  <c r="BE227" i="37" s="1"/>
  <c r="BF227" i="37" s="1"/>
  <c r="BG227" i="37" s="1"/>
  <c r="BC226" i="37"/>
  <c r="BD226" i="37" s="1"/>
  <c r="BE226" i="37" s="1"/>
  <c r="BF226" i="37" s="1"/>
  <c r="BG226" i="37" s="1"/>
  <c r="BC225" i="37"/>
  <c r="BD225" i="37" s="1"/>
  <c r="BE225" i="37" s="1"/>
  <c r="BF225" i="37" s="1"/>
  <c r="BG225" i="37" s="1"/>
  <c r="AJ224" i="37"/>
  <c r="AJ223" i="37"/>
  <c r="BC222" i="37"/>
  <c r="BD222" i="37" s="1"/>
  <c r="BE222" i="37" s="1"/>
  <c r="BF222" i="37" s="1"/>
  <c r="BG222" i="37" s="1"/>
  <c r="BC221" i="37"/>
  <c r="BD221" i="37" s="1"/>
  <c r="BE221" i="37" s="1"/>
  <c r="BF221" i="37" s="1"/>
  <c r="BG221" i="37" s="1"/>
  <c r="AZ220" i="37"/>
  <c r="BA220" i="37" s="1"/>
  <c r="BB220" i="37" s="1"/>
  <c r="BC220" i="37" s="1"/>
  <c r="BD220" i="37" s="1"/>
  <c r="BE220" i="37" s="1"/>
  <c r="BF220" i="37" s="1"/>
  <c r="BG220" i="37" s="1"/>
  <c r="AZ219" i="37"/>
  <c r="BA219" i="37" s="1"/>
  <c r="BB219" i="37" s="1"/>
  <c r="BC219" i="37" s="1"/>
  <c r="BD219" i="37" s="1"/>
  <c r="BE219" i="37" s="1"/>
  <c r="BF219" i="37" s="1"/>
  <c r="BG219" i="37" s="1"/>
  <c r="AZ218" i="37"/>
  <c r="BA218" i="37" s="1"/>
  <c r="BB218" i="37" s="1"/>
  <c r="BC218" i="37" s="1"/>
  <c r="BD218" i="37" s="1"/>
  <c r="BE218" i="37" s="1"/>
  <c r="BF218" i="37" s="1"/>
  <c r="BG218" i="37" s="1"/>
  <c r="BC216" i="37"/>
  <c r="BD216" i="37" s="1"/>
  <c r="BE216" i="37" s="1"/>
  <c r="BF216" i="37" s="1"/>
  <c r="BG216" i="37" s="1"/>
  <c r="AZ215" i="37"/>
  <c r="BA215" i="37" s="1"/>
  <c r="BB215" i="37" s="1"/>
  <c r="BC215" i="37" s="1"/>
  <c r="BD215" i="37" s="1"/>
  <c r="BE215" i="37" s="1"/>
  <c r="BF215" i="37" s="1"/>
  <c r="BG215" i="37" s="1"/>
  <c r="AZ214" i="37"/>
  <c r="BA214" i="37" s="1"/>
  <c r="BB214" i="37" s="1"/>
  <c r="BC214" i="37" s="1"/>
  <c r="BD214" i="37" s="1"/>
  <c r="BE214" i="37" s="1"/>
  <c r="BF214" i="37" s="1"/>
  <c r="BG214" i="37" s="1"/>
  <c r="AZ213" i="37"/>
  <c r="BA213" i="37" s="1"/>
  <c r="BB213" i="37" s="1"/>
  <c r="BC213" i="37" s="1"/>
  <c r="BD213" i="37" s="1"/>
  <c r="BE213" i="37" s="1"/>
  <c r="BF213" i="37" s="1"/>
  <c r="BG213" i="37" s="1"/>
  <c r="AZ212" i="37"/>
  <c r="BA212" i="37" s="1"/>
  <c r="BB212" i="37" s="1"/>
  <c r="BC212" i="37" s="1"/>
  <c r="BD212" i="37" s="1"/>
  <c r="BE212" i="37" s="1"/>
  <c r="BF212" i="37" s="1"/>
  <c r="BG212" i="37" s="1"/>
  <c r="BB211" i="37"/>
  <c r="BC211" i="37" s="1"/>
  <c r="BD211" i="37" s="1"/>
  <c r="BE211" i="37" s="1"/>
  <c r="BF211" i="37" s="1"/>
  <c r="BG211" i="37" s="1"/>
  <c r="AZ211" i="37"/>
  <c r="BA211" i="37" s="1"/>
  <c r="AZ210" i="37"/>
  <c r="BA210" i="37" s="1"/>
  <c r="BB210" i="37" s="1"/>
  <c r="BC210" i="37" s="1"/>
  <c r="BD210" i="37" s="1"/>
  <c r="BE210" i="37" s="1"/>
  <c r="BF210" i="37" s="1"/>
  <c r="BG210" i="37" s="1"/>
  <c r="AZ209" i="37"/>
  <c r="BA209" i="37" s="1"/>
  <c r="BB209" i="37" s="1"/>
  <c r="BC209" i="37" s="1"/>
  <c r="BD209" i="37" s="1"/>
  <c r="BE209" i="37" s="1"/>
  <c r="BF209" i="37" s="1"/>
  <c r="BG209" i="37" s="1"/>
  <c r="AJ208" i="37"/>
  <c r="AH207" i="37"/>
  <c r="AI207" i="37" s="1"/>
  <c r="AJ207" i="37" s="1"/>
  <c r="AJ206" i="37"/>
  <c r="AJ205" i="37"/>
  <c r="AI202" i="37"/>
  <c r="AI203" i="37" s="1"/>
  <c r="AH202" i="37"/>
  <c r="AH203" i="37" s="1"/>
  <c r="AH204" i="37" s="1"/>
  <c r="AG202" i="37"/>
  <c r="AG203" i="37" s="1"/>
  <c r="AG204" i="37" s="1"/>
  <c r="AJ201" i="37"/>
  <c r="AH200" i="37"/>
  <c r="AI200" i="37" s="1"/>
  <c r="AJ200" i="37" s="1"/>
  <c r="AJ199" i="37"/>
  <c r="AG198" i="37"/>
  <c r="AI197" i="37"/>
  <c r="AI198" i="37" s="1"/>
  <c r="AJ198" i="37" s="1"/>
  <c r="AH197" i="37"/>
  <c r="AH198" i="37" s="1"/>
  <c r="AG197" i="37"/>
  <c r="AJ196" i="37"/>
  <c r="AZ195" i="37"/>
  <c r="BA195" i="37" s="1"/>
  <c r="BB195" i="37" s="1"/>
  <c r="BC195" i="37" s="1"/>
  <c r="BD195" i="37" s="1"/>
  <c r="BE195" i="37" s="1"/>
  <c r="BF195" i="37" s="1"/>
  <c r="BG195" i="37" s="1"/>
  <c r="BC194" i="37"/>
  <c r="BD194" i="37" s="1"/>
  <c r="BE194" i="37" s="1"/>
  <c r="BF194" i="37" s="1"/>
  <c r="BG194" i="37" s="1"/>
  <c r="BC193" i="37"/>
  <c r="BD193" i="37" s="1"/>
  <c r="BE193" i="37" s="1"/>
  <c r="BF193" i="37" s="1"/>
  <c r="BG193" i="37" s="1"/>
  <c r="BD192" i="37"/>
  <c r="BE192" i="37" s="1"/>
  <c r="BF192" i="37" s="1"/>
  <c r="BG192" i="37" s="1"/>
  <c r="BC192" i="37"/>
  <c r="BC191" i="37"/>
  <c r="BD191" i="37" s="1"/>
  <c r="BE191" i="37" s="1"/>
  <c r="BF191" i="37" s="1"/>
  <c r="BG191" i="37" s="1"/>
  <c r="BC190" i="37"/>
  <c r="BD190" i="37" s="1"/>
  <c r="BE190" i="37" s="1"/>
  <c r="BF190" i="37" s="1"/>
  <c r="BG190" i="37" s="1"/>
  <c r="BC189" i="37"/>
  <c r="BD189" i="37" s="1"/>
  <c r="BE189" i="37" s="1"/>
  <c r="BF189" i="37" s="1"/>
  <c r="BG189" i="37" s="1"/>
  <c r="BC188" i="37"/>
  <c r="BD188" i="37" s="1"/>
  <c r="BE188" i="37" s="1"/>
  <c r="BF188" i="37" s="1"/>
  <c r="BG188" i="37" s="1"/>
  <c r="BC187" i="37"/>
  <c r="BD187" i="37" s="1"/>
  <c r="BE187" i="37" s="1"/>
  <c r="BF187" i="37" s="1"/>
  <c r="BG187" i="37" s="1"/>
  <c r="BC186" i="37"/>
  <c r="BD186" i="37" s="1"/>
  <c r="BE186" i="37" s="1"/>
  <c r="BF186" i="37" s="1"/>
  <c r="BG186" i="37" s="1"/>
  <c r="BC185" i="37"/>
  <c r="BD185" i="37" s="1"/>
  <c r="BE185" i="37" s="1"/>
  <c r="BF185" i="37" s="1"/>
  <c r="BG185" i="37" s="1"/>
  <c r="BC184" i="37"/>
  <c r="BD184" i="37" s="1"/>
  <c r="BE184" i="37" s="1"/>
  <c r="BF184" i="37" s="1"/>
  <c r="BG184" i="37" s="1"/>
  <c r="BC183" i="37"/>
  <c r="BD183" i="37" s="1"/>
  <c r="BE183" i="37" s="1"/>
  <c r="BF183" i="37" s="1"/>
  <c r="BG183" i="37" s="1"/>
  <c r="BC182" i="37"/>
  <c r="BD182" i="37" s="1"/>
  <c r="BE182" i="37" s="1"/>
  <c r="BF182" i="37" s="1"/>
  <c r="BG182" i="37" s="1"/>
  <c r="BC181" i="37"/>
  <c r="BD181" i="37" s="1"/>
  <c r="BE181" i="37" s="1"/>
  <c r="BF181" i="37" s="1"/>
  <c r="BG181" i="37" s="1"/>
  <c r="BC180" i="37"/>
  <c r="BD180" i="37" s="1"/>
  <c r="BE180" i="37" s="1"/>
  <c r="BF180" i="37" s="1"/>
  <c r="BG180" i="37" s="1"/>
  <c r="BC179" i="37"/>
  <c r="BD179" i="37" s="1"/>
  <c r="BE179" i="37" s="1"/>
  <c r="BF179" i="37" s="1"/>
  <c r="BG179" i="37" s="1"/>
  <c r="BC178" i="37"/>
  <c r="BD178" i="37" s="1"/>
  <c r="BE178" i="37" s="1"/>
  <c r="BF178" i="37" s="1"/>
  <c r="BG178" i="37" s="1"/>
  <c r="BC177" i="37"/>
  <c r="BD177" i="37" s="1"/>
  <c r="BE177" i="37" s="1"/>
  <c r="BF177" i="37" s="1"/>
  <c r="BG177" i="37" s="1"/>
  <c r="BC176" i="37"/>
  <c r="BD176" i="37" s="1"/>
  <c r="BE176" i="37" s="1"/>
  <c r="BF176" i="37" s="1"/>
  <c r="BG176" i="37" s="1"/>
  <c r="BC174" i="37"/>
  <c r="BD174" i="37" s="1"/>
  <c r="BE174" i="37" s="1"/>
  <c r="BF174" i="37" s="1"/>
  <c r="BG174" i="37" s="1"/>
  <c r="BC173" i="37"/>
  <c r="BD173" i="37" s="1"/>
  <c r="BE173" i="37" s="1"/>
  <c r="BF173" i="37" s="1"/>
  <c r="BG173" i="37" s="1"/>
  <c r="BC172" i="37"/>
  <c r="BD172" i="37" s="1"/>
  <c r="BE172" i="37" s="1"/>
  <c r="BF172" i="37" s="1"/>
  <c r="BG172" i="37" s="1"/>
  <c r="BC171" i="37"/>
  <c r="BD171" i="37" s="1"/>
  <c r="BE171" i="37" s="1"/>
  <c r="BF171" i="37" s="1"/>
  <c r="BG171" i="37" s="1"/>
  <c r="BD170" i="37"/>
  <c r="BE170" i="37" s="1"/>
  <c r="BF170" i="37" s="1"/>
  <c r="BG170" i="37" s="1"/>
  <c r="BC170" i="37"/>
  <c r="BC169" i="37"/>
  <c r="BD169" i="37" s="1"/>
  <c r="BE169" i="37" s="1"/>
  <c r="BF169" i="37" s="1"/>
  <c r="BG169" i="37" s="1"/>
  <c r="BC168" i="37"/>
  <c r="BD168" i="37" s="1"/>
  <c r="BE168" i="37" s="1"/>
  <c r="BF168" i="37" s="1"/>
  <c r="BG168" i="37" s="1"/>
  <c r="BC167" i="37"/>
  <c r="BD167" i="37" s="1"/>
  <c r="BE167" i="37" s="1"/>
  <c r="BF167" i="37" s="1"/>
  <c r="BG167" i="37" s="1"/>
  <c r="BC166" i="37"/>
  <c r="BD166" i="37" s="1"/>
  <c r="BE166" i="37" s="1"/>
  <c r="BF166" i="37" s="1"/>
  <c r="BG166" i="37" s="1"/>
  <c r="BC165" i="37"/>
  <c r="BD165" i="37" s="1"/>
  <c r="BE165" i="37" s="1"/>
  <c r="BF165" i="37" s="1"/>
  <c r="BG165" i="37" s="1"/>
  <c r="BC164" i="37"/>
  <c r="BD164" i="37" s="1"/>
  <c r="BE164" i="37" s="1"/>
  <c r="BF164" i="37" s="1"/>
  <c r="BG164" i="37" s="1"/>
  <c r="BC163" i="37"/>
  <c r="BD163" i="37" s="1"/>
  <c r="BE163" i="37" s="1"/>
  <c r="BF163" i="37" s="1"/>
  <c r="BG163" i="37" s="1"/>
  <c r="BC162" i="37"/>
  <c r="BD162" i="37" s="1"/>
  <c r="BE162" i="37" s="1"/>
  <c r="BF162" i="37" s="1"/>
  <c r="BG162" i="37" s="1"/>
  <c r="BC161" i="37"/>
  <c r="BD161" i="37" s="1"/>
  <c r="BE161" i="37" s="1"/>
  <c r="BF161" i="37" s="1"/>
  <c r="BG161" i="37" s="1"/>
  <c r="BC160" i="37"/>
  <c r="BD160" i="37" s="1"/>
  <c r="BE160" i="37" s="1"/>
  <c r="BF160" i="37" s="1"/>
  <c r="BG160" i="37" s="1"/>
  <c r="BC159" i="37"/>
  <c r="BD159" i="37" s="1"/>
  <c r="BE159" i="37" s="1"/>
  <c r="BF159" i="37" s="1"/>
  <c r="BG159" i="37" s="1"/>
  <c r="BC158" i="37"/>
  <c r="BD158" i="37" s="1"/>
  <c r="BE158" i="37" s="1"/>
  <c r="BF158" i="37" s="1"/>
  <c r="BG158" i="37" s="1"/>
  <c r="BC157" i="37"/>
  <c r="BD157" i="37" s="1"/>
  <c r="BE157" i="37" s="1"/>
  <c r="BF157" i="37" s="1"/>
  <c r="BG157" i="37" s="1"/>
  <c r="BC156" i="37"/>
  <c r="BD156" i="37" s="1"/>
  <c r="BE156" i="37" s="1"/>
  <c r="BF156" i="37" s="1"/>
  <c r="BG156" i="37" s="1"/>
  <c r="BC155" i="37"/>
  <c r="BD155" i="37" s="1"/>
  <c r="BE155" i="37" s="1"/>
  <c r="BF155" i="37" s="1"/>
  <c r="BG155" i="37" s="1"/>
  <c r="BC154" i="37"/>
  <c r="BD154" i="37" s="1"/>
  <c r="BE154" i="37" s="1"/>
  <c r="BF154" i="37" s="1"/>
  <c r="BG154" i="37" s="1"/>
  <c r="BC153" i="37"/>
  <c r="BD153" i="37" s="1"/>
  <c r="BE153" i="37" s="1"/>
  <c r="BF153" i="37" s="1"/>
  <c r="BG153" i="37" s="1"/>
  <c r="BC152" i="37"/>
  <c r="BD152" i="37" s="1"/>
  <c r="BE152" i="37" s="1"/>
  <c r="BF152" i="37" s="1"/>
  <c r="BG152" i="37" s="1"/>
  <c r="BE134" i="37"/>
  <c r="BF134" i="37" s="1"/>
  <c r="BG134" i="37" s="1"/>
  <c r="BC134" i="37"/>
  <c r="BD134" i="37" s="1"/>
  <c r="AZ133" i="37"/>
  <c r="BA133" i="37" s="1"/>
  <c r="BB133" i="37" s="1"/>
  <c r="BC133" i="37" s="1"/>
  <c r="BD133" i="37" s="1"/>
  <c r="BE133" i="37" s="1"/>
  <c r="BF133" i="37" s="1"/>
  <c r="BG133" i="37" s="1"/>
  <c r="AZ132" i="37"/>
  <c r="BA132" i="37" s="1"/>
  <c r="BB132" i="37" s="1"/>
  <c r="BC132" i="37" s="1"/>
  <c r="BD132" i="37" s="1"/>
  <c r="BE132" i="37" s="1"/>
  <c r="BF132" i="37" s="1"/>
  <c r="BG132" i="37" s="1"/>
  <c r="BA131" i="37"/>
  <c r="BB131" i="37" s="1"/>
  <c r="BC131" i="37" s="1"/>
  <c r="BD131" i="37" s="1"/>
  <c r="BE131" i="37" s="1"/>
  <c r="BF131" i="37" s="1"/>
  <c r="BG131" i="37" s="1"/>
  <c r="AZ131" i="37"/>
  <c r="AZ130" i="37"/>
  <c r="BA130" i="37" s="1"/>
  <c r="BB130" i="37" s="1"/>
  <c r="BC130" i="37" s="1"/>
  <c r="BD130" i="37" s="1"/>
  <c r="BE130" i="37" s="1"/>
  <c r="BF130" i="37" s="1"/>
  <c r="BG130" i="37" s="1"/>
  <c r="AZ129" i="37"/>
  <c r="BA129" i="37" s="1"/>
  <c r="BB129" i="37" s="1"/>
  <c r="BC129" i="37" s="1"/>
  <c r="BD129" i="37" s="1"/>
  <c r="BE129" i="37" s="1"/>
  <c r="BF129" i="37" s="1"/>
  <c r="BG129" i="37" s="1"/>
  <c r="AZ128" i="37"/>
  <c r="BA128" i="37" s="1"/>
  <c r="BB128" i="37" s="1"/>
  <c r="BC128" i="37" s="1"/>
  <c r="BD128" i="37" s="1"/>
  <c r="BE128" i="37" s="1"/>
  <c r="BF128" i="37" s="1"/>
  <c r="BG128" i="37" s="1"/>
  <c r="BB127" i="37"/>
  <c r="BA127" i="37"/>
  <c r="AZ127" i="37"/>
  <c r="AY127" i="37"/>
  <c r="AX127" i="37"/>
  <c r="AW127" i="37"/>
  <c r="AV127" i="37"/>
  <c r="AU127" i="37"/>
  <c r="AT127" i="37"/>
  <c r="AS127" i="37"/>
  <c r="AR127" i="37"/>
  <c r="AQ127" i="37"/>
  <c r="AP127" i="37"/>
  <c r="AO127" i="37"/>
  <c r="AN127" i="37"/>
  <c r="AM127" i="37"/>
  <c r="AL127" i="37"/>
  <c r="AK127" i="37"/>
  <c r="AJ127" i="37"/>
  <c r="AI127" i="37"/>
  <c r="AH127" i="37"/>
  <c r="AG127" i="37"/>
  <c r="AF127" i="37"/>
  <c r="AE127" i="37"/>
  <c r="BC126" i="37"/>
  <c r="BC127" i="37" s="1"/>
  <c r="BC125" i="37"/>
  <c r="BD125" i="37" s="1"/>
  <c r="BE125" i="37" s="1"/>
  <c r="BF125" i="37" s="1"/>
  <c r="BG125" i="37" s="1"/>
  <c r="BC124" i="37"/>
  <c r="BD124" i="37" s="1"/>
  <c r="BE124" i="37" s="1"/>
  <c r="BF124" i="37" s="1"/>
  <c r="BG124" i="37" s="1"/>
  <c r="BC123" i="37"/>
  <c r="BD123" i="37" s="1"/>
  <c r="BE123" i="37" s="1"/>
  <c r="BF123" i="37" s="1"/>
  <c r="BG123" i="37" s="1"/>
  <c r="BE122" i="37"/>
  <c r="BF122" i="37" s="1"/>
  <c r="BG122" i="37" s="1"/>
  <c r="BC122" i="37"/>
  <c r="BD122" i="37" s="1"/>
  <c r="BC121" i="37"/>
  <c r="BD121" i="37" s="1"/>
  <c r="BE121" i="37" s="1"/>
  <c r="BF121" i="37" s="1"/>
  <c r="BG121" i="37" s="1"/>
  <c r="Z54" i="37"/>
  <c r="AI48" i="37"/>
  <c r="AH48" i="37"/>
  <c r="AG48" i="37"/>
  <c r="AF48" i="37"/>
  <c r="AJ47" i="37"/>
  <c r="AK47" i="37" s="1"/>
  <c r="AK48" i="37" s="1"/>
  <c r="AI45" i="37"/>
  <c r="AH45" i="37"/>
  <c r="AG45" i="37"/>
  <c r="AF45" i="37"/>
  <c r="AE45" i="37"/>
  <c r="AI44" i="37"/>
  <c r="AI46" i="37" s="1"/>
  <c r="AH44" i="37"/>
  <c r="AH46" i="37" s="1"/>
  <c r="AG44" i="37"/>
  <c r="AG46" i="37" s="1"/>
  <c r="AF44" i="37"/>
  <c r="AF46" i="37" s="1"/>
  <c r="AE44" i="37"/>
  <c r="AE46" i="37" s="1"/>
  <c r="AJ43" i="37"/>
  <c r="AJ44" i="37" s="1"/>
  <c r="AI41" i="37"/>
  <c r="AI26" i="37" s="1"/>
  <c r="AH40" i="37"/>
  <c r="AH27" i="37" s="1"/>
  <c r="AK39" i="37"/>
  <c r="AL39" i="37" s="1"/>
  <c r="AJ39" i="37"/>
  <c r="AJ42" i="37" s="1"/>
  <c r="AJ37" i="37"/>
  <c r="AK37" i="37" s="1"/>
  <c r="AL37" i="37" s="1"/>
  <c r="AM37" i="37" s="1"/>
  <c r="AN37" i="37" s="1"/>
  <c r="AO37" i="37" s="1"/>
  <c r="AP37" i="37" s="1"/>
  <c r="AQ37" i="37" s="1"/>
  <c r="AR37" i="37" s="1"/>
  <c r="AS37" i="37" s="1"/>
  <c r="AT37" i="37" s="1"/>
  <c r="AU37" i="37" s="1"/>
  <c r="AV37" i="37" s="1"/>
  <c r="AW37" i="37" s="1"/>
  <c r="AX37" i="37" s="1"/>
  <c r="AY37" i="37" s="1"/>
  <c r="AZ37" i="37" s="1"/>
  <c r="BA37" i="37" s="1"/>
  <c r="BB37" i="37" s="1"/>
  <c r="BC37" i="37" s="1"/>
  <c r="BD37" i="37" s="1"/>
  <c r="BE37" i="37" s="1"/>
  <c r="BF37" i="37" s="1"/>
  <c r="BG37" i="37" s="1"/>
  <c r="AH36" i="37"/>
  <c r="AH529" i="37" s="1"/>
  <c r="AG36" i="37"/>
  <c r="AF36" i="37"/>
  <c r="AF529" i="37" s="1"/>
  <c r="AE36" i="37"/>
  <c r="AE529" i="37" s="1"/>
  <c r="AJ35" i="37"/>
  <c r="AE34" i="37"/>
  <c r="AF34" i="37" s="1"/>
  <c r="AG34" i="37" s="1"/>
  <c r="AH34" i="37" s="1"/>
  <c r="AI34" i="37" s="1"/>
  <c r="AJ34" i="37" s="1"/>
  <c r="AK34" i="37" s="1"/>
  <c r="AL34" i="37" s="1"/>
  <c r="AM34" i="37" s="1"/>
  <c r="AN34" i="37" s="1"/>
  <c r="AO34" i="37" s="1"/>
  <c r="AP34" i="37" s="1"/>
  <c r="AQ34" i="37" s="1"/>
  <c r="AR34" i="37" s="1"/>
  <c r="AS34" i="37" s="1"/>
  <c r="AT34" i="37" s="1"/>
  <c r="AE33" i="37"/>
  <c r="AF33" i="37" s="1"/>
  <c r="AG33" i="37" s="1"/>
  <c r="AH33" i="37" s="1"/>
  <c r="AI33" i="37" s="1"/>
  <c r="AJ33" i="37" s="1"/>
  <c r="AK33" i="37" s="1"/>
  <c r="AL33" i="37" s="1"/>
  <c r="AM33" i="37" s="1"/>
  <c r="AN33" i="37" s="1"/>
  <c r="AO33" i="37" s="1"/>
  <c r="AP33" i="37" s="1"/>
  <c r="AQ33" i="37" s="1"/>
  <c r="AR33" i="37" s="1"/>
  <c r="AS33" i="37" s="1"/>
  <c r="AT33" i="37" s="1"/>
  <c r="AU33" i="37" s="1"/>
  <c r="AV33" i="37" s="1"/>
  <c r="AW33" i="37" s="1"/>
  <c r="AX33" i="37" s="1"/>
  <c r="AY33" i="37" s="1"/>
  <c r="AZ33" i="37" s="1"/>
  <c r="BA33" i="37" s="1"/>
  <c r="BB33" i="37" s="1"/>
  <c r="BC33" i="37" s="1"/>
  <c r="BD33" i="37" s="1"/>
  <c r="BE33" i="37" s="1"/>
  <c r="BF33" i="37" s="1"/>
  <c r="BG33" i="37" s="1"/>
  <c r="AE32" i="37"/>
  <c r="AF32" i="37" s="1"/>
  <c r="AG32" i="37" s="1"/>
  <c r="AH32" i="37" s="1"/>
  <c r="AI32" i="37" s="1"/>
  <c r="AJ32" i="37" s="1"/>
  <c r="AK32" i="37" s="1"/>
  <c r="AL32" i="37" s="1"/>
  <c r="AM32" i="37" s="1"/>
  <c r="AN32" i="37" s="1"/>
  <c r="AO32" i="37" s="1"/>
  <c r="AP32" i="37" s="1"/>
  <c r="AQ32" i="37" s="1"/>
  <c r="AR32" i="37" s="1"/>
  <c r="AS32" i="37" s="1"/>
  <c r="AT32" i="37" s="1"/>
  <c r="AU32" i="37" s="1"/>
  <c r="AV32" i="37" s="1"/>
  <c r="AW32" i="37" s="1"/>
  <c r="AX32" i="37" s="1"/>
  <c r="AY32" i="37" s="1"/>
  <c r="AZ32" i="37" s="1"/>
  <c r="BA32" i="37" s="1"/>
  <c r="BB32" i="37" s="1"/>
  <c r="BC32" i="37" s="1"/>
  <c r="BD32" i="37" s="1"/>
  <c r="BE32" i="37" s="1"/>
  <c r="BF32" i="37" s="1"/>
  <c r="BG32" i="37" s="1"/>
  <c r="AE31" i="37"/>
  <c r="AF31" i="37" s="1"/>
  <c r="AG31" i="37" s="1"/>
  <c r="AH31" i="37" s="1"/>
  <c r="AI31" i="37" s="1"/>
  <c r="AJ31" i="37" s="1"/>
  <c r="AK31" i="37" s="1"/>
  <c r="AL31" i="37" s="1"/>
  <c r="AM31" i="37" s="1"/>
  <c r="AN31" i="37" s="1"/>
  <c r="AO31" i="37" s="1"/>
  <c r="AP31" i="37" s="1"/>
  <c r="AQ31" i="37" s="1"/>
  <c r="AR31" i="37" s="1"/>
  <c r="AS31" i="37" s="1"/>
  <c r="AT31" i="37" s="1"/>
  <c r="AU31" i="37" s="1"/>
  <c r="AV31" i="37" s="1"/>
  <c r="AW31" i="37" s="1"/>
  <c r="AX31" i="37" s="1"/>
  <c r="AY31" i="37" s="1"/>
  <c r="AZ31" i="37" s="1"/>
  <c r="BA31" i="37" s="1"/>
  <c r="BB31" i="37" s="1"/>
  <c r="BC31" i="37" s="1"/>
  <c r="BD31" i="37" s="1"/>
  <c r="BE31" i="37" s="1"/>
  <c r="BF31" i="37" s="1"/>
  <c r="BG31" i="37" s="1"/>
  <c r="AJ30" i="37"/>
  <c r="AI30" i="37"/>
  <c r="AH30" i="37"/>
  <c r="AG30" i="37"/>
  <c r="AF30" i="37"/>
  <c r="AE30" i="37"/>
  <c r="AK29" i="37"/>
  <c r="AK30" i="37" s="1"/>
  <c r="BB28" i="37"/>
  <c r="BA28" i="37"/>
  <c r="AZ28" i="37"/>
  <c r="AY28" i="37"/>
  <c r="AX28" i="37"/>
  <c r="AW28" i="37"/>
  <c r="AV28" i="37"/>
  <c r="AU28" i="37"/>
  <c r="AT28" i="37"/>
  <c r="AS28" i="37"/>
  <c r="AR28" i="37"/>
  <c r="AQ28" i="37"/>
  <c r="AP28" i="37"/>
  <c r="AO28" i="37"/>
  <c r="AN28" i="37"/>
  <c r="AM28" i="37"/>
  <c r="AL28" i="37"/>
  <c r="AK28" i="37"/>
  <c r="AJ28" i="37"/>
  <c r="AI28" i="37"/>
  <c r="AH28" i="37"/>
  <c r="AG28" i="37"/>
  <c r="AF28" i="37"/>
  <c r="AE28" i="37"/>
  <c r="AG27" i="37"/>
  <c r="AF27" i="37"/>
  <c r="AE27" i="37"/>
  <c r="AH26" i="37"/>
  <c r="AG26" i="37"/>
  <c r="AF26" i="37"/>
  <c r="AE26" i="37"/>
  <c r="AJ25" i="37"/>
  <c r="AI24" i="37"/>
  <c r="AH24" i="37"/>
  <c r="AG24" i="37"/>
  <c r="AF24" i="37"/>
  <c r="AE24" i="37"/>
  <c r="AJ23" i="37"/>
  <c r="AJ22" i="37"/>
  <c r="AK22" i="37" s="1"/>
  <c r="AJ21" i="37"/>
  <c r="AK21" i="37" s="1"/>
  <c r="AL21" i="37" s="1"/>
  <c r="AJ20" i="37"/>
  <c r="AK20" i="37" s="1"/>
  <c r="AL20" i="37" s="1"/>
  <c r="AM20" i="37" s="1"/>
  <c r="AN20" i="37" s="1"/>
  <c r="AO20" i="37" s="1"/>
  <c r="AP20" i="37" s="1"/>
  <c r="AQ20" i="37" s="1"/>
  <c r="AR20" i="37" s="1"/>
  <c r="AS20" i="37" s="1"/>
  <c r="AT20" i="37" s="1"/>
  <c r="AU20" i="37" s="1"/>
  <c r="AV20" i="37" s="1"/>
  <c r="AW20" i="37" s="1"/>
  <c r="AX20" i="37" s="1"/>
  <c r="AY20" i="37" s="1"/>
  <c r="AZ20" i="37" s="1"/>
  <c r="BA20" i="37" s="1"/>
  <c r="BB20" i="37" s="1"/>
  <c r="BC20" i="37" s="1"/>
  <c r="BD20" i="37" s="1"/>
  <c r="BE20" i="37" s="1"/>
  <c r="BF20" i="37" s="1"/>
  <c r="BG20" i="37" s="1"/>
  <c r="AE18" i="37"/>
  <c r="AF18" i="37" s="1"/>
  <c r="AG18" i="37" s="1"/>
  <c r="AH18" i="37" s="1"/>
  <c r="AI18" i="37" s="1"/>
  <c r="AJ18" i="37" s="1"/>
  <c r="AK18" i="37" s="1"/>
  <c r="AL18" i="37" s="1"/>
  <c r="AM18" i="37" s="1"/>
  <c r="AN18" i="37" s="1"/>
  <c r="AO18" i="37" s="1"/>
  <c r="AP18" i="37" s="1"/>
  <c r="AQ18" i="37" s="1"/>
  <c r="AR18" i="37" s="1"/>
  <c r="AS18" i="37" s="1"/>
  <c r="AT18" i="37" s="1"/>
  <c r="AU18" i="37" s="1"/>
  <c r="AV18" i="37" s="1"/>
  <c r="AW18" i="37" s="1"/>
  <c r="AX18" i="37" s="1"/>
  <c r="AY18" i="37" s="1"/>
  <c r="AZ18" i="37" s="1"/>
  <c r="BA18" i="37" s="1"/>
  <c r="BB18" i="37" s="1"/>
  <c r="BC18" i="37" s="1"/>
  <c r="BD18" i="37" s="1"/>
  <c r="BE18" i="37" s="1"/>
  <c r="BF18" i="37" s="1"/>
  <c r="BG18" i="37" s="1"/>
  <c r="AE17" i="37"/>
  <c r="AF17" i="37" s="1"/>
  <c r="AG17" i="37" s="1"/>
  <c r="AH17" i="37" s="1"/>
  <c r="AI17" i="37" s="1"/>
  <c r="AJ17" i="37" s="1"/>
  <c r="AK17" i="37" s="1"/>
  <c r="AL17" i="37" s="1"/>
  <c r="AM17" i="37" s="1"/>
  <c r="AN17" i="37" s="1"/>
  <c r="AO17" i="37" s="1"/>
  <c r="AP17" i="37" s="1"/>
  <c r="AQ17" i="37" s="1"/>
  <c r="AR17" i="37" s="1"/>
  <c r="AS17" i="37" s="1"/>
  <c r="AT17" i="37" s="1"/>
  <c r="AU17" i="37" s="1"/>
  <c r="AV17" i="37" s="1"/>
  <c r="AW17" i="37" s="1"/>
  <c r="AX17" i="37" s="1"/>
  <c r="AY17" i="37" s="1"/>
  <c r="AZ17" i="37" s="1"/>
  <c r="BA17" i="37" s="1"/>
  <c r="BB17" i="37" s="1"/>
  <c r="BC17" i="37" s="1"/>
  <c r="BD17" i="37" s="1"/>
  <c r="BE17" i="37" s="1"/>
  <c r="BF17" i="37" s="1"/>
  <c r="BG17" i="37" s="1"/>
  <c r="AE16" i="37"/>
  <c r="AF16" i="37" s="1"/>
  <c r="AG16" i="37" s="1"/>
  <c r="AH16" i="37" s="1"/>
  <c r="AI16" i="37" s="1"/>
  <c r="AJ16" i="37" s="1"/>
  <c r="AK16" i="37" s="1"/>
  <c r="AL16" i="37" s="1"/>
  <c r="AM16" i="37" s="1"/>
  <c r="AN16" i="37" s="1"/>
  <c r="AO16" i="37" s="1"/>
  <c r="AP16" i="37" s="1"/>
  <c r="AQ16" i="37" s="1"/>
  <c r="AR16" i="37" s="1"/>
  <c r="AS16" i="37" s="1"/>
  <c r="AT16" i="37" s="1"/>
  <c r="AU16" i="37" s="1"/>
  <c r="AV16" i="37" s="1"/>
  <c r="AW16" i="37" s="1"/>
  <c r="AX16" i="37" s="1"/>
  <c r="AY16" i="37" s="1"/>
  <c r="AZ16" i="37" s="1"/>
  <c r="BA16" i="37" s="1"/>
  <c r="BB16" i="37" s="1"/>
  <c r="BC16" i="37" s="1"/>
  <c r="BD16" i="37" s="1"/>
  <c r="BE16" i="37" s="1"/>
  <c r="BF16" i="37" s="1"/>
  <c r="BG16" i="37" s="1"/>
  <c r="AI15" i="37"/>
  <c r="AH15" i="37"/>
  <c r="AG15" i="37"/>
  <c r="AF15" i="37"/>
  <c r="AE15" i="37"/>
  <c r="AJ14" i="37"/>
  <c r="AE13" i="37"/>
  <c r="AF13" i="37" s="1"/>
  <c r="AG13" i="37" s="1"/>
  <c r="AH13" i="37" s="1"/>
  <c r="AI13" i="37" s="1"/>
  <c r="AJ13" i="37" s="1"/>
  <c r="AK13" i="37" s="1"/>
  <c r="AL13" i="37" s="1"/>
  <c r="AM13" i="37" s="1"/>
  <c r="AN13" i="37" s="1"/>
  <c r="AO13" i="37" s="1"/>
  <c r="AP13" i="37" s="1"/>
  <c r="AQ13" i="37" s="1"/>
  <c r="AR13" i="37" s="1"/>
  <c r="AS13" i="37" s="1"/>
  <c r="AT13" i="37" s="1"/>
  <c r="AU13" i="37" s="1"/>
  <c r="AV13" i="37" s="1"/>
  <c r="AW13" i="37" s="1"/>
  <c r="AX13" i="37" s="1"/>
  <c r="AY13" i="37" s="1"/>
  <c r="AZ13" i="37" s="1"/>
  <c r="BA13" i="37" s="1"/>
  <c r="BB13" i="37" s="1"/>
  <c r="BC13" i="37" s="1"/>
  <c r="BD13" i="37" s="1"/>
  <c r="BE13" i="37" s="1"/>
  <c r="BF13" i="37" s="1"/>
  <c r="BG13" i="37" s="1"/>
  <c r="AE12" i="37"/>
  <c r="AF12" i="37" s="1"/>
  <c r="AG12" i="37" s="1"/>
  <c r="AH12" i="37" s="1"/>
  <c r="AI12" i="37" s="1"/>
  <c r="AJ12" i="37" s="1"/>
  <c r="AK12" i="37" s="1"/>
  <c r="AL12" i="37" s="1"/>
  <c r="AM12" i="37" s="1"/>
  <c r="AN12" i="37" s="1"/>
  <c r="AO12" i="37" s="1"/>
  <c r="AP12" i="37" s="1"/>
  <c r="AQ12" i="37" s="1"/>
  <c r="AR12" i="37" s="1"/>
  <c r="AS12" i="37" s="1"/>
  <c r="AT12" i="37" s="1"/>
  <c r="AU12" i="37" s="1"/>
  <c r="AV12" i="37" s="1"/>
  <c r="AW12" i="37" s="1"/>
  <c r="AX12" i="37" s="1"/>
  <c r="AY12" i="37" s="1"/>
  <c r="AZ12" i="37" s="1"/>
  <c r="BA12" i="37" s="1"/>
  <c r="BB12" i="37" s="1"/>
  <c r="BC12" i="37" s="1"/>
  <c r="BD12" i="37" s="1"/>
  <c r="BE12" i="37" s="1"/>
  <c r="BF12" i="37" s="1"/>
  <c r="BG12" i="37" s="1"/>
  <c r="AJ11" i="37"/>
  <c r="AK11" i="37" s="1"/>
  <c r="AJ10" i="37"/>
  <c r="AK10" i="37" s="1"/>
  <c r="AL10" i="37" s="1"/>
  <c r="AM10" i="37" s="1"/>
  <c r="AN10" i="37" s="1"/>
  <c r="AO10" i="37" s="1"/>
  <c r="AP10" i="37" s="1"/>
  <c r="AQ10" i="37" s="1"/>
  <c r="AR10" i="37" s="1"/>
  <c r="AS10" i="37" s="1"/>
  <c r="AT10" i="37" s="1"/>
  <c r="AU10" i="37" s="1"/>
  <c r="AV10" i="37" s="1"/>
  <c r="AW10" i="37" s="1"/>
  <c r="AX10" i="37" s="1"/>
  <c r="AY10" i="37" s="1"/>
  <c r="AZ10" i="37" s="1"/>
  <c r="BA10" i="37" s="1"/>
  <c r="BB10" i="37" s="1"/>
  <c r="BC10" i="37" s="1"/>
  <c r="BD10" i="37" s="1"/>
  <c r="BE10" i="37" s="1"/>
  <c r="BF10" i="37" s="1"/>
  <c r="BG10" i="37" s="1"/>
  <c r="AJ9" i="37"/>
  <c r="AJ546" i="37" s="1"/>
  <c r="AJ6" i="37"/>
  <c r="AK5" i="37"/>
  <c r="AK273" i="37" s="1"/>
  <c r="BC4" i="37"/>
  <c r="BC28" i="37" s="1"/>
  <c r="AK3" i="37"/>
  <c r="AK2" i="37"/>
  <c r="AL2" i="37" s="1"/>
  <c r="AM2" i="37" s="1"/>
  <c r="AB18" i="42"/>
  <c r="Z18" i="42"/>
  <c r="AC18" i="42"/>
  <c r="Y18" i="42"/>
  <c r="W18" i="42"/>
  <c r="X18" i="42"/>
  <c r="AA18" i="42"/>
  <c r="AD18" i="42"/>
  <c r="Y77" i="42" l="1"/>
  <c r="AC77" i="42"/>
  <c r="Z77" i="42"/>
  <c r="AB77" i="42"/>
  <c r="AD77" i="42"/>
  <c r="W77" i="42"/>
  <c r="AA77" i="42"/>
  <c r="X77" i="42"/>
  <c r="AT252" i="37"/>
  <c r="AL253" i="37"/>
  <c r="BB253" i="37"/>
  <c r="AK9" i="37"/>
  <c r="AK546" i="37" s="1"/>
  <c r="AL252" i="37"/>
  <c r="BB252" i="37"/>
  <c r="AT253" i="37"/>
  <c r="AJ41" i="37"/>
  <c r="AK41" i="37" s="1"/>
  <c r="AL41" i="37" s="1"/>
  <c r="BD126" i="37"/>
  <c r="BD127" i="37" s="1"/>
  <c r="BD250" i="37"/>
  <c r="BD255" i="37" s="1"/>
  <c r="AK43" i="37"/>
  <c r="BD4" i="37"/>
  <c r="BE4" i="37" s="1"/>
  <c r="BF4" i="37" s="1"/>
  <c r="AU34" i="37"/>
  <c r="AV34" i="37" s="1"/>
  <c r="AW34" i="37" s="1"/>
  <c r="AX34" i="37" s="1"/>
  <c r="AY34" i="37" s="1"/>
  <c r="AZ34" i="37" s="1"/>
  <c r="BA34" i="37" s="1"/>
  <c r="BB34" i="37" s="1"/>
  <c r="BC34" i="37" s="1"/>
  <c r="BD34" i="37" s="1"/>
  <c r="BE34" i="37" s="1"/>
  <c r="BF34" i="37" s="1"/>
  <c r="BG34" i="37" s="1"/>
  <c r="AK23" i="37"/>
  <c r="AL23" i="37" s="1"/>
  <c r="AL47" i="37"/>
  <c r="AL48" i="37" s="1"/>
  <c r="AI252" i="37"/>
  <c r="AQ252" i="37"/>
  <c r="AY252" i="37"/>
  <c r="AI253" i="37"/>
  <c r="AQ253" i="37"/>
  <c r="AY253" i="37"/>
  <c r="BD249" i="37"/>
  <c r="AI522" i="37"/>
  <c r="AJ522" i="37" s="1"/>
  <c r="AJ523" i="37" s="1"/>
  <c r="AH535" i="37"/>
  <c r="AF8" i="37"/>
  <c r="AI518" i="37"/>
  <c r="AI535" i="37"/>
  <c r="AL5" i="37"/>
  <c r="AL273" i="37" s="1"/>
  <c r="AI36" i="37"/>
  <c r="AI529" i="37" s="1"/>
  <c r="BA252" i="37"/>
  <c r="AK253" i="37"/>
  <c r="AS253" i="37"/>
  <c r="BA253" i="37"/>
  <c r="AH533" i="37"/>
  <c r="AH532" i="37" s="1"/>
  <c r="AM252" i="37"/>
  <c r="AU252" i="37"/>
  <c r="AM253" i="37"/>
  <c r="AU253" i="37"/>
  <c r="BC246" i="37"/>
  <c r="BC253" i="37" s="1"/>
  <c r="AJ202" i="37"/>
  <c r="AL29" i="37"/>
  <c r="AM29" i="37" s="1"/>
  <c r="AN29" i="37" s="1"/>
  <c r="AJ49" i="37"/>
  <c r="AK49" i="37" s="1"/>
  <c r="AL49" i="37" s="1"/>
  <c r="AF252" i="37"/>
  <c r="AN252" i="37"/>
  <c r="AV252" i="37"/>
  <c r="AF253" i="37"/>
  <c r="AN253" i="37"/>
  <c r="AV253" i="37"/>
  <c r="BD246" i="37"/>
  <c r="BC252" i="37"/>
  <c r="BC256" i="37"/>
  <c r="AJ7" i="37"/>
  <c r="AJ19" i="37"/>
  <c r="BE126" i="37"/>
  <c r="AH252" i="37"/>
  <c r="AP252" i="37"/>
  <c r="AX252" i="37"/>
  <c r="AH253" i="37"/>
  <c r="AP253" i="37"/>
  <c r="AX253" i="37"/>
  <c r="BD247" i="37"/>
  <c r="BE247" i="37" s="1"/>
  <c r="AH38" i="37"/>
  <c r="AK42" i="37"/>
  <c r="AH517" i="37"/>
  <c r="AH516" i="37" s="1"/>
  <c r="AK19" i="37"/>
  <c r="AH8" i="37"/>
  <c r="AJ252" i="37"/>
  <c r="AR252" i="37"/>
  <c r="AZ252" i="37"/>
  <c r="AJ253" i="37"/>
  <c r="AR253" i="37"/>
  <c r="AZ253" i="37"/>
  <c r="BF248" i="37"/>
  <c r="BF246" i="37" s="1"/>
  <c r="BF253" i="37" s="1"/>
  <c r="AJ274" i="37"/>
  <c r="AJ24" i="37"/>
  <c r="AK198" i="37"/>
  <c r="AL42" i="37"/>
  <c r="AM39" i="37"/>
  <c r="AM21" i="37" s="1"/>
  <c r="AL22" i="37"/>
  <c r="AM547" i="37"/>
  <c r="AM313" i="37" s="1"/>
  <c r="AM545" i="37"/>
  <c r="AM280" i="37"/>
  <c r="AN2" i="37"/>
  <c r="AL11" i="37"/>
  <c r="AJ528" i="37"/>
  <c r="AL9" i="37"/>
  <c r="AK25" i="37"/>
  <c r="BD28" i="37"/>
  <c r="AK35" i="37"/>
  <c r="AL280" i="37"/>
  <c r="AL547" i="37"/>
  <c r="AL313" i="37" s="1"/>
  <c r="AL545" i="37"/>
  <c r="AJ46" i="37"/>
  <c r="AJ309" i="37"/>
  <c r="AJ303" i="37"/>
  <c r="AJ45" i="37"/>
  <c r="AK14" i="37"/>
  <c r="AG529" i="37"/>
  <c r="AG8" i="37"/>
  <c r="AK201" i="37"/>
  <c r="AL201" i="37" s="1"/>
  <c r="AL43" i="37"/>
  <c r="AK44" i="37"/>
  <c r="AK196" i="37"/>
  <c r="AL30" i="37"/>
  <c r="AJ15" i="37"/>
  <c r="AJ305" i="37" s="1"/>
  <c r="AI40" i="37"/>
  <c r="AM47" i="37"/>
  <c r="AK757" i="37"/>
  <c r="AK758" i="37"/>
  <c r="AK759" i="37"/>
  <c r="AK483" i="37"/>
  <c r="AK484" i="37" s="1"/>
  <c r="AK485" i="37" s="1"/>
  <c r="AK486" i="37" s="1"/>
  <c r="AK487" i="37" s="1"/>
  <c r="AK488" i="37" s="1"/>
  <c r="AK489" i="37" s="1"/>
  <c r="AK490" i="37" s="1"/>
  <c r="AK282" i="37"/>
  <c r="AK272" i="37" s="1"/>
  <c r="AK270" i="37"/>
  <c r="AK275" i="37"/>
  <c r="AK271" i="37"/>
  <c r="AK278" i="37"/>
  <c r="AK279" i="37"/>
  <c r="AK224" i="37"/>
  <c r="AL224" i="37" s="1"/>
  <c r="AK200" i="37"/>
  <c r="AK6" i="37"/>
  <c r="AK547" i="37"/>
  <c r="AK313" i="37" s="1"/>
  <c r="AK545" i="37"/>
  <c r="AK424" i="37"/>
  <c r="AL424" i="37" s="1"/>
  <c r="AM424" i="37" s="1"/>
  <c r="AN424" i="37" s="1"/>
  <c r="AK280" i="37"/>
  <c r="AL3" i="37"/>
  <c r="AJ48" i="37"/>
  <c r="AK199" i="37"/>
  <c r="AK205" i="37"/>
  <c r="AK223" i="37"/>
  <c r="AJ197" i="37"/>
  <c r="AK197" i="37" s="1"/>
  <c r="AK206" i="37"/>
  <c r="AK202" i="37"/>
  <c r="AL202" i="37" s="1"/>
  <c r="AK207" i="37"/>
  <c r="AL207" i="37" s="1"/>
  <c r="AK208" i="37"/>
  <c r="AI204" i="37"/>
  <c r="AJ204" i="37" s="1"/>
  <c r="AK204" i="37" s="1"/>
  <c r="AJ203" i="37"/>
  <c r="AK203" i="37" s="1"/>
  <c r="AI527" i="37"/>
  <c r="AJ526" i="37"/>
  <c r="AK423" i="37"/>
  <c r="AL423" i="37" s="1"/>
  <c r="AM423" i="37" s="1"/>
  <c r="AK425" i="37"/>
  <c r="AL425" i="37" s="1"/>
  <c r="AM425" i="37" s="1"/>
  <c r="AK510" i="37"/>
  <c r="AJ511" i="37"/>
  <c r="AI515" i="37"/>
  <c r="AJ514" i="37"/>
  <c r="AI513" i="37"/>
  <c r="AK321" i="37"/>
  <c r="AL321" i="37" s="1"/>
  <c r="BB242" i="37"/>
  <c r="AK323" i="37"/>
  <c r="AK422" i="37"/>
  <c r="AL422" i="37" s="1"/>
  <c r="AM422" i="37" s="1"/>
  <c r="AN422" i="37" s="1"/>
  <c r="AH520" i="37"/>
  <c r="AK522" i="37"/>
  <c r="AH531" i="37"/>
  <c r="AI530" i="37"/>
  <c r="AJ535" i="37"/>
  <c r="AK534" i="37"/>
  <c r="AI509" i="37"/>
  <c r="AI511" i="37"/>
  <c r="AH525" i="37"/>
  <c r="AH527" i="37"/>
  <c r="AM41" i="37" l="1"/>
  <c r="AK40" i="37"/>
  <c r="AI521" i="37"/>
  <c r="AI520" i="37" s="1"/>
  <c r="AM23" i="37"/>
  <c r="AI523" i="37"/>
  <c r="BE28" i="37"/>
  <c r="BD245" i="37"/>
  <c r="BD252" i="37" s="1"/>
  <c r="AM321" i="37"/>
  <c r="AJ26" i="37"/>
  <c r="AL323" i="37"/>
  <c r="AJ40" i="37"/>
  <c r="BD253" i="37"/>
  <c r="AI533" i="37"/>
  <c r="AI532" i="37" s="1"/>
  <c r="AN425" i="37"/>
  <c r="AM5" i="37"/>
  <c r="AN423" i="37"/>
  <c r="AM30" i="37"/>
  <c r="BE250" i="37"/>
  <c r="AL198" i="37"/>
  <c r="AI8" i="37"/>
  <c r="AI519" i="37"/>
  <c r="AJ518" i="37"/>
  <c r="AM11" i="37"/>
  <c r="AJ36" i="37"/>
  <c r="AJ38" i="37" s="1"/>
  <c r="BE253" i="37"/>
  <c r="AM49" i="37"/>
  <c r="BD254" i="37"/>
  <c r="BE249" i="37"/>
  <c r="AL206" i="37"/>
  <c r="AM206" i="37" s="1"/>
  <c r="AJ27" i="37"/>
  <c r="AL197" i="37"/>
  <c r="AM197" i="37" s="1"/>
  <c r="AL196" i="37"/>
  <c r="AM196" i="37" s="1"/>
  <c r="AI517" i="37"/>
  <c r="AL203" i="37"/>
  <c r="AL204" i="37"/>
  <c r="BF250" i="37"/>
  <c r="BE255" i="37"/>
  <c r="BE127" i="37"/>
  <c r="BF126" i="37"/>
  <c r="BD256" i="37"/>
  <c r="AL223" i="37"/>
  <c r="AL205" i="37"/>
  <c r="AL208" i="37"/>
  <c r="AL199" i="37"/>
  <c r="BG248" i="37"/>
  <c r="BG246" i="37" s="1"/>
  <c r="BG253" i="37" s="1"/>
  <c r="AL200" i="37"/>
  <c r="AM200" i="37" s="1"/>
  <c r="AI508" i="37"/>
  <c r="AJ509" i="37"/>
  <c r="AJ508" i="37" s="1"/>
  <c r="AK511" i="37"/>
  <c r="AL510" i="37"/>
  <c r="AO29" i="37"/>
  <c r="AN30" i="37"/>
  <c r="AL758" i="37"/>
  <c r="AL759" i="37"/>
  <c r="AL757" i="37"/>
  <c r="AL483" i="37"/>
  <c r="AL484" i="37" s="1"/>
  <c r="AL485" i="37" s="1"/>
  <c r="AL486" i="37" s="1"/>
  <c r="AL487" i="37" s="1"/>
  <c r="AL488" i="37" s="1"/>
  <c r="AL489" i="37" s="1"/>
  <c r="AL490" i="37" s="1"/>
  <c r="AL282" i="37"/>
  <c r="AL272" i="37" s="1"/>
  <c r="AL279" i="37"/>
  <c r="AL278" i="37"/>
  <c r="AL275" i="37"/>
  <c r="AL271" i="37"/>
  <c r="AL270" i="37"/>
  <c r="AL19" i="37"/>
  <c r="AL6" i="37"/>
  <c r="AM3" i="37"/>
  <c r="AM207" i="37" s="1"/>
  <c r="AJ304" i="37"/>
  <c r="AI38" i="37"/>
  <c r="AI27" i="37"/>
  <c r="AN547" i="37"/>
  <c r="AN313" i="37" s="1"/>
  <c r="AN545" i="37"/>
  <c r="AN280" i="37"/>
  <c r="AO2" i="37"/>
  <c r="AM22" i="37"/>
  <c r="AK523" i="37"/>
  <c r="AL522" i="37"/>
  <c r="AJ521" i="37"/>
  <c r="AJ520" i="37" s="1"/>
  <c r="AJ533" i="37"/>
  <c r="AK535" i="37"/>
  <c r="AL534" i="37"/>
  <c r="AI512" i="37"/>
  <c r="AJ513" i="37"/>
  <c r="AJ512" i="37" s="1"/>
  <c r="AK528" i="37"/>
  <c r="AL35" i="37"/>
  <c r="AN39" i="37"/>
  <c r="AM42" i="37"/>
  <c r="AK514" i="37"/>
  <c r="AJ515" i="37"/>
  <c r="AK274" i="37"/>
  <c r="AM43" i="37"/>
  <c r="AL44" i="37"/>
  <c r="AH524" i="37"/>
  <c r="AI525" i="37"/>
  <c r="AI524" i="37" s="1"/>
  <c r="AJ530" i="37"/>
  <c r="AI531" i="37"/>
  <c r="AK526" i="37"/>
  <c r="AJ527" i="37"/>
  <c r="AL25" i="37"/>
  <c r="AK24" i="37"/>
  <c r="BB281" i="37"/>
  <c r="BC242" i="37"/>
  <c r="AL546" i="37"/>
  <c r="AM9" i="37"/>
  <c r="BG4" i="37"/>
  <c r="BG28" i="37" s="1"/>
  <c r="BF28" i="37"/>
  <c r="BF247" i="37"/>
  <c r="BE245" i="37"/>
  <c r="AM48" i="37"/>
  <c r="AN47" i="37"/>
  <c r="AK309" i="37"/>
  <c r="AK7" i="37"/>
  <c r="AK303" i="37"/>
  <c r="AL14" i="37"/>
  <c r="AK45" i="37"/>
  <c r="AK15" i="37"/>
  <c r="AK305" i="37" s="1"/>
  <c r="AK26" i="37"/>
  <c r="AN11" i="37" l="1"/>
  <c r="AM202" i="37"/>
  <c r="AM323" i="37"/>
  <c r="AM273" i="37"/>
  <c r="AN5" i="37"/>
  <c r="AM201" i="37"/>
  <c r="AM199" i="37"/>
  <c r="AN199" i="37" s="1"/>
  <c r="AM224" i="37"/>
  <c r="AM198" i="37"/>
  <c r="AM208" i="37"/>
  <c r="AM223" i="37"/>
  <c r="AN223" i="37" s="1"/>
  <c r="BE252" i="37"/>
  <c r="AL274" i="37"/>
  <c r="AM40" i="37"/>
  <c r="AL40" i="37"/>
  <c r="AN41" i="37"/>
  <c r="AO41" i="37" s="1"/>
  <c r="AK518" i="37"/>
  <c r="AJ519" i="37"/>
  <c r="BF249" i="37"/>
  <c r="BE254" i="37"/>
  <c r="AJ529" i="37"/>
  <c r="AK36" i="37"/>
  <c r="AK8" i="37" s="1"/>
  <c r="AJ8" i="37"/>
  <c r="AJ517" i="37"/>
  <c r="AJ516" i="37" s="1"/>
  <c r="AM205" i="37"/>
  <c r="AM204" i="37"/>
  <c r="AM203" i="37"/>
  <c r="AN22" i="37"/>
  <c r="BE256" i="37"/>
  <c r="AN21" i="37"/>
  <c r="BF127" i="37"/>
  <c r="BG126" i="37"/>
  <c r="BG127" i="37" s="1"/>
  <c r="AI516" i="37"/>
  <c r="BG250" i="37"/>
  <c r="BG255" i="37" s="1"/>
  <c r="BF255" i="37"/>
  <c r="AN48" i="37"/>
  <c r="AO47" i="37"/>
  <c r="AK533" i="37"/>
  <c r="AO39" i="37"/>
  <c r="AN42" i="37"/>
  <c r="AJ532" i="37"/>
  <c r="AO547" i="37"/>
  <c r="AO313" i="37" s="1"/>
  <c r="AO545" i="37"/>
  <c r="AO280" i="37"/>
  <c r="AP2" i="37"/>
  <c r="AO425" i="37"/>
  <c r="AK517" i="37"/>
  <c r="AO424" i="37"/>
  <c r="AL528" i="37"/>
  <c r="AM35" i="37"/>
  <c r="AO423" i="37"/>
  <c r="AL303" i="37"/>
  <c r="AL309" i="37"/>
  <c r="AL45" i="37"/>
  <c r="AM14" i="37"/>
  <c r="AL15" i="37"/>
  <c r="AL305" i="37" s="1"/>
  <c r="AL26" i="37"/>
  <c r="AL7" i="37"/>
  <c r="AN23" i="37"/>
  <c r="AJ531" i="37"/>
  <c r="AK530" i="37"/>
  <c r="AK513" i="37"/>
  <c r="AK512" i="37"/>
  <c r="AK521" i="37"/>
  <c r="AK520" i="37"/>
  <c r="AM757" i="37"/>
  <c r="AM758" i="37"/>
  <c r="AM759" i="37"/>
  <c r="AM483" i="37"/>
  <c r="AM484" i="37" s="1"/>
  <c r="AM485" i="37" s="1"/>
  <c r="AM486" i="37" s="1"/>
  <c r="AM487" i="37" s="1"/>
  <c r="AM488" i="37" s="1"/>
  <c r="AM489" i="37" s="1"/>
  <c r="AM490" i="37" s="1"/>
  <c r="AM271" i="37"/>
  <c r="AM270" i="37"/>
  <c r="AM282" i="37"/>
  <c r="AM272" i="37" s="1"/>
  <c r="AM275" i="37"/>
  <c r="AM278" i="37"/>
  <c r="AM279" i="37"/>
  <c r="AM6" i="37"/>
  <c r="AM19" i="37"/>
  <c r="AN3" i="37"/>
  <c r="AN208" i="37" s="1"/>
  <c r="AK304" i="37"/>
  <c r="AM510" i="37"/>
  <c r="AL511" i="37"/>
  <c r="AO11" i="37"/>
  <c r="AN206" i="37"/>
  <c r="BD242" i="37"/>
  <c r="BC281" i="37"/>
  <c r="AN43" i="37"/>
  <c r="AM44" i="37"/>
  <c r="AL526" i="37"/>
  <c r="AK527" i="37"/>
  <c r="BF245" i="37"/>
  <c r="BF252" i="37" s="1"/>
  <c r="BG247" i="37"/>
  <c r="BG245" i="37" s="1"/>
  <c r="BG252" i="37" s="1"/>
  <c r="AJ525" i="37"/>
  <c r="AJ524" i="37" s="1"/>
  <c r="AO422" i="37"/>
  <c r="AO30" i="37"/>
  <c r="AP29" i="37"/>
  <c r="AK27" i="37"/>
  <c r="AK46" i="37"/>
  <c r="AM546" i="37"/>
  <c r="AN9" i="37"/>
  <c r="AM25" i="37"/>
  <c r="AL24" i="37"/>
  <c r="AN49" i="37"/>
  <c r="AK509" i="37"/>
  <c r="AK508" i="37"/>
  <c r="AK515" i="37"/>
  <c r="AL514" i="37"/>
  <c r="AL535" i="37"/>
  <c r="AM534" i="37"/>
  <c r="AM522" i="37"/>
  <c r="AL523" i="37"/>
  <c r="AN273" i="37" l="1"/>
  <c r="AO5" i="37"/>
  <c r="AN323" i="37"/>
  <c r="AO323" i="37" s="1"/>
  <c r="AN224" i="37"/>
  <c r="AN40" i="37"/>
  <c r="AP41" i="37"/>
  <c r="AN321" i="37"/>
  <c r="AO321" i="37" s="1"/>
  <c r="AL36" i="37"/>
  <c r="AL8" i="37" s="1"/>
  <c r="AK529" i="37"/>
  <c r="AK38" i="37"/>
  <c r="AN204" i="37"/>
  <c r="BG249" i="37"/>
  <c r="BG254" i="37" s="1"/>
  <c r="BF254" i="37"/>
  <c r="AN202" i="37"/>
  <c r="AO202" i="37" s="1"/>
  <c r="AN203" i="37"/>
  <c r="AO22" i="37"/>
  <c r="AN196" i="37"/>
  <c r="AK519" i="37"/>
  <c r="AL518" i="37"/>
  <c r="AM274" i="37"/>
  <c r="AO21" i="37"/>
  <c r="BG256" i="37"/>
  <c r="BF256" i="37"/>
  <c r="AO49" i="37"/>
  <c r="AP422" i="37"/>
  <c r="AP424" i="37"/>
  <c r="BD281" i="37"/>
  <c r="BE242" i="37"/>
  <c r="AL509" i="37"/>
  <c r="AL508" i="37" s="1"/>
  <c r="AM526" i="37"/>
  <c r="AL527" i="37"/>
  <c r="AL521" i="37"/>
  <c r="AL520" i="37" s="1"/>
  <c r="AL27" i="37"/>
  <c r="AL46" i="37"/>
  <c r="AL517" i="37"/>
  <c r="AP47" i="37"/>
  <c r="AO48" i="37"/>
  <c r="AO43" i="37"/>
  <c r="AN44" i="37"/>
  <c r="AN757" i="37"/>
  <c r="AN759" i="37"/>
  <c r="AN758" i="37"/>
  <c r="AN282" i="37"/>
  <c r="AN272" i="37" s="1"/>
  <c r="AN275" i="37"/>
  <c r="AN270" i="37"/>
  <c r="AN278" i="37"/>
  <c r="AN271" i="37"/>
  <c r="AN279" i="37"/>
  <c r="AN483" i="37"/>
  <c r="AN484" i="37" s="1"/>
  <c r="AN485" i="37" s="1"/>
  <c r="AN486" i="37" s="1"/>
  <c r="AN487" i="37" s="1"/>
  <c r="AN488" i="37" s="1"/>
  <c r="AN489" i="37" s="1"/>
  <c r="AN490" i="37" s="1"/>
  <c r="AO3" i="37"/>
  <c r="AO223" i="37" s="1"/>
  <c r="AN6" i="37"/>
  <c r="AN19" i="37"/>
  <c r="AL304" i="37"/>
  <c r="AK516" i="37"/>
  <c r="AO42" i="37"/>
  <c r="AP39" i="37"/>
  <c r="AL515" i="37"/>
  <c r="AM514" i="37"/>
  <c r="AN198" i="37"/>
  <c r="AN197" i="37"/>
  <c r="AL513" i="37"/>
  <c r="AL512" i="37"/>
  <c r="AP423" i="37"/>
  <c r="AP425" i="37"/>
  <c r="AN200" i="37"/>
  <c r="AM535" i="37"/>
  <c r="AN534" i="37"/>
  <c r="AN546" i="37"/>
  <c r="AO9" i="37"/>
  <c r="AK525" i="37"/>
  <c r="AK524" i="37"/>
  <c r="AM511" i="37"/>
  <c r="AN510" i="37"/>
  <c r="AO23" i="37"/>
  <c r="AP30" i="37"/>
  <c r="AQ29" i="37"/>
  <c r="AO224" i="37"/>
  <c r="AN205" i="37"/>
  <c r="AM303" i="37"/>
  <c r="AM309" i="37"/>
  <c r="AN309" i="37" s="1"/>
  <c r="AO309" i="37" s="1"/>
  <c r="AP309" i="37" s="1"/>
  <c r="AQ309" i="37" s="1"/>
  <c r="AR309" i="37" s="1"/>
  <c r="AS309" i="37" s="1"/>
  <c r="AT309" i="37" s="1"/>
  <c r="AU309" i="37" s="1"/>
  <c r="AV309" i="37" s="1"/>
  <c r="AW309" i="37" s="1"/>
  <c r="AX309" i="37" s="1"/>
  <c r="AY309" i="37" s="1"/>
  <c r="AZ309" i="37" s="1"/>
  <c r="BA309" i="37" s="1"/>
  <c r="BB309" i="37" s="1"/>
  <c r="BC309" i="37" s="1"/>
  <c r="BD309" i="37" s="1"/>
  <c r="BE309" i="37" s="1"/>
  <c r="BF309" i="37" s="1"/>
  <c r="BG309" i="37" s="1"/>
  <c r="AM45" i="37"/>
  <c r="AM15" i="37"/>
  <c r="AM305" i="37" s="1"/>
  <c r="AN305" i="37" s="1"/>
  <c r="AO305" i="37" s="1"/>
  <c r="AP305" i="37" s="1"/>
  <c r="AQ305" i="37" s="1"/>
  <c r="AR305" i="37" s="1"/>
  <c r="AS305" i="37" s="1"/>
  <c r="AT305" i="37" s="1"/>
  <c r="AU305" i="37" s="1"/>
  <c r="AV305" i="37" s="1"/>
  <c r="AW305" i="37" s="1"/>
  <c r="AX305" i="37" s="1"/>
  <c r="AY305" i="37" s="1"/>
  <c r="AZ305" i="37" s="1"/>
  <c r="BA305" i="37" s="1"/>
  <c r="BB305" i="37" s="1"/>
  <c r="BC305" i="37" s="1"/>
  <c r="BD305" i="37" s="1"/>
  <c r="BE305" i="37" s="1"/>
  <c r="BF305" i="37" s="1"/>
  <c r="BG305" i="37" s="1"/>
  <c r="AM7" i="37"/>
  <c r="AM26" i="37"/>
  <c r="AN14" i="37"/>
  <c r="AM528" i="37"/>
  <c r="AN35" i="37"/>
  <c r="AP547" i="37"/>
  <c r="AP313" i="37" s="1"/>
  <c r="AP545" i="37"/>
  <c r="AP280" i="37"/>
  <c r="AQ2" i="37"/>
  <c r="AL533" i="37"/>
  <c r="AM523" i="37"/>
  <c r="AN522" i="37"/>
  <c r="AN201" i="37"/>
  <c r="AN25" i="37"/>
  <c r="AO25" i="37" s="1"/>
  <c r="AM24" i="37"/>
  <c r="AN207" i="37"/>
  <c r="AL530" i="37"/>
  <c r="AK531" i="37"/>
  <c r="AK532" i="37"/>
  <c r="AQ41" i="37" l="1"/>
  <c r="AO40" i="37"/>
  <c r="AP49" i="37"/>
  <c r="AO273" i="37"/>
  <c r="AP5" i="37"/>
  <c r="AO207" i="37"/>
  <c r="AM518" i="37"/>
  <c r="AL519" i="37"/>
  <c r="AL529" i="37"/>
  <c r="AM36" i="37"/>
  <c r="AL38" i="37"/>
  <c r="AP21" i="37"/>
  <c r="AN24" i="37"/>
  <c r="AQ422" i="37"/>
  <c r="AQ30" i="37"/>
  <c r="AR29" i="37"/>
  <c r="AN511" i="37"/>
  <c r="AO510" i="37"/>
  <c r="AO759" i="37"/>
  <c r="AO757" i="37"/>
  <c r="AO758" i="37"/>
  <c r="AO483" i="37"/>
  <c r="AO484" i="37" s="1"/>
  <c r="AO485" i="37" s="1"/>
  <c r="AO486" i="37" s="1"/>
  <c r="AO487" i="37" s="1"/>
  <c r="AO488" i="37" s="1"/>
  <c r="AO489" i="37" s="1"/>
  <c r="AO490" i="37" s="1"/>
  <c r="AO275" i="37"/>
  <c r="AO270" i="37"/>
  <c r="AO278" i="37"/>
  <c r="AO271" i="37"/>
  <c r="AO279" i="37"/>
  <c r="AO282" i="37"/>
  <c r="AO272" i="37" s="1"/>
  <c r="AP3" i="37"/>
  <c r="AP202" i="37" s="1"/>
  <c r="AO19" i="37"/>
  <c r="AO6" i="37"/>
  <c r="AQ47" i="37"/>
  <c r="AP48" i="37"/>
  <c r="AQ424" i="37"/>
  <c r="BE281" i="37"/>
  <c r="BF242" i="37"/>
  <c r="AO546" i="37"/>
  <c r="AP9" i="37"/>
  <c r="AM513" i="37"/>
  <c r="AM517" i="37"/>
  <c r="AM516" i="37" s="1"/>
  <c r="AO201" i="37"/>
  <c r="AO199" i="37"/>
  <c r="AP199" i="37" s="1"/>
  <c r="AL525" i="37"/>
  <c r="AL524" i="37" s="1"/>
  <c r="AO534" i="37"/>
  <c r="AN535" i="37"/>
  <c r="AO197" i="37"/>
  <c r="AP22" i="37"/>
  <c r="AN274" i="37"/>
  <c r="AO206" i="37"/>
  <c r="AP206" i="37" s="1"/>
  <c r="AO196" i="37"/>
  <c r="AM509" i="37"/>
  <c r="AM508" i="37" s="1"/>
  <c r="AM46" i="37"/>
  <c r="AM27" i="37"/>
  <c r="AM8" i="37"/>
  <c r="AP223" i="37"/>
  <c r="AQ39" i="37"/>
  <c r="AQ49" i="37" s="1"/>
  <c r="AP42" i="37"/>
  <c r="AP25" i="37"/>
  <c r="AO208" i="37"/>
  <c r="AL516" i="37"/>
  <c r="AO203" i="37"/>
  <c r="AN526" i="37"/>
  <c r="AM527" i="37"/>
  <c r="AN523" i="37"/>
  <c r="AO522" i="37"/>
  <c r="AN528" i="37"/>
  <c r="AO35" i="37"/>
  <c r="AN36" i="37"/>
  <c r="AM533" i="37"/>
  <c r="AM532" i="37" s="1"/>
  <c r="AO205" i="37"/>
  <c r="AO204" i="37"/>
  <c r="AO200" i="37"/>
  <c r="AO198" i="37"/>
  <c r="AM304" i="37"/>
  <c r="AM530" i="37"/>
  <c r="AL531" i="37"/>
  <c r="AL532" i="37"/>
  <c r="AN45" i="37"/>
  <c r="AN303" i="37"/>
  <c r="AO14" i="37"/>
  <c r="AN26" i="37"/>
  <c r="AN7" i="37"/>
  <c r="AN15" i="37"/>
  <c r="AP11" i="37"/>
  <c r="AO24" i="37"/>
  <c r="AP23" i="37"/>
  <c r="AQ425" i="37"/>
  <c r="AN514" i="37"/>
  <c r="AM515" i="37"/>
  <c r="AO44" i="37"/>
  <c r="AP43" i="37"/>
  <c r="AM521" i="37"/>
  <c r="AQ423" i="37"/>
  <c r="AQ545" i="37"/>
  <c r="AQ547" i="37"/>
  <c r="AQ313" i="37" s="1"/>
  <c r="AQ280" i="37"/>
  <c r="AR2" i="37"/>
  <c r="AQ11" i="37" l="1"/>
  <c r="AP273" i="37"/>
  <c r="AQ5" i="37"/>
  <c r="AP205" i="37"/>
  <c r="AP203" i="37"/>
  <c r="AR41" i="37"/>
  <c r="AP40" i="37"/>
  <c r="AP224" i="37"/>
  <c r="AP198" i="37"/>
  <c r="AP323" i="37"/>
  <c r="AP321" i="37"/>
  <c r="AQ321" i="37" s="1"/>
  <c r="AP201" i="37"/>
  <c r="AN304" i="37"/>
  <c r="AP200" i="37"/>
  <c r="AP208" i="37"/>
  <c r="AP207" i="37"/>
  <c r="AM529" i="37"/>
  <c r="AM38" i="37"/>
  <c r="AR423" i="37"/>
  <c r="AP197" i="37"/>
  <c r="AP204" i="37"/>
  <c r="AP196" i="37"/>
  <c r="AN518" i="37"/>
  <c r="AN517" i="37" s="1"/>
  <c r="AN516" i="37" s="1"/>
  <c r="AM519" i="37"/>
  <c r="AO274" i="37"/>
  <c r="AM531" i="37"/>
  <c r="AN530" i="37"/>
  <c r="AN46" i="37"/>
  <c r="AN27" i="37"/>
  <c r="AN8" i="37"/>
  <c r="AN533" i="37"/>
  <c r="AN532" i="37" s="1"/>
  <c r="AN529" i="37"/>
  <c r="AN38" i="37"/>
  <c r="AM525" i="37"/>
  <c r="AM524" i="37"/>
  <c r="AP546" i="37"/>
  <c r="AQ9" i="37"/>
  <c r="AO303" i="37"/>
  <c r="AO26" i="37"/>
  <c r="AP14" i="37"/>
  <c r="AO7" i="37"/>
  <c r="AO45" i="37"/>
  <c r="AO15" i="37"/>
  <c r="AO528" i="37"/>
  <c r="AP35" i="37"/>
  <c r="AO36" i="37"/>
  <c r="AP510" i="37"/>
  <c r="AO511" i="37"/>
  <c r="AR425" i="37"/>
  <c r="AQ48" i="37"/>
  <c r="AR47" i="37"/>
  <c r="AQ23" i="37"/>
  <c r="AP24" i="37"/>
  <c r="AP522" i="37"/>
  <c r="AO523" i="37"/>
  <c r="AQ22" i="37"/>
  <c r="BF281" i="37"/>
  <c r="BG242" i="37"/>
  <c r="AR30" i="37"/>
  <c r="AS29" i="37"/>
  <c r="AQ43" i="37"/>
  <c r="AP44" i="37"/>
  <c r="AN521" i="37"/>
  <c r="AN520" i="37"/>
  <c r="AQ25" i="37"/>
  <c r="AN515" i="37"/>
  <c r="AO514" i="37"/>
  <c r="AR545" i="37"/>
  <c r="AR547" i="37"/>
  <c r="AR313" i="37" s="1"/>
  <c r="AR280" i="37"/>
  <c r="AS2" i="37"/>
  <c r="AM520" i="37"/>
  <c r="AN509" i="37"/>
  <c r="AN508" i="37"/>
  <c r="AP758" i="37"/>
  <c r="AP757" i="37"/>
  <c r="AP759" i="37"/>
  <c r="AP271" i="37"/>
  <c r="AP270" i="37"/>
  <c r="AP483" i="37"/>
  <c r="AP484" i="37" s="1"/>
  <c r="AP485" i="37" s="1"/>
  <c r="AP486" i="37" s="1"/>
  <c r="AP487" i="37" s="1"/>
  <c r="AP488" i="37" s="1"/>
  <c r="AP489" i="37" s="1"/>
  <c r="AP490" i="37" s="1"/>
  <c r="AP282" i="37"/>
  <c r="AP272" i="37" s="1"/>
  <c r="AP279" i="37"/>
  <c r="AP278" i="37"/>
  <c r="AP275" i="37"/>
  <c r="AQ3" i="37"/>
  <c r="AP19" i="37"/>
  <c r="AP6" i="37"/>
  <c r="AQ21" i="37"/>
  <c r="AN513" i="37"/>
  <c r="AN512" i="37" s="1"/>
  <c r="AR424" i="37"/>
  <c r="AN527" i="37"/>
  <c r="AO526" i="37"/>
  <c r="AQ42" i="37"/>
  <c r="AR39" i="37"/>
  <c r="AR49" i="37" s="1"/>
  <c r="AO535" i="37"/>
  <c r="AP534" i="37"/>
  <c r="AM512" i="37"/>
  <c r="AR422" i="37"/>
  <c r="AS41" i="37" l="1"/>
  <c r="AQ40" i="37"/>
  <c r="AQ200" i="37"/>
  <c r="AR5" i="37"/>
  <c r="AQ273" i="37"/>
  <c r="AQ323" i="37"/>
  <c r="AR323" i="37" s="1"/>
  <c r="AN519" i="37"/>
  <c r="AO518" i="37"/>
  <c r="AO517" i="37" s="1"/>
  <c r="AO516" i="37" s="1"/>
  <c r="AS425" i="37"/>
  <c r="AS422" i="37"/>
  <c r="AS424" i="37"/>
  <c r="AQ203" i="37"/>
  <c r="AP526" i="37"/>
  <c r="AO527" i="37"/>
  <c r="AQ205" i="37"/>
  <c r="AR11" i="37"/>
  <c r="AQ201" i="37"/>
  <c r="AQ546" i="37"/>
  <c r="AR9" i="37"/>
  <c r="AQ198" i="37"/>
  <c r="AQ196" i="37"/>
  <c r="AO513" i="37"/>
  <c r="AO512" i="37"/>
  <c r="AP274" i="37"/>
  <c r="AQ44" i="37"/>
  <c r="AR43" i="37"/>
  <c r="AR22" i="37"/>
  <c r="AQ199" i="37"/>
  <c r="AO533" i="37"/>
  <c r="AR23" i="37"/>
  <c r="AQ24" i="37"/>
  <c r="AQ758" i="37"/>
  <c r="AQ757" i="37"/>
  <c r="AQ759" i="37"/>
  <c r="AQ483" i="37"/>
  <c r="AQ484" i="37" s="1"/>
  <c r="AQ485" i="37" s="1"/>
  <c r="AQ486" i="37" s="1"/>
  <c r="AQ487" i="37" s="1"/>
  <c r="AQ488" i="37" s="1"/>
  <c r="AQ489" i="37" s="1"/>
  <c r="AQ490" i="37" s="1"/>
  <c r="AQ282" i="37"/>
  <c r="AQ272" i="37" s="1"/>
  <c r="AQ279" i="37"/>
  <c r="AQ278" i="37"/>
  <c r="AQ275" i="37"/>
  <c r="AQ271" i="37"/>
  <c r="AQ270" i="37"/>
  <c r="AQ19" i="37"/>
  <c r="AR3" i="37"/>
  <c r="AR200" i="37" s="1"/>
  <c r="AQ6" i="37"/>
  <c r="AO304" i="37"/>
  <c r="AP514" i="37"/>
  <c r="AO515" i="37"/>
  <c r="AQ224" i="37"/>
  <c r="AS47" i="37"/>
  <c r="AR48" i="37"/>
  <c r="AR42" i="37"/>
  <c r="AS39" i="37"/>
  <c r="AR21" i="37"/>
  <c r="AS21" i="37" s="1"/>
  <c r="AS545" i="37"/>
  <c r="AS547" i="37"/>
  <c r="AS313" i="37" s="1"/>
  <c r="AS280" i="37"/>
  <c r="AT2" i="37"/>
  <c r="AT422" i="37" s="1"/>
  <c r="AQ207" i="37"/>
  <c r="AT29" i="37"/>
  <c r="AS30" i="37"/>
  <c r="AS423" i="37"/>
  <c r="AO46" i="37"/>
  <c r="AO8" i="37"/>
  <c r="AO27" i="37"/>
  <c r="AR25" i="37"/>
  <c r="AP523" i="37"/>
  <c r="AQ522" i="37"/>
  <c r="AQ208" i="37"/>
  <c r="AP303" i="37"/>
  <c r="AP15" i="37"/>
  <c r="AP26" i="37"/>
  <c r="AP7" i="37"/>
  <c r="AQ14" i="37"/>
  <c r="AP45" i="37"/>
  <c r="AN525" i="37"/>
  <c r="AN524" i="37" s="1"/>
  <c r="AQ197" i="37"/>
  <c r="AQ204" i="37"/>
  <c r="BG281" i="37"/>
  <c r="AQ510" i="37"/>
  <c r="AP511" i="37"/>
  <c r="AQ206" i="37"/>
  <c r="AO529" i="37"/>
  <c r="AO38" i="37"/>
  <c r="AQ223" i="37"/>
  <c r="AQ202" i="37"/>
  <c r="AN531" i="37"/>
  <c r="AO530" i="37"/>
  <c r="AO521" i="37"/>
  <c r="AO520" i="37" s="1"/>
  <c r="AP535" i="37"/>
  <c r="AQ534" i="37"/>
  <c r="AO509" i="37"/>
  <c r="AP528" i="37"/>
  <c r="AP36" i="37"/>
  <c r="AQ35" i="37"/>
  <c r="AS25" i="37" l="1"/>
  <c r="AS22" i="37"/>
  <c r="AR321" i="37"/>
  <c r="AS5" i="37"/>
  <c r="AR273" i="37"/>
  <c r="AT41" i="37"/>
  <c r="AR40" i="37"/>
  <c r="AR197" i="37"/>
  <c r="AO519" i="37"/>
  <c r="AP518" i="37"/>
  <c r="AR206" i="37"/>
  <c r="AP304" i="37"/>
  <c r="AR207" i="37"/>
  <c r="AS207" i="37" s="1"/>
  <c r="AR199" i="37"/>
  <c r="AR196" i="37"/>
  <c r="AR205" i="37"/>
  <c r="AR198" i="37"/>
  <c r="AR208" i="37"/>
  <c r="AR203" i="37"/>
  <c r="AR224" i="37"/>
  <c r="AR201" i="37"/>
  <c r="AR202" i="37"/>
  <c r="AR223" i="37"/>
  <c r="AR204" i="37"/>
  <c r="AP509" i="37"/>
  <c r="AP508" i="37" s="1"/>
  <c r="AQ523" i="37"/>
  <c r="AR522" i="37"/>
  <c r="AS48" i="37"/>
  <c r="AT47" i="37"/>
  <c r="AR534" i="37"/>
  <c r="AQ535" i="37"/>
  <c r="AT423" i="37"/>
  <c r="AQ303" i="37"/>
  <c r="AQ45" i="37"/>
  <c r="AQ26" i="37"/>
  <c r="AQ15" i="37"/>
  <c r="AR14" i="37"/>
  <c r="AQ7" i="37"/>
  <c r="AT424" i="37"/>
  <c r="AR44" i="37"/>
  <c r="AS43" i="37"/>
  <c r="AR546" i="37"/>
  <c r="AS9" i="37"/>
  <c r="AT425" i="37"/>
  <c r="AP46" i="37"/>
  <c r="AP8" i="37"/>
  <c r="AP27" i="37"/>
  <c r="AP517" i="37"/>
  <c r="AP516" i="37" s="1"/>
  <c r="AS42" i="37"/>
  <c r="AT39" i="37"/>
  <c r="AT21" i="37" s="1"/>
  <c r="AQ528" i="37"/>
  <c r="AQ36" i="37"/>
  <c r="AR35" i="37"/>
  <c r="AP521" i="37"/>
  <c r="AP520" i="37" s="1"/>
  <c r="AU29" i="37"/>
  <c r="AT30" i="37"/>
  <c r="AP515" i="37"/>
  <c r="AQ514" i="37"/>
  <c r="AP529" i="37"/>
  <c r="AP38" i="37"/>
  <c r="AO531" i="37"/>
  <c r="AP530" i="37"/>
  <c r="AQ274" i="37"/>
  <c r="AR24" i="37"/>
  <c r="AS23" i="37"/>
  <c r="AP527" i="37"/>
  <c r="AQ526" i="37"/>
  <c r="AR510" i="37"/>
  <c r="AQ511" i="37"/>
  <c r="AS203" i="37"/>
  <c r="AT547" i="37"/>
  <c r="AT313" i="37" s="1"/>
  <c r="AT545" i="37"/>
  <c r="AT280" i="37"/>
  <c r="AU2" i="37"/>
  <c r="AP533" i="37"/>
  <c r="AP532" i="37"/>
  <c r="AO508" i="37"/>
  <c r="AO525" i="37"/>
  <c r="AO524" i="37" s="1"/>
  <c r="AR759" i="37"/>
  <c r="AR757" i="37"/>
  <c r="AR758" i="37"/>
  <c r="AR483" i="37"/>
  <c r="AR484" i="37" s="1"/>
  <c r="AR485" i="37" s="1"/>
  <c r="AR486" i="37" s="1"/>
  <c r="AR487" i="37" s="1"/>
  <c r="AR488" i="37" s="1"/>
  <c r="AR489" i="37" s="1"/>
  <c r="AR490" i="37" s="1"/>
  <c r="AR278" i="37"/>
  <c r="AR279" i="37"/>
  <c r="AR282" i="37"/>
  <c r="AR272" i="37" s="1"/>
  <c r="AR270" i="37"/>
  <c r="AR275" i="37"/>
  <c r="AS3" i="37"/>
  <c r="AR6" i="37"/>
  <c r="AR19" i="37"/>
  <c r="AR271" i="37"/>
  <c r="AO532" i="37"/>
  <c r="AP513" i="37"/>
  <c r="AS11" i="37"/>
  <c r="AS49" i="37"/>
  <c r="AS40" i="37" l="1"/>
  <c r="AU41" i="37"/>
  <c r="AS273" i="37"/>
  <c r="AT5" i="37"/>
  <c r="AS323" i="37"/>
  <c r="AT323" i="37" s="1"/>
  <c r="AS321" i="37"/>
  <c r="AT321" i="37" s="1"/>
  <c r="AS205" i="37"/>
  <c r="AS204" i="37"/>
  <c r="AU424" i="37"/>
  <c r="AP519" i="37"/>
  <c r="AQ518" i="37"/>
  <c r="AT49" i="37"/>
  <c r="AT11" i="37"/>
  <c r="AS224" i="37"/>
  <c r="AS223" i="37"/>
  <c r="AS197" i="37"/>
  <c r="AR274" i="37"/>
  <c r="AS510" i="37"/>
  <c r="AR511" i="37"/>
  <c r="AS757" i="37"/>
  <c r="AS759" i="37"/>
  <c r="AS758" i="37"/>
  <c r="AS483" i="37"/>
  <c r="AS484" i="37" s="1"/>
  <c r="AS485" i="37" s="1"/>
  <c r="AS486" i="37" s="1"/>
  <c r="AS487" i="37" s="1"/>
  <c r="AS488" i="37" s="1"/>
  <c r="AS489" i="37" s="1"/>
  <c r="AS490" i="37" s="1"/>
  <c r="AS279" i="37"/>
  <c r="AS282" i="37"/>
  <c r="AS272" i="37" s="1"/>
  <c r="AS270" i="37"/>
  <c r="AS275" i="37"/>
  <c r="AS271" i="37"/>
  <c r="AS278" i="37"/>
  <c r="AS6" i="37"/>
  <c r="AT3" i="37"/>
  <c r="AR304" i="37" s="1"/>
  <c r="AS19" i="37"/>
  <c r="AQ304" i="37"/>
  <c r="AS202" i="37"/>
  <c r="AU547" i="37"/>
  <c r="AU313" i="37" s="1"/>
  <c r="AU545" i="37"/>
  <c r="AU280" i="37"/>
  <c r="AV2" i="37"/>
  <c r="AV424" i="37" s="1"/>
  <c r="AV29" i="37"/>
  <c r="AU30" i="37"/>
  <c r="AT42" i="37"/>
  <c r="AU39" i="37"/>
  <c r="AU425" i="37"/>
  <c r="AT25" i="37"/>
  <c r="AT22" i="37"/>
  <c r="AT48" i="37"/>
  <c r="AU47" i="37"/>
  <c r="AP525" i="37"/>
  <c r="AP524" i="37" s="1"/>
  <c r="AQ513" i="37"/>
  <c r="AQ512" i="37" s="1"/>
  <c r="AS206" i="37"/>
  <c r="AR303" i="37"/>
  <c r="AR45" i="37"/>
  <c r="AR15" i="37"/>
  <c r="AS14" i="37"/>
  <c r="AR26" i="37"/>
  <c r="AR7" i="37"/>
  <c r="AU423" i="37"/>
  <c r="AS522" i="37"/>
  <c r="AR523" i="37"/>
  <c r="AR535" i="37"/>
  <c r="AS534" i="37"/>
  <c r="AQ533" i="37"/>
  <c r="AQ532" i="37" s="1"/>
  <c r="AQ515" i="37"/>
  <c r="AR514" i="37"/>
  <c r="AR528" i="37"/>
  <c r="AS35" i="37"/>
  <c r="AR36" i="37"/>
  <c r="AS24" i="37"/>
  <c r="AT23" i="37"/>
  <c r="AS546" i="37"/>
  <c r="AT9" i="37"/>
  <c r="AQ46" i="37"/>
  <c r="AQ27" i="37"/>
  <c r="AQ8" i="37"/>
  <c r="AS200" i="37"/>
  <c r="AP512" i="37"/>
  <c r="AS208" i="37"/>
  <c r="AS201" i="37"/>
  <c r="AQ521" i="37"/>
  <c r="AQ520" i="37" s="1"/>
  <c r="AQ517" i="37"/>
  <c r="AQ516" i="37" s="1"/>
  <c r="AT43" i="37"/>
  <c r="AS44" i="37"/>
  <c r="AP531" i="37"/>
  <c r="AQ530" i="37"/>
  <c r="AQ529" i="37"/>
  <c r="AQ38" i="37"/>
  <c r="AS196" i="37"/>
  <c r="AQ509" i="37"/>
  <c r="AQ508" i="37" s="1"/>
  <c r="AQ527" i="37"/>
  <c r="AR526" i="37"/>
  <c r="AS198" i="37"/>
  <c r="AS199" i="37"/>
  <c r="AU422" i="37"/>
  <c r="AT273" i="37" l="1"/>
  <c r="AU5" i="37"/>
  <c r="AT40" i="37"/>
  <c r="AV41" i="37"/>
  <c r="AT200" i="37"/>
  <c r="AQ519" i="37"/>
  <c r="AR518" i="37"/>
  <c r="AR517" i="37" s="1"/>
  <c r="AR516" i="37" s="1"/>
  <c r="AT199" i="37"/>
  <c r="AS303" i="37"/>
  <c r="AS45" i="37"/>
  <c r="AS7" i="37"/>
  <c r="AS15" i="37"/>
  <c r="AT14" i="37"/>
  <c r="AS26" i="37"/>
  <c r="AV422" i="37"/>
  <c r="AR521" i="37"/>
  <c r="AR520" i="37" s="1"/>
  <c r="AV425" i="37"/>
  <c r="AR509" i="37"/>
  <c r="AS514" i="37"/>
  <c r="AR515" i="37"/>
  <c r="AV39" i="37"/>
  <c r="AU42" i="37"/>
  <c r="AT522" i="37"/>
  <c r="AS523" i="37"/>
  <c r="AT198" i="37"/>
  <c r="AV423" i="37"/>
  <c r="AT223" i="37"/>
  <c r="AU49" i="37"/>
  <c r="AT546" i="37"/>
  <c r="AU9" i="37"/>
  <c r="AT206" i="37"/>
  <c r="AQ525" i="37"/>
  <c r="AT202" i="37"/>
  <c r="AT196" i="37"/>
  <c r="AT201" i="37"/>
  <c r="AU21" i="37"/>
  <c r="AV21" i="37" s="1"/>
  <c r="AT207" i="37"/>
  <c r="AT208" i="37"/>
  <c r="AT204" i="37"/>
  <c r="AR46" i="37"/>
  <c r="AR27" i="37"/>
  <c r="AR8" i="37"/>
  <c r="AT203" i="37"/>
  <c r="AS526" i="37"/>
  <c r="AR527" i="37"/>
  <c r="AT24" i="37"/>
  <c r="AU23" i="37"/>
  <c r="AR533" i="37"/>
  <c r="AR532" i="37" s="1"/>
  <c r="AU48" i="37"/>
  <c r="AV47" i="37"/>
  <c r="AW29" i="37"/>
  <c r="AV30" i="37"/>
  <c r="AS511" i="37"/>
  <c r="AT510" i="37"/>
  <c r="AR513" i="37"/>
  <c r="AR512" i="37" s="1"/>
  <c r="AV547" i="37"/>
  <c r="AV313" i="37" s="1"/>
  <c r="AV545" i="37"/>
  <c r="AV280" i="37"/>
  <c r="AW2" i="37"/>
  <c r="AT758" i="37"/>
  <c r="AT759" i="37"/>
  <c r="AT757" i="37"/>
  <c r="AT483" i="37"/>
  <c r="AT484" i="37" s="1"/>
  <c r="AT485" i="37" s="1"/>
  <c r="AT486" i="37" s="1"/>
  <c r="AT487" i="37" s="1"/>
  <c r="AT488" i="37" s="1"/>
  <c r="AT489" i="37" s="1"/>
  <c r="AT490" i="37" s="1"/>
  <c r="AT282" i="37"/>
  <c r="AT272" i="37" s="1"/>
  <c r="AT279" i="37"/>
  <c r="AT278" i="37"/>
  <c r="AT275" i="37"/>
  <c r="AT271" i="37"/>
  <c r="AT270" i="37"/>
  <c r="AU3" i="37"/>
  <c r="AT19" i="37"/>
  <c r="AT6" i="37"/>
  <c r="AT205" i="37"/>
  <c r="AT44" i="37"/>
  <c r="AU43" i="37"/>
  <c r="AS535" i="37"/>
  <c r="AT534" i="37"/>
  <c r="AR530" i="37"/>
  <c r="AQ531" i="37"/>
  <c r="AR529" i="37"/>
  <c r="AR38" i="37"/>
  <c r="AT224" i="37"/>
  <c r="AU22" i="37"/>
  <c r="AT197" i="37"/>
  <c r="AS528" i="37"/>
  <c r="AS36" i="37"/>
  <c r="AT35" i="37"/>
  <c r="AU11" i="37"/>
  <c r="AU25" i="37"/>
  <c r="AS274" i="37"/>
  <c r="AU40" i="37" l="1"/>
  <c r="AW41" i="37"/>
  <c r="AU199" i="37"/>
  <c r="AU321" i="37"/>
  <c r="AU273" i="37"/>
  <c r="AV5" i="37"/>
  <c r="AU323" i="37"/>
  <c r="AV323" i="37" s="1"/>
  <c r="AS304" i="37"/>
  <c r="AS518" i="37"/>
  <c r="AR519" i="37"/>
  <c r="AU197" i="37"/>
  <c r="AV49" i="37"/>
  <c r="AV25" i="37"/>
  <c r="AV22" i="37"/>
  <c r="AU198" i="37"/>
  <c r="AU204" i="37"/>
  <c r="AU224" i="37"/>
  <c r="AV11" i="37"/>
  <c r="AU205" i="37"/>
  <c r="AT274" i="37"/>
  <c r="AR531" i="37"/>
  <c r="AS530" i="37"/>
  <c r="AU202" i="37"/>
  <c r="AW423" i="37"/>
  <c r="AS515" i="37"/>
  <c r="AT514" i="37"/>
  <c r="AW422" i="37"/>
  <c r="AS517" i="37"/>
  <c r="AW547" i="37"/>
  <c r="AW313" i="37" s="1"/>
  <c r="AW545" i="37"/>
  <c r="AW280" i="37"/>
  <c r="AX2" i="37"/>
  <c r="AR525" i="37"/>
  <c r="AR524" i="37" s="1"/>
  <c r="AS509" i="37"/>
  <c r="AS508" i="37" s="1"/>
  <c r="AW30" i="37"/>
  <c r="AX29" i="37"/>
  <c r="AS527" i="37"/>
  <c r="AT526" i="37"/>
  <c r="AU208" i="37"/>
  <c r="AQ524" i="37"/>
  <c r="AR508" i="37"/>
  <c r="AT303" i="37"/>
  <c r="AT45" i="37"/>
  <c r="AU14" i="37"/>
  <c r="AT15" i="37"/>
  <c r="AT26" i="37"/>
  <c r="AT7" i="37"/>
  <c r="AU534" i="37"/>
  <c r="AT535" i="37"/>
  <c r="AW47" i="37"/>
  <c r="AV48" i="37"/>
  <c r="AU203" i="37"/>
  <c r="AU207" i="37"/>
  <c r="AU206" i="37"/>
  <c r="AT523" i="37"/>
  <c r="AU522" i="37"/>
  <c r="AW425" i="37"/>
  <c r="AU546" i="37"/>
  <c r="AV9" i="37"/>
  <c r="AS46" i="37"/>
  <c r="AS27" i="37"/>
  <c r="AS8" i="37"/>
  <c r="AT528" i="37"/>
  <c r="AU35" i="37"/>
  <c r="AT36" i="37"/>
  <c r="AU44" i="37"/>
  <c r="AV43" i="37"/>
  <c r="AU759" i="37"/>
  <c r="AU758" i="37"/>
  <c r="AU483" i="37"/>
  <c r="AU484" i="37" s="1"/>
  <c r="AU485" i="37" s="1"/>
  <c r="AU486" i="37" s="1"/>
  <c r="AU487" i="37" s="1"/>
  <c r="AU488" i="37" s="1"/>
  <c r="AU489" i="37" s="1"/>
  <c r="AU490" i="37" s="1"/>
  <c r="AU757" i="37"/>
  <c r="AU271" i="37"/>
  <c r="AU270" i="37"/>
  <c r="AU282" i="37"/>
  <c r="AU272" i="37" s="1"/>
  <c r="AU275" i="37"/>
  <c r="AU278" i="37"/>
  <c r="AU279" i="37"/>
  <c r="AU19" i="37"/>
  <c r="AU6" i="37"/>
  <c r="AV3" i="37"/>
  <c r="AS513" i="37"/>
  <c r="AS521" i="37"/>
  <c r="AS529" i="37"/>
  <c r="AS38" i="37"/>
  <c r="AS533" i="37"/>
  <c r="AS532" i="37" s="1"/>
  <c r="AU201" i="37"/>
  <c r="AW39" i="37"/>
  <c r="AV42" i="37"/>
  <c r="AU200" i="37"/>
  <c r="AT511" i="37"/>
  <c r="AU510" i="37"/>
  <c r="AU24" i="37"/>
  <c r="AV23" i="37"/>
  <c r="AU196" i="37"/>
  <c r="AU223" i="37"/>
  <c r="AW424" i="37"/>
  <c r="AX424" i="37" s="1"/>
  <c r="AW5" i="37" l="1"/>
  <c r="AV273" i="37"/>
  <c r="AW11" i="37"/>
  <c r="AV40" i="37"/>
  <c r="AX41" i="37"/>
  <c r="AV321" i="37"/>
  <c r="AW321" i="37" s="1"/>
  <c r="AV200" i="37"/>
  <c r="AS519" i="37"/>
  <c r="AT518" i="37"/>
  <c r="AV223" i="37"/>
  <c r="AX423" i="37"/>
  <c r="AX425" i="37"/>
  <c r="AW22" i="37"/>
  <c r="AW25" i="37"/>
  <c r="AT515" i="37"/>
  <c r="AU514" i="37"/>
  <c r="AV757" i="37"/>
  <c r="AV759" i="37"/>
  <c r="AV758" i="37"/>
  <c r="AV483" i="37"/>
  <c r="AV484" i="37" s="1"/>
  <c r="AV485" i="37" s="1"/>
  <c r="AV486" i="37" s="1"/>
  <c r="AV487" i="37" s="1"/>
  <c r="AV488" i="37" s="1"/>
  <c r="AV489" i="37" s="1"/>
  <c r="AV490" i="37" s="1"/>
  <c r="AV282" i="37"/>
  <c r="AV272" i="37" s="1"/>
  <c r="AV275" i="37"/>
  <c r="AV270" i="37"/>
  <c r="AV278" i="37"/>
  <c r="AV271" i="37"/>
  <c r="AV279" i="37"/>
  <c r="AW3" i="37"/>
  <c r="AV6" i="37"/>
  <c r="AV19" i="37"/>
  <c r="AT304" i="37"/>
  <c r="AT529" i="37"/>
  <c r="AT38" i="37"/>
  <c r="AW21" i="37"/>
  <c r="AV206" i="37"/>
  <c r="AT509" i="37"/>
  <c r="AT508" i="37" s="1"/>
  <c r="AU528" i="37"/>
  <c r="AV35" i="37"/>
  <c r="AU36" i="37"/>
  <c r="AT27" i="37"/>
  <c r="AT8" i="37"/>
  <c r="AT46" i="37"/>
  <c r="AV208" i="37"/>
  <c r="AV207" i="37"/>
  <c r="AV196" i="37"/>
  <c r="AV203" i="37"/>
  <c r="AU526" i="37"/>
  <c r="AT527" i="37"/>
  <c r="AV198" i="37"/>
  <c r="AV202" i="37"/>
  <c r="AT521" i="37"/>
  <c r="AV224" i="37"/>
  <c r="AS525" i="37"/>
  <c r="AS524" i="37" s="1"/>
  <c r="AV205" i="37"/>
  <c r="AW42" i="37"/>
  <c r="AX39" i="37"/>
  <c r="AS520" i="37"/>
  <c r="AX47" i="37"/>
  <c r="AW48" i="37"/>
  <c r="AU303" i="37"/>
  <c r="AU45" i="37"/>
  <c r="AU15" i="37"/>
  <c r="AV14" i="37"/>
  <c r="AU26" i="37"/>
  <c r="AU7" i="37"/>
  <c r="AX30" i="37"/>
  <c r="AY29" i="37"/>
  <c r="AT517" i="37"/>
  <c r="AT516" i="37" s="1"/>
  <c r="AT530" i="37"/>
  <c r="AS531" i="37"/>
  <c r="AT513" i="37"/>
  <c r="AT512" i="37"/>
  <c r="AU274" i="37"/>
  <c r="AV510" i="37"/>
  <c r="AU511" i="37"/>
  <c r="AV201" i="37"/>
  <c r="AV204" i="37"/>
  <c r="AS516" i="37"/>
  <c r="AV24" i="37"/>
  <c r="AW23" i="37"/>
  <c r="AW49" i="37"/>
  <c r="AT533" i="37"/>
  <c r="AT532" i="37" s="1"/>
  <c r="AS512" i="37"/>
  <c r="AW43" i="37"/>
  <c r="AV44" i="37"/>
  <c r="AV546" i="37"/>
  <c r="AW9" i="37"/>
  <c r="AV522" i="37"/>
  <c r="AU523" i="37"/>
  <c r="AU535" i="37"/>
  <c r="AV534" i="37"/>
  <c r="AV197" i="37"/>
  <c r="AX547" i="37"/>
  <c r="AX313" i="37" s="1"/>
  <c r="AX545" i="37"/>
  <c r="AX280" i="37"/>
  <c r="AY2" i="37"/>
  <c r="AY424" i="37" s="1"/>
  <c r="AX422" i="37"/>
  <c r="AV199" i="37"/>
  <c r="AW200" i="37" l="1"/>
  <c r="AW198" i="37"/>
  <c r="AW273" i="37"/>
  <c r="AX5" i="37"/>
  <c r="AW40" i="37"/>
  <c r="AY41" i="37"/>
  <c r="AW208" i="37"/>
  <c r="AW199" i="37"/>
  <c r="AW201" i="37"/>
  <c r="AW323" i="37"/>
  <c r="AW224" i="37"/>
  <c r="AW223" i="37"/>
  <c r="AW202" i="37"/>
  <c r="AT519" i="37"/>
  <c r="AU518" i="37"/>
  <c r="AU517" i="37" s="1"/>
  <c r="AW204" i="37"/>
  <c r="AW197" i="37"/>
  <c r="AW207" i="37"/>
  <c r="AX22" i="37"/>
  <c r="AX49" i="37"/>
  <c r="AX21" i="37"/>
  <c r="AW203" i="37"/>
  <c r="AU529" i="37"/>
  <c r="AU38" i="37"/>
  <c r="AW546" i="37"/>
  <c r="AX9" i="37"/>
  <c r="AW24" i="37"/>
  <c r="AX23" i="37"/>
  <c r="AV511" i="37"/>
  <c r="AW510" i="37"/>
  <c r="AY30" i="37"/>
  <c r="AZ29" i="37"/>
  <c r="AT525" i="37"/>
  <c r="AT524" i="37" s="1"/>
  <c r="AV528" i="37"/>
  <c r="AV36" i="37"/>
  <c r="AW35" i="37"/>
  <c r="AY47" i="37"/>
  <c r="AX48" i="37"/>
  <c r="AY547" i="37"/>
  <c r="AY313" i="37" s="1"/>
  <c r="AY545" i="37"/>
  <c r="AY280" i="37"/>
  <c r="AZ2" i="37"/>
  <c r="AU46" i="37"/>
  <c r="AU8" i="37"/>
  <c r="AU27" i="37"/>
  <c r="AU521" i="37"/>
  <c r="AV526" i="37"/>
  <c r="AU527" i="37"/>
  <c r="AY423" i="37"/>
  <c r="AV514" i="37"/>
  <c r="AU515" i="37"/>
  <c r="AV523" i="37"/>
  <c r="AW522" i="37"/>
  <c r="AW44" i="37"/>
  <c r="AX43" i="37"/>
  <c r="AU513" i="37"/>
  <c r="AT520" i="37"/>
  <c r="AU509" i="37"/>
  <c r="AW759" i="37"/>
  <c r="AW758" i="37"/>
  <c r="AW757" i="37"/>
  <c r="AW483" i="37"/>
  <c r="AW484" i="37" s="1"/>
  <c r="AW485" i="37" s="1"/>
  <c r="AW486" i="37" s="1"/>
  <c r="AW487" i="37" s="1"/>
  <c r="AW488" i="37" s="1"/>
  <c r="AW489" i="37" s="1"/>
  <c r="AW490" i="37" s="1"/>
  <c r="AW282" i="37"/>
  <c r="AW272" i="37" s="1"/>
  <c r="AW275" i="37"/>
  <c r="AW270" i="37"/>
  <c r="AW278" i="37"/>
  <c r="AW271" i="37"/>
  <c r="AW279" i="37"/>
  <c r="AW6" i="37"/>
  <c r="AX3" i="37"/>
  <c r="AX207" i="37" s="1"/>
  <c r="AW19" i="37"/>
  <c r="AU304" i="37"/>
  <c r="AW534" i="37"/>
  <c r="AV535" i="37"/>
  <c r="AY425" i="37"/>
  <c r="AZ425" i="37" s="1"/>
  <c r="AV45" i="37"/>
  <c r="AV303" i="37"/>
  <c r="AV15" i="37"/>
  <c r="AV26" i="37"/>
  <c r="AW14" i="37"/>
  <c r="AV7" i="37"/>
  <c r="AY39" i="37"/>
  <c r="AX42" i="37"/>
  <c r="AW206" i="37"/>
  <c r="AX25" i="37"/>
  <c r="AU530" i="37"/>
  <c r="AT531" i="37"/>
  <c r="AY422" i="37"/>
  <c r="AU533" i="37"/>
  <c r="AU532" i="37" s="1"/>
  <c r="AW205" i="37"/>
  <c r="AW196" i="37"/>
  <c r="AV274" i="37"/>
  <c r="AX11" i="37"/>
  <c r="AX40" i="37" l="1"/>
  <c r="AZ41" i="37"/>
  <c r="AX273" i="37"/>
  <c r="AY5" i="37"/>
  <c r="AX321" i="37"/>
  <c r="AY321" i="37" s="1"/>
  <c r="AZ423" i="37"/>
  <c r="AY11" i="37"/>
  <c r="AX323" i="37"/>
  <c r="AY323" i="37" s="1"/>
  <c r="AZ422" i="37"/>
  <c r="AX200" i="37"/>
  <c r="AV518" i="37"/>
  <c r="AU519" i="37"/>
  <c r="AX223" i="37"/>
  <c r="AX205" i="37"/>
  <c r="AX196" i="37"/>
  <c r="AX202" i="37"/>
  <c r="AX201" i="37"/>
  <c r="AX199" i="37"/>
  <c r="AX204" i="37"/>
  <c r="AX206" i="37"/>
  <c r="AV517" i="37"/>
  <c r="AV516" i="37" s="1"/>
  <c r="AV513" i="37"/>
  <c r="AV512" i="37" s="1"/>
  <c r="AU531" i="37"/>
  <c r="AV530" i="37"/>
  <c r="AU512" i="37"/>
  <c r="AZ30" i="37"/>
  <c r="BA29" i="37"/>
  <c r="AY42" i="37"/>
  <c r="AZ39" i="37"/>
  <c r="AW274" i="37"/>
  <c r="AV515" i="37"/>
  <c r="AW514" i="37"/>
  <c r="AY48" i="37"/>
  <c r="AZ47" i="37"/>
  <c r="AY22" i="37"/>
  <c r="AV46" i="37"/>
  <c r="AV27" i="37"/>
  <c r="AV8" i="37"/>
  <c r="AX534" i="37"/>
  <c r="AW535" i="37"/>
  <c r="AV509" i="37"/>
  <c r="AV508" i="37"/>
  <c r="AY43" i="37"/>
  <c r="AX44" i="37"/>
  <c r="AW528" i="37"/>
  <c r="AW36" i="37"/>
  <c r="AX35" i="37"/>
  <c r="AX510" i="37"/>
  <c r="AW511" i="37"/>
  <c r="AW303" i="37"/>
  <c r="AW45" i="37"/>
  <c r="AW26" i="37"/>
  <c r="AX14" i="37"/>
  <c r="AW7" i="37"/>
  <c r="AW15" i="37"/>
  <c r="AU508" i="37"/>
  <c r="AZ545" i="37"/>
  <c r="AZ547" i="37"/>
  <c r="AZ313" i="37" s="1"/>
  <c r="AZ280" i="37"/>
  <c r="BA2" i="37"/>
  <c r="AV529" i="37"/>
  <c r="AV38" i="37"/>
  <c r="AV533" i="37"/>
  <c r="AV532" i="37" s="1"/>
  <c r="AY21" i="37"/>
  <c r="AX208" i="37"/>
  <c r="AX197" i="37"/>
  <c r="AV527" i="37"/>
  <c r="AW526" i="37"/>
  <c r="AY23" i="37"/>
  <c r="AX24" i="37"/>
  <c r="AY25" i="37"/>
  <c r="AX758" i="37"/>
  <c r="AX757" i="37"/>
  <c r="AX759" i="37"/>
  <c r="AX271" i="37"/>
  <c r="AX270" i="37"/>
  <c r="AX282" i="37"/>
  <c r="AX272" i="37" s="1"/>
  <c r="AX279" i="37"/>
  <c r="AX278" i="37"/>
  <c r="AX274" i="37" s="1"/>
  <c r="AX275" i="37"/>
  <c r="AX483" i="37"/>
  <c r="AX484" i="37" s="1"/>
  <c r="AX485" i="37" s="1"/>
  <c r="AX486" i="37" s="1"/>
  <c r="AX487" i="37" s="1"/>
  <c r="AX488" i="37" s="1"/>
  <c r="AX489" i="37" s="1"/>
  <c r="AX490" i="37" s="1"/>
  <c r="AY3" i="37"/>
  <c r="AX19" i="37"/>
  <c r="AX6" i="37"/>
  <c r="AV304" i="37"/>
  <c r="AX203" i="37"/>
  <c r="AX224" i="37"/>
  <c r="AV521" i="37"/>
  <c r="AV520" i="37" s="1"/>
  <c r="AX198" i="37"/>
  <c r="AY198" i="37" s="1"/>
  <c r="AY49" i="37"/>
  <c r="AU516" i="37"/>
  <c r="AX522" i="37"/>
  <c r="AW523" i="37"/>
  <c r="AU520" i="37"/>
  <c r="AU525" i="37"/>
  <c r="AX546" i="37"/>
  <c r="AY9" i="37"/>
  <c r="AZ424" i="37"/>
  <c r="AY273" i="37" l="1"/>
  <c r="AZ5" i="37"/>
  <c r="BA41" i="37"/>
  <c r="AY40" i="37"/>
  <c r="AZ22" i="37"/>
  <c r="AZ21" i="37"/>
  <c r="AW518" i="37"/>
  <c r="AW517" i="37" s="1"/>
  <c r="AW516" i="37" s="1"/>
  <c r="AV519" i="37"/>
  <c r="AZ25" i="37"/>
  <c r="AY223" i="37"/>
  <c r="BA424" i="37"/>
  <c r="AY196" i="37"/>
  <c r="AZ49" i="37"/>
  <c r="AV525" i="37"/>
  <c r="AV524" i="37" s="1"/>
  <c r="AY199" i="37"/>
  <c r="BA545" i="37"/>
  <c r="BA547" i="37"/>
  <c r="BA313" i="37" s="1"/>
  <c r="BA280" i="37"/>
  <c r="BB2" i="37"/>
  <c r="AX528" i="37"/>
  <c r="AX36" i="37"/>
  <c r="AY35" i="37"/>
  <c r="AX514" i="37"/>
  <c r="AW515" i="37"/>
  <c r="BB29" i="37"/>
  <c r="BA30" i="37"/>
  <c r="AY200" i="37"/>
  <c r="AY205" i="37"/>
  <c r="AW529" i="37"/>
  <c r="AW38" i="37"/>
  <c r="AX535" i="37"/>
  <c r="AY534" i="37"/>
  <c r="AY204" i="37"/>
  <c r="AW521" i="37"/>
  <c r="AW520" i="37" s="1"/>
  <c r="AY224" i="37"/>
  <c r="AZ23" i="37"/>
  <c r="AY24" i="37"/>
  <c r="AY202" i="37"/>
  <c r="BA423" i="37"/>
  <c r="BB423" i="37" s="1"/>
  <c r="BA425" i="37"/>
  <c r="BB425" i="37" s="1"/>
  <c r="AW513" i="37"/>
  <c r="AY206" i="37"/>
  <c r="AY203" i="37"/>
  <c r="AX526" i="37"/>
  <c r="AW527" i="37"/>
  <c r="BA422" i="37"/>
  <c r="AZ42" i="37"/>
  <c r="BA39" i="37"/>
  <c r="AW530" i="37"/>
  <c r="AV531" i="37"/>
  <c r="AY758" i="37"/>
  <c r="AY759" i="37"/>
  <c r="AY757" i="37"/>
  <c r="AY282" i="37"/>
  <c r="AY272" i="37" s="1"/>
  <c r="AY279" i="37"/>
  <c r="AY278" i="37"/>
  <c r="AY274" i="37" s="1"/>
  <c r="AY275" i="37"/>
  <c r="AY483" i="37"/>
  <c r="AY484" i="37" s="1"/>
  <c r="AY485" i="37" s="1"/>
  <c r="AY486" i="37" s="1"/>
  <c r="AY487" i="37" s="1"/>
  <c r="AY488" i="37" s="1"/>
  <c r="AY489" i="37" s="1"/>
  <c r="AY490" i="37" s="1"/>
  <c r="AY270" i="37"/>
  <c r="AY271" i="37"/>
  <c r="AY19" i="37"/>
  <c r="AZ3" i="37"/>
  <c r="AX304" i="37" s="1"/>
  <c r="AY6" i="37"/>
  <c r="AX523" i="37"/>
  <c r="AY522" i="37"/>
  <c r="AY546" i="37"/>
  <c r="AZ9" i="37"/>
  <c r="AW533" i="37"/>
  <c r="AW532" i="37" s="1"/>
  <c r="AZ43" i="37"/>
  <c r="AY44" i="37"/>
  <c r="AY197" i="37"/>
  <c r="AW8" i="37"/>
  <c r="AW27" i="37"/>
  <c r="AW46" i="37"/>
  <c r="AZ48" i="37"/>
  <c r="BA47" i="37"/>
  <c r="AY201" i="37"/>
  <c r="AU524" i="37"/>
  <c r="AW304" i="37"/>
  <c r="AY208" i="37"/>
  <c r="AZ208" i="37" s="1"/>
  <c r="AX303" i="37"/>
  <c r="AX15" i="37"/>
  <c r="AY14" i="37"/>
  <c r="AX7" i="37"/>
  <c r="AX26" i="37"/>
  <c r="AX45" i="37"/>
  <c r="AX511" i="37"/>
  <c r="AY510" i="37"/>
  <c r="AW509" i="37"/>
  <c r="AZ11" i="37"/>
  <c r="AY207" i="37"/>
  <c r="BA21" i="37" l="1"/>
  <c r="AZ40" i="37"/>
  <c r="BB41" i="37"/>
  <c r="AZ323" i="37"/>
  <c r="AZ273" i="37"/>
  <c r="BA5" i="37"/>
  <c r="AZ321" i="37"/>
  <c r="BA321" i="37" s="1"/>
  <c r="AX518" i="37"/>
  <c r="AW519" i="37"/>
  <c r="BB424" i="37"/>
  <c r="BB422" i="37"/>
  <c r="AZ224" i="37"/>
  <c r="AZ205" i="37"/>
  <c r="AZ198" i="37"/>
  <c r="AZ202" i="37"/>
  <c r="AZ200" i="37"/>
  <c r="AZ196" i="37"/>
  <c r="AZ204" i="37"/>
  <c r="AZ203" i="37"/>
  <c r="AZ207" i="37"/>
  <c r="AZ201" i="37"/>
  <c r="AZ206" i="37"/>
  <c r="BA49" i="37"/>
  <c r="AZ197" i="37"/>
  <c r="BA11" i="37"/>
  <c r="BA22" i="37"/>
  <c r="AZ199" i="37"/>
  <c r="AY303" i="37"/>
  <c r="AZ303" i="37" s="1"/>
  <c r="BA303" i="37" s="1"/>
  <c r="BB303" i="37" s="1"/>
  <c r="BC303" i="37" s="1"/>
  <c r="BD303" i="37" s="1"/>
  <c r="BE303" i="37" s="1"/>
  <c r="BF303" i="37" s="1"/>
  <c r="BG303" i="37" s="1"/>
  <c r="AY45" i="37"/>
  <c r="AY26" i="37"/>
  <c r="AY7" i="37"/>
  <c r="AZ14" i="37"/>
  <c r="AY15" i="37"/>
  <c r="AX513" i="37"/>
  <c r="AX512" i="37" s="1"/>
  <c r="BA23" i="37"/>
  <c r="AZ24" i="37"/>
  <c r="AY514" i="37"/>
  <c r="AX515" i="37"/>
  <c r="AY528" i="37"/>
  <c r="AY36" i="37"/>
  <c r="AZ35" i="37"/>
  <c r="AX527" i="37"/>
  <c r="AY526" i="37"/>
  <c r="AX529" i="37"/>
  <c r="AX38" i="37"/>
  <c r="AX509" i="37"/>
  <c r="AX508" i="37" s="1"/>
  <c r="AW508" i="37"/>
  <c r="AY511" i="37"/>
  <c r="AZ510" i="37"/>
  <c r="AX521" i="37"/>
  <c r="AX520" i="37" s="1"/>
  <c r="AZ546" i="37"/>
  <c r="BA9" i="37"/>
  <c r="BA48" i="37"/>
  <c r="BB47" i="37"/>
  <c r="AY523" i="37"/>
  <c r="AZ522" i="37"/>
  <c r="BB545" i="37"/>
  <c r="BB547" i="37"/>
  <c r="BB313" i="37" s="1"/>
  <c r="BB280" i="37"/>
  <c r="BC2" i="37"/>
  <c r="BC425" i="37" s="1"/>
  <c r="AX517" i="37"/>
  <c r="AX516" i="37" s="1"/>
  <c r="AW531" i="37"/>
  <c r="AX530" i="37"/>
  <c r="AW525" i="37"/>
  <c r="AW524" i="37" s="1"/>
  <c r="AZ44" i="37"/>
  <c r="BA43" i="37"/>
  <c r="BA42" i="37"/>
  <c r="BB39" i="37"/>
  <c r="AY535" i="37"/>
  <c r="AZ534" i="37"/>
  <c r="BC29" i="37"/>
  <c r="BB30" i="37"/>
  <c r="AX46" i="37"/>
  <c r="AX8" i="37"/>
  <c r="AX27" i="37"/>
  <c r="BA25" i="37"/>
  <c r="AX533" i="37"/>
  <c r="AZ759" i="37"/>
  <c r="AZ757" i="37"/>
  <c r="AZ758" i="37"/>
  <c r="AZ483" i="37"/>
  <c r="AZ484" i="37" s="1"/>
  <c r="AZ485" i="37" s="1"/>
  <c r="AZ486" i="37" s="1"/>
  <c r="AZ487" i="37" s="1"/>
  <c r="AZ488" i="37" s="1"/>
  <c r="AZ489" i="37" s="1"/>
  <c r="AZ490" i="37" s="1"/>
  <c r="AZ217" i="37"/>
  <c r="AZ282" i="37"/>
  <c r="AZ272" i="37" s="1"/>
  <c r="AZ270" i="37"/>
  <c r="AZ275" i="37"/>
  <c r="AZ271" i="37"/>
  <c r="AZ278" i="37"/>
  <c r="AZ279" i="37"/>
  <c r="BA3" i="37"/>
  <c r="BA224" i="37" s="1"/>
  <c r="AZ19" i="37"/>
  <c r="AZ6" i="37"/>
  <c r="AW512" i="37"/>
  <c r="AZ223" i="37"/>
  <c r="BB40" i="37" l="1"/>
  <c r="BC41" i="37"/>
  <c r="BA40" i="37"/>
  <c r="BA323" i="37"/>
  <c r="BB5" i="37"/>
  <c r="BA273" i="37"/>
  <c r="BC423" i="37"/>
  <c r="BA217" i="37"/>
  <c r="BC424" i="37"/>
  <c r="BB22" i="37"/>
  <c r="AX519" i="37"/>
  <c r="AY518" i="37"/>
  <c r="AY517" i="37" s="1"/>
  <c r="AY516" i="37" s="1"/>
  <c r="BA206" i="37"/>
  <c r="BA207" i="37"/>
  <c r="BA202" i="37"/>
  <c r="BA223" i="37"/>
  <c r="AY509" i="37"/>
  <c r="AY508" i="37"/>
  <c r="BA199" i="37"/>
  <c r="BA196" i="37"/>
  <c r="AZ528" i="37"/>
  <c r="BA35" i="37"/>
  <c r="AZ36" i="37"/>
  <c r="AY533" i="37"/>
  <c r="AY529" i="37"/>
  <c r="AY38" i="37"/>
  <c r="AY515" i="37"/>
  <c r="AZ514" i="37"/>
  <c r="AZ45" i="37"/>
  <c r="AZ15" i="37"/>
  <c r="BA14" i="37"/>
  <c r="AZ26" i="37"/>
  <c r="AZ7" i="37"/>
  <c r="BB42" i="37"/>
  <c r="BC39" i="37"/>
  <c r="AX532" i="37"/>
  <c r="BD29" i="37"/>
  <c r="BC30" i="37"/>
  <c r="BB43" i="37"/>
  <c r="BA44" i="37"/>
  <c r="BB49" i="37"/>
  <c r="BA200" i="37"/>
  <c r="BA546" i="37"/>
  <c r="BB9" i="37"/>
  <c r="AY46" i="37"/>
  <c r="AY8" i="37"/>
  <c r="AY27" i="37"/>
  <c r="BB48" i="37"/>
  <c r="BC47" i="37"/>
  <c r="BB25" i="37"/>
  <c r="BC25" i="37" s="1"/>
  <c r="AZ535" i="37"/>
  <c r="BA534" i="37"/>
  <c r="BA204" i="37"/>
  <c r="BA208" i="37"/>
  <c r="BA24" i="37"/>
  <c r="BB23" i="37"/>
  <c r="AX531" i="37"/>
  <c r="AY530" i="37"/>
  <c r="BA757" i="37"/>
  <c r="BA758" i="37"/>
  <c r="BA759" i="37"/>
  <c r="BA483" i="37"/>
  <c r="BA484" i="37" s="1"/>
  <c r="BA485" i="37" s="1"/>
  <c r="BA486" i="37" s="1"/>
  <c r="BA487" i="37" s="1"/>
  <c r="BA488" i="37" s="1"/>
  <c r="BA489" i="37" s="1"/>
  <c r="BA490" i="37" s="1"/>
  <c r="BA282" i="37"/>
  <c r="BA272" i="37" s="1"/>
  <c r="BA275" i="37"/>
  <c r="BA271" i="37"/>
  <c r="BA278" i="37"/>
  <c r="BA279" i="37"/>
  <c r="BA6" i="37"/>
  <c r="BB3" i="37"/>
  <c r="BB217" i="37" s="1"/>
  <c r="BA19" i="37"/>
  <c r="BA270" i="37"/>
  <c r="AY304" i="37"/>
  <c r="BA203" i="37"/>
  <c r="BA198" i="37"/>
  <c r="BA510" i="37"/>
  <c r="AZ511" i="37"/>
  <c r="AY527" i="37"/>
  <c r="AZ526" i="37"/>
  <c r="AY513" i="37"/>
  <c r="AY512" i="37"/>
  <c r="AX525" i="37"/>
  <c r="AX524" i="37"/>
  <c r="BB11" i="37"/>
  <c r="BC11" i="37" s="1"/>
  <c r="AZ523" i="37"/>
  <c r="BA522" i="37"/>
  <c r="BA205" i="37"/>
  <c r="BA197" i="37"/>
  <c r="AZ274" i="37"/>
  <c r="BC547" i="37"/>
  <c r="BC313" i="37" s="1"/>
  <c r="BC545" i="37"/>
  <c r="BC280" i="37"/>
  <c r="BD2" i="37"/>
  <c r="AY521" i="37"/>
  <c r="BA201" i="37"/>
  <c r="BC422" i="37"/>
  <c r="BD422" i="37" s="1"/>
  <c r="BB21" i="37"/>
  <c r="BC21" i="37" s="1"/>
  <c r="BB201" i="37" l="1"/>
  <c r="BC5" i="37"/>
  <c r="BB273" i="37"/>
  <c r="BD423" i="37"/>
  <c r="BD41" i="37"/>
  <c r="BC40" i="37"/>
  <c r="BB198" i="37"/>
  <c r="BB323" i="37"/>
  <c r="BC323" i="37" s="1"/>
  <c r="BB223" i="37"/>
  <c r="BB321" i="37"/>
  <c r="BC321" i="37" s="1"/>
  <c r="BB203" i="37"/>
  <c r="AY519" i="37"/>
  <c r="AZ518" i="37"/>
  <c r="AZ517" i="37" s="1"/>
  <c r="AZ516" i="37" s="1"/>
  <c r="BB205" i="37"/>
  <c r="AZ304" i="37"/>
  <c r="BA274" i="37"/>
  <c r="AZ530" i="37"/>
  <c r="AY531" i="37"/>
  <c r="BA535" i="37"/>
  <c r="BB534" i="37"/>
  <c r="BB44" i="37"/>
  <c r="BC43" i="37"/>
  <c r="BA7" i="37"/>
  <c r="BA45" i="37"/>
  <c r="BA15" i="37"/>
  <c r="BB14" i="37"/>
  <c r="BA26" i="37"/>
  <c r="AZ533" i="37"/>
  <c r="AZ532" i="37" s="1"/>
  <c r="AZ509" i="37"/>
  <c r="BE29" i="37"/>
  <c r="BD30" i="37"/>
  <c r="AZ529" i="37"/>
  <c r="AZ38" i="37"/>
  <c r="BB206" i="37"/>
  <c r="BB24" i="37"/>
  <c r="BC23" i="37"/>
  <c r="BB546" i="37"/>
  <c r="BC9" i="37"/>
  <c r="BA514" i="37"/>
  <c r="AZ515" i="37"/>
  <c r="BA528" i="37"/>
  <c r="BA36" i="37"/>
  <c r="BB35" i="37"/>
  <c r="BD424" i="37"/>
  <c r="BE424" i="37" s="1"/>
  <c r="BD11" i="37"/>
  <c r="AZ521" i="37"/>
  <c r="AZ520" i="37" s="1"/>
  <c r="BB758" i="37"/>
  <c r="BB757" i="37"/>
  <c r="BB759" i="37"/>
  <c r="BB483" i="37"/>
  <c r="BB484" i="37" s="1"/>
  <c r="BB485" i="37" s="1"/>
  <c r="BB486" i="37" s="1"/>
  <c r="BB487" i="37" s="1"/>
  <c r="BB488" i="37" s="1"/>
  <c r="BB489" i="37" s="1"/>
  <c r="BB490" i="37" s="1"/>
  <c r="BB282" i="37"/>
  <c r="BB272" i="37" s="1"/>
  <c r="BB279" i="37"/>
  <c r="BB278" i="37"/>
  <c r="BB275" i="37"/>
  <c r="BB271" i="37"/>
  <c r="BC3" i="37"/>
  <c r="BC217" i="37" s="1"/>
  <c r="BB19" i="37"/>
  <c r="BB6" i="37"/>
  <c r="BB270" i="37"/>
  <c r="BC48" i="37"/>
  <c r="BD47" i="37"/>
  <c r="BC42" i="37"/>
  <c r="BD39" i="37"/>
  <c r="BD21" i="37" s="1"/>
  <c r="BB207" i="37"/>
  <c r="BC207" i="37" s="1"/>
  <c r="BC201" i="37"/>
  <c r="BA511" i="37"/>
  <c r="BB510" i="37"/>
  <c r="AY520" i="37"/>
  <c r="BB200" i="37"/>
  <c r="BB202" i="37"/>
  <c r="BC202" i="37" s="1"/>
  <c r="BB224" i="37"/>
  <c r="BC224" i="37" s="1"/>
  <c r="AY525" i="37"/>
  <c r="AY524" i="37" s="1"/>
  <c r="BD547" i="37"/>
  <c r="BD313" i="37" s="1"/>
  <c r="BD545" i="37"/>
  <c r="BD280" i="37"/>
  <c r="BE2" i="37"/>
  <c r="BB197" i="37"/>
  <c r="BC197" i="37" s="1"/>
  <c r="AZ513" i="37"/>
  <c r="BB208" i="37"/>
  <c r="BC208" i="37" s="1"/>
  <c r="BC49" i="37"/>
  <c r="AZ27" i="37"/>
  <c r="AZ8" i="37"/>
  <c r="AZ46" i="37"/>
  <c r="BB196" i="37"/>
  <c r="BC196" i="37" s="1"/>
  <c r="BD425" i="37"/>
  <c r="BE425" i="37" s="1"/>
  <c r="BB522" i="37"/>
  <c r="BA523" i="37"/>
  <c r="BA526" i="37"/>
  <c r="AZ527" i="37"/>
  <c r="BB204" i="37"/>
  <c r="BC204" i="37" s="1"/>
  <c r="AY532" i="37"/>
  <c r="BB199" i="37"/>
  <c r="BC199" i="37" s="1"/>
  <c r="BC22" i="37"/>
  <c r="BD22" i="37" s="1"/>
  <c r="BD5" i="37" l="1"/>
  <c r="BC273" i="37"/>
  <c r="BD40" i="37"/>
  <c r="BE41" i="37"/>
  <c r="BD321" i="37"/>
  <c r="BA304" i="37"/>
  <c r="BE423" i="37"/>
  <c r="BD25" i="37"/>
  <c r="BA518" i="37"/>
  <c r="AZ519" i="37"/>
  <c r="BC205" i="37"/>
  <c r="BC203" i="37"/>
  <c r="BD49" i="37"/>
  <c r="BB274" i="37"/>
  <c r="BC198" i="37"/>
  <c r="BC200" i="37"/>
  <c r="BD200" i="37" s="1"/>
  <c r="BD48" i="37"/>
  <c r="BE47" i="37"/>
  <c r="BE30" i="37"/>
  <c r="BF29" i="37"/>
  <c r="BA533" i="37"/>
  <c r="BB535" i="37"/>
  <c r="BC534" i="37"/>
  <c r="BA515" i="37"/>
  <c r="BB514" i="37"/>
  <c r="BC510" i="37"/>
  <c r="BB511" i="37"/>
  <c r="BA521" i="37"/>
  <c r="BA520" i="37"/>
  <c r="BC546" i="37"/>
  <c r="BD9" i="37"/>
  <c r="BC14" i="37"/>
  <c r="BB45" i="37"/>
  <c r="BB15" i="37"/>
  <c r="BB26" i="37"/>
  <c r="BB7" i="37"/>
  <c r="BA513" i="37"/>
  <c r="BA512" i="37"/>
  <c r="AZ525" i="37"/>
  <c r="AZ524" i="37" s="1"/>
  <c r="BE422" i="37"/>
  <c r="BA530" i="37"/>
  <c r="AZ531" i="37"/>
  <c r="BC24" i="37"/>
  <c r="BD23" i="37"/>
  <c r="BC206" i="37"/>
  <c r="BC223" i="37"/>
  <c r="BA517" i="37"/>
  <c r="AZ512" i="37"/>
  <c r="BC759" i="37"/>
  <c r="BC758" i="37"/>
  <c r="BC483" i="37"/>
  <c r="BC484" i="37" s="1"/>
  <c r="BC485" i="37" s="1"/>
  <c r="BC486" i="37" s="1"/>
  <c r="BC487" i="37" s="1"/>
  <c r="BC488" i="37" s="1"/>
  <c r="BC489" i="37" s="1"/>
  <c r="BC490" i="37" s="1"/>
  <c r="BC757" i="37"/>
  <c r="BC271" i="37"/>
  <c r="BC275" i="37"/>
  <c r="BC278" i="37"/>
  <c r="BC279" i="37"/>
  <c r="BC282" i="37"/>
  <c r="BC272" i="37" s="1"/>
  <c r="BC19" i="37"/>
  <c r="BC6" i="37"/>
  <c r="BD3" i="37"/>
  <c r="BD201" i="37" s="1"/>
  <c r="BC270" i="37"/>
  <c r="BB528" i="37"/>
  <c r="BC35" i="37"/>
  <c r="BB36" i="37"/>
  <c r="BA509" i="37"/>
  <c r="BA508" i="37" s="1"/>
  <c r="BA46" i="37"/>
  <c r="BA27" i="37"/>
  <c r="BA8" i="37"/>
  <c r="BB523" i="37"/>
  <c r="BC522" i="37"/>
  <c r="BA527" i="37"/>
  <c r="BB526" i="37"/>
  <c r="BE547" i="37"/>
  <c r="BE313" i="37" s="1"/>
  <c r="BE545" i="37"/>
  <c r="BE280" i="37"/>
  <c r="BF2" i="37"/>
  <c r="BF425" i="37" s="1"/>
  <c r="BD42" i="37"/>
  <c r="BE39" i="37"/>
  <c r="BA529" i="37"/>
  <c r="BA38" i="37"/>
  <c r="AZ508" i="37"/>
  <c r="BD43" i="37"/>
  <c r="BC44" i="37"/>
  <c r="BE40" i="37" l="1"/>
  <c r="BF41" i="37"/>
  <c r="BD323" i="37"/>
  <c r="BE5" i="37"/>
  <c r="BD273" i="37"/>
  <c r="BA519" i="37"/>
  <c r="BB518" i="37"/>
  <c r="BE42" i="37"/>
  <c r="BF39" i="37"/>
  <c r="BC526" i="37"/>
  <c r="BB527" i="37"/>
  <c r="BD757" i="37"/>
  <c r="BD759" i="37"/>
  <c r="BD483" i="37"/>
  <c r="BD484" i="37" s="1"/>
  <c r="BD485" i="37" s="1"/>
  <c r="BD486" i="37" s="1"/>
  <c r="BD487" i="37" s="1"/>
  <c r="BD488" i="37" s="1"/>
  <c r="BD489" i="37" s="1"/>
  <c r="BD490" i="37" s="1"/>
  <c r="BD758" i="37"/>
  <c r="BD278" i="37"/>
  <c r="BD271" i="37"/>
  <c r="BD279" i="37"/>
  <c r="BD282" i="37"/>
  <c r="BD272" i="37" s="1"/>
  <c r="BE3" i="37"/>
  <c r="BE201" i="37" s="1"/>
  <c r="BD19" i="37"/>
  <c r="BD6" i="37"/>
  <c r="BD275" i="37"/>
  <c r="BD270" i="37"/>
  <c r="BD224" i="37"/>
  <c r="BC45" i="37"/>
  <c r="BC15" i="37"/>
  <c r="BC26" i="37"/>
  <c r="BD14" i="37"/>
  <c r="BC7" i="37"/>
  <c r="BB533" i="37"/>
  <c r="BB532" i="37" s="1"/>
  <c r="BB517" i="37"/>
  <c r="BB516" i="37" s="1"/>
  <c r="BC511" i="37"/>
  <c r="BD510" i="37"/>
  <c r="BA532" i="37"/>
  <c r="BE43" i="37"/>
  <c r="BD44" i="37"/>
  <c r="BA516" i="37"/>
  <c r="BB513" i="37"/>
  <c r="BD204" i="37"/>
  <c r="BF30" i="37"/>
  <c r="BG29" i="37"/>
  <c r="BG30" i="37" s="1"/>
  <c r="BF547" i="37"/>
  <c r="BF313" i="37" s="1"/>
  <c r="BF545" i="37"/>
  <c r="BF280" i="37"/>
  <c r="BG2" i="37"/>
  <c r="BD196" i="37"/>
  <c r="BB509" i="37"/>
  <c r="BB508" i="37" s="1"/>
  <c r="BD223" i="37"/>
  <c r="BB530" i="37"/>
  <c r="BA531" i="37"/>
  <c r="BE22" i="37"/>
  <c r="BF22" i="37" s="1"/>
  <c r="BE21" i="37"/>
  <c r="BF21" i="37" s="1"/>
  <c r="BD199" i="37"/>
  <c r="BB304" i="37"/>
  <c r="BD522" i="37"/>
  <c r="BC523" i="37"/>
  <c r="BB529" i="37"/>
  <c r="BB38" i="37"/>
  <c r="BD206" i="37"/>
  <c r="BE25" i="37"/>
  <c r="BF25" i="37" s="1"/>
  <c r="BB46" i="37"/>
  <c r="BB27" i="37"/>
  <c r="BB8" i="37"/>
  <c r="BD546" i="37"/>
  <c r="BE9" i="37"/>
  <c r="BB515" i="37"/>
  <c r="BC514" i="37"/>
  <c r="BD198" i="37"/>
  <c r="BE198" i="37" s="1"/>
  <c r="BC528" i="37"/>
  <c r="BD35" i="37"/>
  <c r="BC36" i="37"/>
  <c r="BC274" i="37"/>
  <c r="BD207" i="37"/>
  <c r="BD24" i="37"/>
  <c r="BE23" i="37"/>
  <c r="BF422" i="37"/>
  <c r="BE49" i="37"/>
  <c r="BF49" i="37" s="1"/>
  <c r="BD208" i="37"/>
  <c r="BD202" i="37"/>
  <c r="BE11" i="37"/>
  <c r="BF11" i="37" s="1"/>
  <c r="BD534" i="37"/>
  <c r="BC535" i="37"/>
  <c r="BD203" i="37"/>
  <c r="BE203" i="37" s="1"/>
  <c r="BD217" i="37"/>
  <c r="BE217" i="37" s="1"/>
  <c r="BD205" i="37"/>
  <c r="BD197" i="37"/>
  <c r="BF424" i="37"/>
  <c r="BA525" i="37"/>
  <c r="BA524" i="37" s="1"/>
  <c r="BB521" i="37"/>
  <c r="BB520" i="37" s="1"/>
  <c r="BF47" i="37"/>
  <c r="BE48" i="37"/>
  <c r="BF423" i="37"/>
  <c r="BE321" i="37" l="1"/>
  <c r="BF5" i="37"/>
  <c r="BE273" i="37"/>
  <c r="BE223" i="37"/>
  <c r="BE323" i="37"/>
  <c r="BF323" i="37" s="1"/>
  <c r="BE205" i="37"/>
  <c r="BF205" i="37" s="1"/>
  <c r="BE208" i="37"/>
  <c r="BG41" i="37"/>
  <c r="BG40" i="37" s="1"/>
  <c r="BF40" i="37"/>
  <c r="BG423" i="37"/>
  <c r="BC304" i="37"/>
  <c r="BE199" i="37"/>
  <c r="BE206" i="37"/>
  <c r="BF206" i="37" s="1"/>
  <c r="BC518" i="37"/>
  <c r="BB519" i="37"/>
  <c r="BE197" i="37"/>
  <c r="BE202" i="37"/>
  <c r="BE207" i="37"/>
  <c r="BE224" i="37"/>
  <c r="BF224" i="37" s="1"/>
  <c r="BE546" i="37"/>
  <c r="BF9" i="37"/>
  <c r="BC513" i="37"/>
  <c r="BC512" i="37" s="1"/>
  <c r="BE759" i="37"/>
  <c r="BE757" i="37"/>
  <c r="BE758" i="37"/>
  <c r="BE483" i="37"/>
  <c r="BE484" i="37" s="1"/>
  <c r="BE485" i="37" s="1"/>
  <c r="BE486" i="37" s="1"/>
  <c r="BE487" i="37" s="1"/>
  <c r="BE488" i="37" s="1"/>
  <c r="BE489" i="37" s="1"/>
  <c r="BE490" i="37" s="1"/>
  <c r="BE279" i="37"/>
  <c r="BE282" i="37"/>
  <c r="BE272" i="37" s="1"/>
  <c r="BE275" i="37"/>
  <c r="BE278" i="37"/>
  <c r="BE271" i="37"/>
  <c r="BE6" i="37"/>
  <c r="BE19" i="37"/>
  <c r="BF3" i="37"/>
  <c r="BE270" i="37"/>
  <c r="BC530" i="37"/>
  <c r="BB531" i="37"/>
  <c r="BC517" i="37"/>
  <c r="BC516" i="37" s="1"/>
  <c r="BG47" i="37"/>
  <c r="BG48" i="37" s="1"/>
  <c r="BF48" i="37"/>
  <c r="BC529" i="37"/>
  <c r="BC38" i="37"/>
  <c r="BD523" i="37"/>
  <c r="BE522" i="37"/>
  <c r="BC521" i="37"/>
  <c r="BC520" i="37" s="1"/>
  <c r="BF217" i="37"/>
  <c r="BD528" i="37"/>
  <c r="BE35" i="37"/>
  <c r="BD36" i="37"/>
  <c r="BE200" i="37"/>
  <c r="BD526" i="37"/>
  <c r="BC527" i="37"/>
  <c r="BF203" i="37"/>
  <c r="BC509" i="37"/>
  <c r="BC508" i="37" s="1"/>
  <c r="BE204" i="37"/>
  <c r="BC533" i="37"/>
  <c r="BC532" i="37" s="1"/>
  <c r="BD274" i="37"/>
  <c r="BG39" i="37"/>
  <c r="BG42" i="37" s="1"/>
  <c r="BF42" i="37"/>
  <c r="BG422" i="37"/>
  <c r="BE196" i="37"/>
  <c r="BE44" i="37"/>
  <c r="BF43" i="37"/>
  <c r="BC46" i="37"/>
  <c r="BC27" i="37"/>
  <c r="BC8" i="37"/>
  <c r="BB525" i="37"/>
  <c r="BB524" i="37" s="1"/>
  <c r="BE534" i="37"/>
  <c r="BD535" i="37"/>
  <c r="BE24" i="37"/>
  <c r="BF23" i="37"/>
  <c r="BD514" i="37"/>
  <c r="BC515" i="37"/>
  <c r="BG547" i="37"/>
  <c r="BG313" i="37" s="1"/>
  <c r="BG545" i="37"/>
  <c r="BG280" i="37"/>
  <c r="BD45" i="37"/>
  <c r="BD15" i="37"/>
  <c r="BD26" i="37"/>
  <c r="BE14" i="37"/>
  <c r="BD7" i="37"/>
  <c r="BG424" i="37"/>
  <c r="BB512" i="37"/>
  <c r="BD511" i="37"/>
  <c r="BE510" i="37"/>
  <c r="BG425" i="37"/>
  <c r="BF208" i="37" l="1"/>
  <c r="BF273" i="37"/>
  <c r="BG5" i="37"/>
  <c r="BF321" i="37"/>
  <c r="BG321" i="37" s="1"/>
  <c r="BF196" i="37"/>
  <c r="BF204" i="37"/>
  <c r="BD304" i="37"/>
  <c r="BF201" i="37"/>
  <c r="BF198" i="37"/>
  <c r="BF200" i="37"/>
  <c r="BE274" i="37"/>
  <c r="BC519" i="37"/>
  <c r="BD518" i="37"/>
  <c r="BD517" i="37" s="1"/>
  <c r="BD516" i="37" s="1"/>
  <c r="BF199" i="37"/>
  <c r="BG22" i="37"/>
  <c r="BG21" i="37"/>
  <c r="BG49" i="37"/>
  <c r="BG25" i="37"/>
  <c r="BE535" i="37"/>
  <c r="BF534" i="37"/>
  <c r="BC531" i="37"/>
  <c r="BD530" i="37"/>
  <c r="BC525" i="37"/>
  <c r="BD533" i="37"/>
  <c r="BD532" i="37" s="1"/>
  <c r="BD521" i="37"/>
  <c r="BD520" i="37" s="1"/>
  <c r="BD513" i="37"/>
  <c r="BD512" i="37"/>
  <c r="BD46" i="37"/>
  <c r="BD27" i="37"/>
  <c r="BD8" i="37"/>
  <c r="BD527" i="37"/>
  <c r="BE526" i="37"/>
  <c r="BF510" i="37"/>
  <c r="BE511" i="37"/>
  <c r="BE45" i="37"/>
  <c r="BE26" i="37"/>
  <c r="BE15" i="37"/>
  <c r="BF14" i="37"/>
  <c r="BE7" i="37"/>
  <c r="BD509" i="37"/>
  <c r="BF546" i="37"/>
  <c r="BG9" i="37"/>
  <c r="BG546" i="37" s="1"/>
  <c r="BD515" i="37"/>
  <c r="BE514" i="37"/>
  <c r="BF758" i="37"/>
  <c r="BF759" i="37"/>
  <c r="BF757" i="37"/>
  <c r="BF483" i="37"/>
  <c r="BF484" i="37" s="1"/>
  <c r="BF485" i="37" s="1"/>
  <c r="BF486" i="37" s="1"/>
  <c r="BF487" i="37" s="1"/>
  <c r="BF488" i="37" s="1"/>
  <c r="BF489" i="37" s="1"/>
  <c r="BF490" i="37" s="1"/>
  <c r="BF271" i="37"/>
  <c r="BF282" i="37"/>
  <c r="BF272" i="37" s="1"/>
  <c r="BF279" i="37"/>
  <c r="BF278" i="37"/>
  <c r="BF275" i="37"/>
  <c r="BF6" i="37"/>
  <c r="BG3" i="37"/>
  <c r="BG208" i="37" s="1"/>
  <c r="BF19" i="37"/>
  <c r="BF270" i="37"/>
  <c r="BG23" i="37"/>
  <c r="BG24" i="37" s="1"/>
  <c r="BF24" i="37"/>
  <c r="BD529" i="37"/>
  <c r="BD38" i="37"/>
  <c r="BF223" i="37"/>
  <c r="BF304" i="37"/>
  <c r="BF207" i="37"/>
  <c r="BF44" i="37"/>
  <c r="BG43" i="37"/>
  <c r="BG44" i="37" s="1"/>
  <c r="BE528" i="37"/>
  <c r="BF35" i="37"/>
  <c r="BE36" i="37"/>
  <c r="BF522" i="37"/>
  <c r="BE523" i="37"/>
  <c r="BF202" i="37"/>
  <c r="BG11" i="37"/>
  <c r="BF197" i="37"/>
  <c r="BG273" i="37" l="1"/>
  <c r="BG323" i="37"/>
  <c r="BG207" i="37"/>
  <c r="BD519" i="37"/>
  <c r="BE518" i="37"/>
  <c r="BG223" i="37"/>
  <c r="BG197" i="37"/>
  <c r="BG200" i="37"/>
  <c r="BG198" i="37"/>
  <c r="BG205" i="37"/>
  <c r="BD525" i="37"/>
  <c r="BD524" i="37" s="1"/>
  <c r="BF523" i="37"/>
  <c r="BG522" i="37"/>
  <c r="BG523" i="37" s="1"/>
  <c r="BF514" i="37"/>
  <c r="BE515" i="37"/>
  <c r="BE46" i="37"/>
  <c r="BE8" i="37"/>
  <c r="BE27" i="37"/>
  <c r="BE527" i="37"/>
  <c r="BF526" i="37"/>
  <c r="BE513" i="37"/>
  <c r="BE512" i="37"/>
  <c r="BE530" i="37"/>
  <c r="BD531" i="37"/>
  <c r="BE529" i="37"/>
  <c r="BE38" i="37"/>
  <c r="BF45" i="37"/>
  <c r="BF15" i="37"/>
  <c r="BG14" i="37"/>
  <c r="BF26" i="37"/>
  <c r="BF7" i="37"/>
  <c r="BF528" i="37"/>
  <c r="BF36" i="37"/>
  <c r="BG35" i="37"/>
  <c r="BG758" i="37"/>
  <c r="BG757" i="37"/>
  <c r="BG759" i="37"/>
  <c r="BG483" i="37"/>
  <c r="BG484" i="37" s="1"/>
  <c r="BG485" i="37" s="1"/>
  <c r="BG486" i="37" s="1"/>
  <c r="BG487" i="37" s="1"/>
  <c r="BG488" i="37" s="1"/>
  <c r="BG489" i="37" s="1"/>
  <c r="BG490" i="37" s="1"/>
  <c r="BG282" i="37"/>
  <c r="BG272" i="37" s="1"/>
  <c r="BG279" i="37"/>
  <c r="BG278" i="37"/>
  <c r="BG275" i="37"/>
  <c r="BG271" i="37"/>
  <c r="BG19" i="37"/>
  <c r="BG6" i="37"/>
  <c r="BG270" i="37"/>
  <c r="BE304" i="37"/>
  <c r="BG204" i="37"/>
  <c r="BG217" i="37"/>
  <c r="BG206" i="37"/>
  <c r="BE521" i="37"/>
  <c r="BE520" i="37"/>
  <c r="BG203" i="37"/>
  <c r="BG202" i="37"/>
  <c r="BG304" i="37"/>
  <c r="BG224" i="37"/>
  <c r="BE533" i="37"/>
  <c r="BE532" i="37" s="1"/>
  <c r="BG196" i="37"/>
  <c r="BG199" i="37"/>
  <c r="BE509" i="37"/>
  <c r="BG534" i="37"/>
  <c r="BG535" i="37" s="1"/>
  <c r="BF535" i="37"/>
  <c r="BE517" i="37"/>
  <c r="BF274" i="37"/>
  <c r="BG201" i="37"/>
  <c r="BD508" i="37"/>
  <c r="BG510" i="37"/>
  <c r="BG511" i="37" s="1"/>
  <c r="BF511" i="37"/>
  <c r="BC524" i="37"/>
  <c r="BG274" i="37" l="1"/>
  <c r="BE519" i="37"/>
  <c r="BF518" i="37"/>
  <c r="BG514" i="37"/>
  <c r="BG515" i="37" s="1"/>
  <c r="BF515" i="37"/>
  <c r="BG45" i="37"/>
  <c r="BG26" i="37"/>
  <c r="BG7" i="37"/>
  <c r="BG15" i="37"/>
  <c r="BF513" i="37"/>
  <c r="BF517" i="37"/>
  <c r="BF516" i="37" s="1"/>
  <c r="BF527" i="37"/>
  <c r="BG526" i="37"/>
  <c r="BG527" i="37" s="1"/>
  <c r="BE516" i="37"/>
  <c r="BF521" i="37"/>
  <c r="BG528" i="37"/>
  <c r="BG36" i="37"/>
  <c r="BE525" i="37"/>
  <c r="BE524" i="37" s="1"/>
  <c r="BF533" i="37"/>
  <c r="BF529" i="37"/>
  <c r="BF38" i="37"/>
  <c r="BF509" i="37"/>
  <c r="BE508" i="37"/>
  <c r="BF46" i="37"/>
  <c r="BF27" i="37"/>
  <c r="BF8" i="37"/>
  <c r="BE531" i="37"/>
  <c r="BF530" i="37"/>
  <c r="BF519" i="37" l="1"/>
  <c r="BG518" i="37"/>
  <c r="BG519" i="37" s="1"/>
  <c r="BG509" i="37"/>
  <c r="BG508" i="37" s="1"/>
  <c r="BG513" i="37"/>
  <c r="BG512" i="37"/>
  <c r="BF531" i="37"/>
  <c r="BG530" i="37"/>
  <c r="BG531" i="37" s="1"/>
  <c r="BG521" i="37"/>
  <c r="BG520" i="37" s="1"/>
  <c r="BF512" i="37"/>
  <c r="BF520" i="37"/>
  <c r="BG533" i="37"/>
  <c r="BG532" i="37" s="1"/>
  <c r="BG46" i="37"/>
  <c r="BG8" i="37"/>
  <c r="BG27" i="37"/>
  <c r="BF532" i="37"/>
  <c r="BF525" i="37"/>
  <c r="BF524" i="37" s="1"/>
  <c r="BF508" i="37"/>
  <c r="BG529" i="37"/>
  <c r="BG38" i="37"/>
  <c r="BG517" i="37"/>
  <c r="BG516" i="37"/>
  <c r="BG525" i="37" l="1"/>
  <c r="BG524" i="37" s="1"/>
  <c r="Z3" i="7" l="1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G2" i="7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G2" i="9"/>
  <c r="H46" i="36" l="1"/>
  <c r="H37" i="36" s="1"/>
  <c r="G46" i="36"/>
  <c r="Q25" i="36"/>
  <c r="R25" i="36" s="1"/>
  <c r="S25" i="36" s="1"/>
  <c r="Q27" i="36"/>
  <c r="Q28" i="36"/>
  <c r="R28" i="36" s="1"/>
  <c r="S28" i="36" s="1"/>
  <c r="Q29" i="36"/>
  <c r="R29" i="36" s="1"/>
  <c r="S29" i="36" s="1"/>
  <c r="Q30" i="36"/>
  <c r="R30" i="36" s="1"/>
  <c r="S30" i="36" s="1"/>
  <c r="Q31" i="36"/>
  <c r="R31" i="36" s="1"/>
  <c r="S31" i="36" s="1"/>
  <c r="H2" i="36"/>
  <c r="H4" i="28" s="1"/>
  <c r="P68" i="36"/>
  <c r="P8" i="28" s="1"/>
  <c r="O68" i="36"/>
  <c r="O8" i="28" s="1"/>
  <c r="N68" i="36"/>
  <c r="N8" i="28" s="1"/>
  <c r="M68" i="36"/>
  <c r="M8" i="28" s="1"/>
  <c r="L68" i="36"/>
  <c r="L8" i="28" s="1"/>
  <c r="K68" i="36"/>
  <c r="K8" i="28" s="1"/>
  <c r="J68" i="36"/>
  <c r="J8" i="28" s="1"/>
  <c r="I68" i="36"/>
  <c r="I8" i="28" s="1"/>
  <c r="H68" i="36"/>
  <c r="H8" i="28" s="1"/>
  <c r="G68" i="36"/>
  <c r="G8" i="28" s="1"/>
  <c r="P42" i="36"/>
  <c r="P6" i="28" s="1"/>
  <c r="O42" i="36"/>
  <c r="O6" i="28" s="1"/>
  <c r="N42" i="36"/>
  <c r="N6" i="28" s="1"/>
  <c r="M42" i="36"/>
  <c r="M6" i="28" s="1"/>
  <c r="L42" i="36"/>
  <c r="L6" i="28" s="1"/>
  <c r="K42" i="36"/>
  <c r="K6" i="28" s="1"/>
  <c r="J42" i="36"/>
  <c r="J6" i="28" s="1"/>
  <c r="I42" i="36"/>
  <c r="I6" i="28" s="1"/>
  <c r="P40" i="36"/>
  <c r="O40" i="36"/>
  <c r="N40" i="36"/>
  <c r="M40" i="36"/>
  <c r="L40" i="36"/>
  <c r="K40" i="36"/>
  <c r="J40" i="36"/>
  <c r="I40" i="36"/>
  <c r="H40" i="36"/>
  <c r="G40" i="36"/>
  <c r="P39" i="36"/>
  <c r="O39" i="36"/>
  <c r="N39" i="36"/>
  <c r="M39" i="36"/>
  <c r="L39" i="36"/>
  <c r="K39" i="36"/>
  <c r="J39" i="36"/>
  <c r="I39" i="36"/>
  <c r="H39" i="36"/>
  <c r="G39" i="36"/>
  <c r="P38" i="36"/>
  <c r="O38" i="36"/>
  <c r="N38" i="36"/>
  <c r="M38" i="36"/>
  <c r="L38" i="36"/>
  <c r="K38" i="36"/>
  <c r="J38" i="36"/>
  <c r="I38" i="36"/>
  <c r="H38" i="36"/>
  <c r="G38" i="36"/>
  <c r="P37" i="36"/>
  <c r="O37" i="36"/>
  <c r="N37" i="36"/>
  <c r="M37" i="36"/>
  <c r="L37" i="36"/>
  <c r="K37" i="36"/>
  <c r="J37" i="36"/>
  <c r="I37" i="36"/>
  <c r="P36" i="36"/>
  <c r="O36" i="36"/>
  <c r="N36" i="36"/>
  <c r="M36" i="36"/>
  <c r="L36" i="36"/>
  <c r="K36" i="36"/>
  <c r="J36" i="36"/>
  <c r="I36" i="36"/>
  <c r="H36" i="36"/>
  <c r="G36" i="36"/>
  <c r="P34" i="36"/>
  <c r="O34" i="36"/>
  <c r="N34" i="36"/>
  <c r="M34" i="36"/>
  <c r="L34" i="36"/>
  <c r="K34" i="36"/>
  <c r="J34" i="36"/>
  <c r="I34" i="36"/>
  <c r="H34" i="36"/>
  <c r="G34" i="36"/>
  <c r="P24" i="36"/>
  <c r="O24" i="36"/>
  <c r="N24" i="36"/>
  <c r="M24" i="36"/>
  <c r="L24" i="36"/>
  <c r="K24" i="36"/>
  <c r="J24" i="36"/>
  <c r="I24" i="36"/>
  <c r="H24" i="36"/>
  <c r="G24" i="36"/>
  <c r="F70" i="36"/>
  <c r="J9" i="28" l="1"/>
  <c r="H42" i="36"/>
  <c r="H6" i="28" s="1"/>
  <c r="N9" i="28"/>
  <c r="L9" i="28"/>
  <c r="H9" i="28"/>
  <c r="P9" i="28"/>
  <c r="K9" i="28"/>
  <c r="M9" i="28"/>
  <c r="O9" i="28"/>
  <c r="I9" i="28"/>
  <c r="G42" i="36"/>
  <c r="G6" i="28" s="1"/>
  <c r="G58" i="36"/>
  <c r="G61" i="36"/>
  <c r="H61" i="36"/>
  <c r="H58" i="36"/>
  <c r="H2" i="18"/>
  <c r="H2" i="16"/>
  <c r="I2" i="36"/>
  <c r="I4" i="28" s="1"/>
  <c r="H2" i="9"/>
  <c r="H2" i="7"/>
  <c r="H55" i="36"/>
  <c r="P55" i="36"/>
  <c r="P33" i="36"/>
  <c r="I55" i="36"/>
  <c r="J55" i="36"/>
  <c r="K55" i="36"/>
  <c r="L55" i="36"/>
  <c r="M55" i="36"/>
  <c r="N55" i="36"/>
  <c r="O55" i="36"/>
  <c r="M70" i="36"/>
  <c r="Z70" i="36"/>
  <c r="L70" i="36"/>
  <c r="Y70" i="36"/>
  <c r="K70" i="36"/>
  <c r="U70" i="36"/>
  <c r="J70" i="36"/>
  <c r="T70" i="36"/>
  <c r="I70" i="36"/>
  <c r="S70" i="36"/>
  <c r="R70" i="36"/>
  <c r="Q70" i="36"/>
  <c r="N70" i="36"/>
  <c r="V70" i="36"/>
  <c r="X70" i="36"/>
  <c r="O70" i="36"/>
  <c r="W70" i="36"/>
  <c r="H70" i="36"/>
  <c r="P70" i="36"/>
  <c r="G37" i="36"/>
  <c r="H33" i="36"/>
  <c r="L33" i="36"/>
  <c r="R27" i="36"/>
  <c r="S27" i="36" s="1"/>
  <c r="T25" i="36"/>
  <c r="T29" i="36"/>
  <c r="T31" i="36"/>
  <c r="U31" i="36" s="1"/>
  <c r="V31" i="36" s="1"/>
  <c r="W31" i="36" s="1"/>
  <c r="X31" i="36" s="1"/>
  <c r="Y31" i="36" s="1"/>
  <c r="Z31" i="36" s="1"/>
  <c r="T28" i="36"/>
  <c r="T30" i="36"/>
  <c r="G70" i="36"/>
  <c r="J33" i="36"/>
  <c r="O33" i="36"/>
  <c r="K33" i="36"/>
  <c r="M33" i="36"/>
  <c r="I33" i="36"/>
  <c r="N33" i="36"/>
  <c r="Q68" i="36" l="1"/>
  <c r="Q90" i="36"/>
  <c r="R90" i="36" s="1"/>
  <c r="S90" i="36" s="1"/>
  <c r="T90" i="36" s="1"/>
  <c r="U90" i="36" s="1"/>
  <c r="V90" i="36" s="1"/>
  <c r="W90" i="36" s="1"/>
  <c r="X90" i="36" s="1"/>
  <c r="Y90" i="36" s="1"/>
  <c r="Z90" i="36" s="1"/>
  <c r="Q89" i="36"/>
  <c r="R89" i="36" s="1"/>
  <c r="S89" i="36" s="1"/>
  <c r="T89" i="36" s="1"/>
  <c r="U89" i="36" s="1"/>
  <c r="V89" i="36" s="1"/>
  <c r="W89" i="36" s="1"/>
  <c r="X89" i="36" s="1"/>
  <c r="Y89" i="36" s="1"/>
  <c r="Z89" i="36" s="1"/>
  <c r="Q58" i="36"/>
  <c r="Q96" i="36"/>
  <c r="R96" i="36" s="1"/>
  <c r="S96" i="36" s="1"/>
  <c r="T96" i="36" s="1"/>
  <c r="U96" i="36" s="1"/>
  <c r="V96" i="36" s="1"/>
  <c r="W96" i="36" s="1"/>
  <c r="X96" i="36" s="1"/>
  <c r="Y96" i="36" s="1"/>
  <c r="Z96" i="36" s="1"/>
  <c r="G33" i="36"/>
  <c r="G55" i="36"/>
  <c r="Q209" i="36"/>
  <c r="Q208" i="36"/>
  <c r="R208" i="36" s="1"/>
  <c r="I2" i="18"/>
  <c r="I2" i="16"/>
  <c r="J2" i="36"/>
  <c r="J4" i="28" s="1"/>
  <c r="I2" i="9"/>
  <c r="I2" i="7"/>
  <c r="Q61" i="36"/>
  <c r="R61" i="36" s="1"/>
  <c r="S61" i="36" s="1"/>
  <c r="T61" i="36" s="1"/>
  <c r="U61" i="36" s="1"/>
  <c r="V61" i="36" s="1"/>
  <c r="W61" i="36" s="1"/>
  <c r="X61" i="36" s="1"/>
  <c r="Y61" i="36" s="1"/>
  <c r="Z61" i="36" s="1"/>
  <c r="U25" i="36"/>
  <c r="U30" i="36"/>
  <c r="V30" i="36" s="1"/>
  <c r="W30" i="36" s="1"/>
  <c r="X30" i="36" s="1"/>
  <c r="Y30" i="36" s="1"/>
  <c r="Z30" i="36" s="1"/>
  <c r="T27" i="36"/>
  <c r="U28" i="36"/>
  <c r="V28" i="36" s="1"/>
  <c r="W28" i="36" s="1"/>
  <c r="X28" i="36" s="1"/>
  <c r="Y28" i="36" s="1"/>
  <c r="Z28" i="36" s="1"/>
  <c r="U29" i="36"/>
  <c r="V29" i="36" s="1"/>
  <c r="W29" i="36" s="1"/>
  <c r="X29" i="36" s="1"/>
  <c r="Y29" i="36" s="1"/>
  <c r="Z29" i="36" s="1"/>
  <c r="R68" i="36" l="1"/>
  <c r="Q8" i="28"/>
  <c r="Q9" i="28" s="1"/>
  <c r="R58" i="36"/>
  <c r="S208" i="36"/>
  <c r="Q210" i="36"/>
  <c r="R209" i="36"/>
  <c r="S209" i="36" s="1"/>
  <c r="T209" i="36" s="1"/>
  <c r="U209" i="36" s="1"/>
  <c r="V209" i="36" s="1"/>
  <c r="W209" i="36" s="1"/>
  <c r="X209" i="36" s="1"/>
  <c r="Y209" i="36" s="1"/>
  <c r="Z209" i="36" s="1"/>
  <c r="J2" i="16"/>
  <c r="J2" i="18"/>
  <c r="K2" i="36"/>
  <c r="K4" i="28" s="1"/>
  <c r="J2" i="7"/>
  <c r="J2" i="9"/>
  <c r="U27" i="36"/>
  <c r="V25" i="36"/>
  <c r="S68" i="36" l="1"/>
  <c r="R8" i="28"/>
  <c r="R9" i="28" s="1"/>
  <c r="S58" i="36"/>
  <c r="Q212" i="36"/>
  <c r="R210" i="36"/>
  <c r="T208" i="36"/>
  <c r="S210" i="36"/>
  <c r="K2" i="16"/>
  <c r="K2" i="18"/>
  <c r="L2" i="36"/>
  <c r="L4" i="28" s="1"/>
  <c r="K2" i="9"/>
  <c r="K2" i="7"/>
  <c r="V27" i="36"/>
  <c r="W25" i="36"/>
  <c r="T68" i="36" l="1"/>
  <c r="S8" i="28"/>
  <c r="S9" i="28" s="1"/>
  <c r="T58" i="36"/>
  <c r="Q214" i="36"/>
  <c r="Q215" i="36" s="1"/>
  <c r="Q217" i="36" s="1"/>
  <c r="Q15" i="9" s="1"/>
  <c r="R212" i="36"/>
  <c r="S212" i="36"/>
  <c r="U208" i="36"/>
  <c r="T210" i="36"/>
  <c r="L2" i="16"/>
  <c r="L2" i="18"/>
  <c r="M2" i="36"/>
  <c r="M4" i="28" s="1"/>
  <c r="L2" i="9"/>
  <c r="L2" i="7"/>
  <c r="W27" i="36"/>
  <c r="X25" i="36"/>
  <c r="U68" i="36" l="1"/>
  <c r="T8" i="28"/>
  <c r="T9" i="28" s="1"/>
  <c r="U58" i="36"/>
  <c r="R214" i="36"/>
  <c r="R215" i="36" s="1"/>
  <c r="R217" i="36" s="1"/>
  <c r="R15" i="9" s="1"/>
  <c r="S214" i="36"/>
  <c r="S215" i="36" s="1"/>
  <c r="S217" i="36" s="1"/>
  <c r="S15" i="9" s="1"/>
  <c r="T212" i="36"/>
  <c r="V208" i="36"/>
  <c r="U210" i="36"/>
  <c r="M2" i="16"/>
  <c r="M2" i="18"/>
  <c r="N2" i="36"/>
  <c r="N4" i="28" s="1"/>
  <c r="M2" i="7"/>
  <c r="M2" i="9"/>
  <c r="Y25" i="36"/>
  <c r="X27" i="36"/>
  <c r="V68" i="36" l="1"/>
  <c r="U8" i="28"/>
  <c r="U9" i="28" s="1"/>
  <c r="V58" i="36"/>
  <c r="T214" i="36"/>
  <c r="T215" i="36" s="1"/>
  <c r="T217" i="36" s="1"/>
  <c r="T15" i="9" s="1"/>
  <c r="U212" i="36"/>
  <c r="W208" i="36"/>
  <c r="V210" i="36"/>
  <c r="N2" i="18"/>
  <c r="N2" i="16"/>
  <c r="O2" i="36"/>
  <c r="O4" i="28" s="1"/>
  <c r="N2" i="7"/>
  <c r="N2" i="9"/>
  <c r="Y27" i="36"/>
  <c r="Z25" i="36"/>
  <c r="W68" i="36" l="1"/>
  <c r="V8" i="28"/>
  <c r="V9" i="28" s="1"/>
  <c r="W58" i="36"/>
  <c r="U214" i="36"/>
  <c r="U215" i="36" s="1"/>
  <c r="U217" i="36" s="1"/>
  <c r="U15" i="9" s="1"/>
  <c r="V212" i="36"/>
  <c r="X208" i="36"/>
  <c r="W210" i="36"/>
  <c r="O2" i="18"/>
  <c r="O2" i="16"/>
  <c r="P2" i="36"/>
  <c r="P4" i="28" s="1"/>
  <c r="O2" i="7"/>
  <c r="O2" i="9"/>
  <c r="Z27" i="36"/>
  <c r="X68" i="36" l="1"/>
  <c r="W8" i="28"/>
  <c r="W9" i="28" s="1"/>
  <c r="X58" i="36"/>
  <c r="V214" i="36"/>
  <c r="V215" i="36" s="1"/>
  <c r="V217" i="36" s="1"/>
  <c r="V15" i="9" s="1"/>
  <c r="W212" i="36"/>
  <c r="Y208" i="36"/>
  <c r="X210" i="36"/>
  <c r="P2" i="18"/>
  <c r="P2" i="16"/>
  <c r="Q2" i="36"/>
  <c r="P2" i="9"/>
  <c r="P2" i="7"/>
  <c r="Q112" i="36" l="1"/>
  <c r="Q4" i="28"/>
  <c r="Q35" i="36"/>
  <c r="Y68" i="36"/>
  <c r="X8" i="28"/>
  <c r="X9" i="28" s="1"/>
  <c r="Q148" i="36"/>
  <c r="Q175" i="36"/>
  <c r="Q163" i="36"/>
  <c r="Q169" i="36"/>
  <c r="Q154" i="36"/>
  <c r="Q142" i="36"/>
  <c r="Q173" i="36"/>
  <c r="Q174" i="36" s="1"/>
  <c r="R172" i="36" s="1"/>
  <c r="Q134" i="36"/>
  <c r="Q167" i="36"/>
  <c r="Q168" i="36" s="1"/>
  <c r="R166" i="36" s="1"/>
  <c r="Q161" i="36"/>
  <c r="Q162" i="36" s="1"/>
  <c r="Q146" i="36"/>
  <c r="Q147" i="36" s="1"/>
  <c r="R145" i="36" s="1"/>
  <c r="Q140" i="36"/>
  <c r="Q141" i="36" s="1"/>
  <c r="R139" i="36" s="1"/>
  <c r="Q152" i="36"/>
  <c r="Q153" i="36" s="1"/>
  <c r="R151" i="36" s="1"/>
  <c r="Q136" i="36"/>
  <c r="Q1" i="36"/>
  <c r="Y58" i="36"/>
  <c r="W214" i="36"/>
  <c r="W215" i="36" s="1"/>
  <c r="W217" i="36" s="1"/>
  <c r="W15" i="9" s="1"/>
  <c r="X212" i="36"/>
  <c r="Z208" i="36"/>
  <c r="Z210" i="36" s="1"/>
  <c r="Y210" i="36"/>
  <c r="Q26" i="36"/>
  <c r="Q24" i="36" s="1"/>
  <c r="Q2" i="18"/>
  <c r="Q2" i="16"/>
  <c r="R2" i="36"/>
  <c r="R112" i="36" s="1"/>
  <c r="Q2" i="9"/>
  <c r="Q2" i="7"/>
  <c r="R4" i="28" l="1"/>
  <c r="R35" i="36"/>
  <c r="Q22" i="16"/>
  <c r="M35" i="42" s="1"/>
  <c r="Z68" i="36"/>
  <c r="Z8" i="28" s="1"/>
  <c r="Y8" i="28"/>
  <c r="Y9" i="28" s="1"/>
  <c r="Q135" i="36"/>
  <c r="R133" i="36" s="1"/>
  <c r="Q21" i="16"/>
  <c r="R175" i="36"/>
  <c r="R142" i="36"/>
  <c r="R140" i="36"/>
  <c r="R141" i="36" s="1"/>
  <c r="S139" i="36" s="1"/>
  <c r="R134" i="36"/>
  <c r="R161" i="36"/>
  <c r="R169" i="36"/>
  <c r="R167" i="36"/>
  <c r="R168" i="36" s="1"/>
  <c r="S166" i="36" s="1"/>
  <c r="R173" i="36"/>
  <c r="R174" i="36" s="1"/>
  <c r="S172" i="36" s="1"/>
  <c r="R152" i="36"/>
  <c r="R153" i="36" s="1"/>
  <c r="S151" i="36" s="1"/>
  <c r="R146" i="36"/>
  <c r="R147" i="36" s="1"/>
  <c r="S145" i="36" s="1"/>
  <c r="R148" i="36"/>
  <c r="R154" i="36"/>
  <c r="R160" i="36"/>
  <c r="R162" i="36" s="1"/>
  <c r="Q157" i="36"/>
  <c r="R1" i="36"/>
  <c r="Z58" i="36"/>
  <c r="X214" i="36"/>
  <c r="X215" i="36" s="1"/>
  <c r="X217" i="36" s="1"/>
  <c r="X15" i="9" s="1"/>
  <c r="Z212" i="36"/>
  <c r="Y212" i="36"/>
  <c r="R26" i="36"/>
  <c r="Q44" i="36"/>
  <c r="R2" i="16"/>
  <c r="R2" i="18"/>
  <c r="S2" i="36"/>
  <c r="S112" i="36" s="1"/>
  <c r="R2" i="9"/>
  <c r="R2" i="7"/>
  <c r="F10" i="7"/>
  <c r="F8" i="36" s="1"/>
  <c r="M93" i="42" l="1"/>
  <c r="M33" i="42"/>
  <c r="M94" i="42" s="1"/>
  <c r="M73" i="42"/>
  <c r="Q19" i="28"/>
  <c r="S4" i="28"/>
  <c r="S35" i="36"/>
  <c r="Q26" i="9"/>
  <c r="Q20" i="28"/>
  <c r="Z9" i="28"/>
  <c r="R136" i="36"/>
  <c r="Q130" i="36"/>
  <c r="Q33" i="18" s="1"/>
  <c r="R135" i="36"/>
  <c r="S133" i="36" s="1"/>
  <c r="R21" i="16"/>
  <c r="S160" i="36"/>
  <c r="R157" i="36"/>
  <c r="R163" i="36"/>
  <c r="S140" i="36"/>
  <c r="S141" i="36" s="1"/>
  <c r="T139" i="36" s="1"/>
  <c r="S167" i="36"/>
  <c r="S168" i="36" s="1"/>
  <c r="T166" i="36" s="1"/>
  <c r="S173" i="36"/>
  <c r="S174" i="36" s="1"/>
  <c r="T172" i="36" s="1"/>
  <c r="S134" i="36"/>
  <c r="S161" i="36"/>
  <c r="S152" i="36"/>
  <c r="S153" i="36" s="1"/>
  <c r="T151" i="36" s="1"/>
  <c r="S146" i="36"/>
  <c r="S147" i="36" s="1"/>
  <c r="T145" i="36" s="1"/>
  <c r="S169" i="36"/>
  <c r="S142" i="36"/>
  <c r="S175" i="36"/>
  <c r="S154" i="36"/>
  <c r="S148" i="36"/>
  <c r="S1" i="36"/>
  <c r="Y214" i="36"/>
  <c r="Y215" i="36" s="1"/>
  <c r="Y217" i="36" s="1"/>
  <c r="Y15" i="9" s="1"/>
  <c r="Z214" i="36"/>
  <c r="Z215" i="36" s="1"/>
  <c r="Z217" i="36" s="1"/>
  <c r="Z15" i="9" s="1"/>
  <c r="S26" i="36"/>
  <c r="R44" i="36"/>
  <c r="R24" i="36"/>
  <c r="P8" i="36"/>
  <c r="Y8" i="36"/>
  <c r="Q8" i="36"/>
  <c r="K8" i="36"/>
  <c r="R8" i="36"/>
  <c r="Z8" i="36"/>
  <c r="G8" i="36"/>
  <c r="X8" i="36"/>
  <c r="S8" i="36"/>
  <c r="M8" i="36"/>
  <c r="L8" i="36"/>
  <c r="H8" i="36"/>
  <c r="T8" i="36"/>
  <c r="O8" i="36"/>
  <c r="I8" i="36"/>
  <c r="J8" i="36"/>
  <c r="U8" i="36"/>
  <c r="N8" i="36"/>
  <c r="V8" i="36"/>
  <c r="W8" i="36"/>
  <c r="S2" i="16"/>
  <c r="S2" i="18"/>
  <c r="T2" i="36"/>
  <c r="T112" i="36" s="1"/>
  <c r="S2" i="9"/>
  <c r="S2" i="7"/>
  <c r="F33" i="36"/>
  <c r="R130" i="36" l="1"/>
  <c r="R19" i="28"/>
  <c r="S44" i="36"/>
  <c r="T4" i="28"/>
  <c r="T35" i="36"/>
  <c r="Q32" i="18"/>
  <c r="Q26" i="28"/>
  <c r="N35" i="42"/>
  <c r="R33" i="18"/>
  <c r="S21" i="16"/>
  <c r="S136" i="36"/>
  <c r="S162" i="36"/>
  <c r="S135" i="36"/>
  <c r="T140" i="36"/>
  <c r="T141" i="36" s="1"/>
  <c r="U139" i="36" s="1"/>
  <c r="T134" i="36"/>
  <c r="T173" i="36"/>
  <c r="T174" i="36" s="1"/>
  <c r="U172" i="36" s="1"/>
  <c r="T161" i="36"/>
  <c r="T152" i="36"/>
  <c r="T153" i="36" s="1"/>
  <c r="U151" i="36" s="1"/>
  <c r="T167" i="36"/>
  <c r="T168" i="36" s="1"/>
  <c r="U166" i="36" s="1"/>
  <c r="T146" i="36"/>
  <c r="T147" i="36" s="1"/>
  <c r="U145" i="36" s="1"/>
  <c r="T169" i="36"/>
  <c r="T142" i="36"/>
  <c r="T175" i="36"/>
  <c r="T148" i="36"/>
  <c r="T154" i="36"/>
  <c r="S163" i="36"/>
  <c r="T1" i="36"/>
  <c r="S24" i="36"/>
  <c r="T26" i="36"/>
  <c r="T24" i="36" s="1"/>
  <c r="Q102" i="36"/>
  <c r="Q103" i="36"/>
  <c r="T2" i="16"/>
  <c r="T2" i="18"/>
  <c r="U2" i="36"/>
  <c r="U112" i="36" s="1"/>
  <c r="T2" i="9"/>
  <c r="T2" i="7"/>
  <c r="Q39" i="36"/>
  <c r="Q48" i="36" s="1"/>
  <c r="Q34" i="36"/>
  <c r="Q43" i="36" s="1"/>
  <c r="Q38" i="36"/>
  <c r="Q47" i="36" s="1"/>
  <c r="Q37" i="36"/>
  <c r="Q46" i="36" s="1"/>
  <c r="Q40" i="36"/>
  <c r="Q49" i="36" s="1"/>
  <c r="Q36" i="36"/>
  <c r="Q45" i="36" s="1"/>
  <c r="S19" i="28" l="1"/>
  <c r="N93" i="42"/>
  <c r="N73" i="42"/>
  <c r="N33" i="42"/>
  <c r="N94" i="42" s="1"/>
  <c r="U4" i="28"/>
  <c r="U35" i="36"/>
  <c r="R32" i="18"/>
  <c r="R26" i="28"/>
  <c r="R26" i="9"/>
  <c r="R20" i="28"/>
  <c r="S22" i="16"/>
  <c r="O35" i="42" s="1"/>
  <c r="T21" i="16"/>
  <c r="T133" i="36"/>
  <c r="T135" i="36" s="1"/>
  <c r="S130" i="36"/>
  <c r="U140" i="36"/>
  <c r="U141" i="36" s="1"/>
  <c r="V139" i="36" s="1"/>
  <c r="U134" i="36"/>
  <c r="U167" i="36"/>
  <c r="U168" i="36" s="1"/>
  <c r="V166" i="36" s="1"/>
  <c r="U161" i="36"/>
  <c r="U146" i="36"/>
  <c r="U147" i="36" s="1"/>
  <c r="V145" i="36" s="1"/>
  <c r="U152" i="36"/>
  <c r="U153" i="36" s="1"/>
  <c r="V151" i="36" s="1"/>
  <c r="U173" i="36"/>
  <c r="U174" i="36" s="1"/>
  <c r="V172" i="36" s="1"/>
  <c r="U169" i="36"/>
  <c r="U148" i="36"/>
  <c r="U154" i="36"/>
  <c r="U175" i="36"/>
  <c r="T160" i="36"/>
  <c r="S157" i="36"/>
  <c r="U1" i="36"/>
  <c r="U142" i="36" s="1"/>
  <c r="T44" i="36"/>
  <c r="U26" i="36"/>
  <c r="U24" i="36" s="1"/>
  <c r="Q57" i="36"/>
  <c r="Q60" i="36"/>
  <c r="R103" i="36"/>
  <c r="Q13" i="9"/>
  <c r="R102" i="36"/>
  <c r="Q12" i="9"/>
  <c r="U2" i="16"/>
  <c r="U2" i="18"/>
  <c r="V2" i="36"/>
  <c r="V112" i="36" s="1"/>
  <c r="U2" i="7"/>
  <c r="U2" i="9"/>
  <c r="R38" i="36"/>
  <c r="R47" i="36" s="1"/>
  <c r="R37" i="36"/>
  <c r="R40" i="36"/>
  <c r="R36" i="36"/>
  <c r="R39" i="36"/>
  <c r="Q42" i="36"/>
  <c r="Q6" i="28" s="1"/>
  <c r="R34" i="36"/>
  <c r="T19" i="28" l="1"/>
  <c r="O93" i="42"/>
  <c r="O73" i="42"/>
  <c r="O33" i="42"/>
  <c r="O94" i="42" s="1"/>
  <c r="V4" i="28"/>
  <c r="V35" i="36"/>
  <c r="S26" i="9"/>
  <c r="S20" i="28"/>
  <c r="U21" i="16"/>
  <c r="S33" i="18"/>
  <c r="T136" i="36"/>
  <c r="U133" i="36"/>
  <c r="T130" i="36"/>
  <c r="V134" i="36"/>
  <c r="V140" i="36"/>
  <c r="V141" i="36" s="1"/>
  <c r="W139" i="36" s="1"/>
  <c r="V152" i="36"/>
  <c r="V153" i="36" s="1"/>
  <c r="W151" i="36" s="1"/>
  <c r="V173" i="36"/>
  <c r="V174" i="36" s="1"/>
  <c r="W172" i="36" s="1"/>
  <c r="V146" i="36"/>
  <c r="V147" i="36" s="1"/>
  <c r="W145" i="36" s="1"/>
  <c r="V167" i="36"/>
  <c r="V168" i="36" s="1"/>
  <c r="W166" i="36" s="1"/>
  <c r="V161" i="36"/>
  <c r="V169" i="36"/>
  <c r="V148" i="36"/>
  <c r="V175" i="36"/>
  <c r="V154" i="36"/>
  <c r="T162" i="36"/>
  <c r="T163" i="36"/>
  <c r="U44" i="36"/>
  <c r="V1" i="36"/>
  <c r="V142" i="36" s="1"/>
  <c r="V26" i="36"/>
  <c r="S102" i="36"/>
  <c r="R12" i="9"/>
  <c r="S103" i="36"/>
  <c r="R13" i="9"/>
  <c r="V2" i="18"/>
  <c r="V2" i="16"/>
  <c r="W2" i="36"/>
  <c r="W112" i="36" s="1"/>
  <c r="V2" i="9"/>
  <c r="V2" i="7"/>
  <c r="Q54" i="36"/>
  <c r="Q91" i="36" s="1"/>
  <c r="S38" i="36"/>
  <c r="T38" i="36" s="1"/>
  <c r="R46" i="36"/>
  <c r="S37" i="36"/>
  <c r="R43" i="36"/>
  <c r="S34" i="36"/>
  <c r="R48" i="36"/>
  <c r="S39" i="36"/>
  <c r="R45" i="36"/>
  <c r="S36" i="36"/>
  <c r="Q33" i="36"/>
  <c r="R49" i="36"/>
  <c r="S40" i="36"/>
  <c r="U19" i="28" l="1"/>
  <c r="V44" i="36"/>
  <c r="W4" i="28"/>
  <c r="W35" i="36"/>
  <c r="S32" i="18"/>
  <c r="S26" i="28"/>
  <c r="T22" i="16"/>
  <c r="V21" i="16"/>
  <c r="U160" i="36"/>
  <c r="T157" i="36"/>
  <c r="T33" i="18" s="1"/>
  <c r="U136" i="36"/>
  <c r="U135" i="36"/>
  <c r="W140" i="36"/>
  <c r="W141" i="36" s="1"/>
  <c r="X139" i="36" s="1"/>
  <c r="W134" i="36"/>
  <c r="W167" i="36"/>
  <c r="W168" i="36" s="1"/>
  <c r="X166" i="36" s="1"/>
  <c r="W161" i="36"/>
  <c r="W146" i="36"/>
  <c r="W147" i="36" s="1"/>
  <c r="X145" i="36" s="1"/>
  <c r="W152" i="36"/>
  <c r="W153" i="36" s="1"/>
  <c r="X151" i="36" s="1"/>
  <c r="W173" i="36"/>
  <c r="W174" i="36" s="1"/>
  <c r="X172" i="36" s="1"/>
  <c r="W169" i="36"/>
  <c r="W154" i="36"/>
  <c r="W175" i="36"/>
  <c r="W1" i="36"/>
  <c r="W148" i="36" s="1"/>
  <c r="V24" i="36"/>
  <c r="W26" i="36"/>
  <c r="W24" i="36" s="1"/>
  <c r="R57" i="36"/>
  <c r="R60" i="36"/>
  <c r="T103" i="36"/>
  <c r="S13" i="9"/>
  <c r="T102" i="36"/>
  <c r="S12" i="9"/>
  <c r="W2" i="18"/>
  <c r="W2" i="16"/>
  <c r="X2" i="36"/>
  <c r="X112" i="36" s="1"/>
  <c r="W2" i="7"/>
  <c r="W2" i="9"/>
  <c r="Q63" i="36"/>
  <c r="Q7" i="28" s="1"/>
  <c r="S47" i="36"/>
  <c r="S46" i="36"/>
  <c r="T37" i="36"/>
  <c r="S45" i="36"/>
  <c r="T36" i="36"/>
  <c r="R42" i="36"/>
  <c r="R6" i="28" s="1"/>
  <c r="S48" i="36"/>
  <c r="T39" i="36"/>
  <c r="S49" i="36"/>
  <c r="T40" i="36"/>
  <c r="T47" i="36"/>
  <c r="U38" i="36"/>
  <c r="S43" i="36"/>
  <c r="T34" i="36"/>
  <c r="V19" i="28" l="1"/>
  <c r="P35" i="42"/>
  <c r="X4" i="28"/>
  <c r="X35" i="36"/>
  <c r="T26" i="9"/>
  <c r="T20" i="28"/>
  <c r="T32" i="18"/>
  <c r="T26" i="28"/>
  <c r="W142" i="36"/>
  <c r="W21" i="16"/>
  <c r="U162" i="36"/>
  <c r="U163" i="36"/>
  <c r="U22" i="16" s="1"/>
  <c r="X140" i="36"/>
  <c r="X141" i="36" s="1"/>
  <c r="Y139" i="36" s="1"/>
  <c r="X134" i="36"/>
  <c r="X146" i="36"/>
  <c r="X147" i="36" s="1"/>
  <c r="Y145" i="36" s="1"/>
  <c r="X173" i="36"/>
  <c r="X174" i="36" s="1"/>
  <c r="Y172" i="36" s="1"/>
  <c r="X167" i="36"/>
  <c r="X168" i="36" s="1"/>
  <c r="Y166" i="36" s="1"/>
  <c r="X152" i="36"/>
  <c r="X153" i="36" s="1"/>
  <c r="Y151" i="36" s="1"/>
  <c r="X161" i="36"/>
  <c r="X169" i="36"/>
  <c r="X175" i="36"/>
  <c r="X154" i="36"/>
  <c r="V133" i="36"/>
  <c r="U130" i="36"/>
  <c r="X1" i="36"/>
  <c r="W44" i="36"/>
  <c r="X26" i="36"/>
  <c r="S60" i="36"/>
  <c r="S57" i="36"/>
  <c r="U102" i="36"/>
  <c r="T12" i="9"/>
  <c r="T13" i="9"/>
  <c r="U103" i="36"/>
  <c r="X2" i="18"/>
  <c r="X2" i="16"/>
  <c r="Q97" i="36"/>
  <c r="Y2" i="36"/>
  <c r="Y112" i="36" s="1"/>
  <c r="X2" i="9"/>
  <c r="X2" i="7"/>
  <c r="R54" i="36"/>
  <c r="R91" i="36" s="1"/>
  <c r="T46" i="36"/>
  <c r="U37" i="36"/>
  <c r="T43" i="36"/>
  <c r="U34" i="36"/>
  <c r="U47" i="36"/>
  <c r="V38" i="36"/>
  <c r="R33" i="36"/>
  <c r="T48" i="36"/>
  <c r="U39" i="36"/>
  <c r="T45" i="36"/>
  <c r="U36" i="36"/>
  <c r="T49" i="36"/>
  <c r="U40" i="36"/>
  <c r="S42" i="36"/>
  <c r="S6" i="28" s="1"/>
  <c r="Q35" i="42" l="1"/>
  <c r="W19" i="28"/>
  <c r="P93" i="42"/>
  <c r="P73" i="42"/>
  <c r="P33" i="42"/>
  <c r="P94" i="42" s="1"/>
  <c r="X44" i="36"/>
  <c r="Y4" i="28"/>
  <c r="Y35" i="36"/>
  <c r="U26" i="9"/>
  <c r="U20" i="28"/>
  <c r="X21" i="16"/>
  <c r="V160" i="36"/>
  <c r="U157" i="36"/>
  <c r="U33" i="18" s="1"/>
  <c r="V135" i="36"/>
  <c r="V136" i="36"/>
  <c r="Y152" i="36"/>
  <c r="Y153" i="36" s="1"/>
  <c r="Z151" i="36" s="1"/>
  <c r="Y167" i="36"/>
  <c r="Y168" i="36" s="1"/>
  <c r="Z166" i="36" s="1"/>
  <c r="Y161" i="36"/>
  <c r="Y140" i="36"/>
  <c r="Y141" i="36" s="1"/>
  <c r="Z139" i="36" s="1"/>
  <c r="Y146" i="36"/>
  <c r="Y147" i="36" s="1"/>
  <c r="Z145" i="36" s="1"/>
  <c r="Y134" i="36"/>
  <c r="Y173" i="36"/>
  <c r="Y174" i="36" s="1"/>
  <c r="Z172" i="36" s="1"/>
  <c r="Y169" i="36"/>
  <c r="Y175" i="36"/>
  <c r="Y154" i="36"/>
  <c r="X142" i="36"/>
  <c r="X148" i="36"/>
  <c r="X24" i="36"/>
  <c r="Y1" i="36"/>
  <c r="Y148" i="36" s="1"/>
  <c r="Y26" i="36"/>
  <c r="Q191" i="36"/>
  <c r="Q190" i="36"/>
  <c r="Q199" i="36" s="1"/>
  <c r="Q13" i="18" s="1"/>
  <c r="T57" i="36"/>
  <c r="T60" i="36"/>
  <c r="U13" i="9"/>
  <c r="V103" i="36"/>
  <c r="U12" i="9"/>
  <c r="V102" i="36"/>
  <c r="Y2" i="18"/>
  <c r="Y2" i="16"/>
  <c r="Q11" i="9"/>
  <c r="Q10" i="9"/>
  <c r="Z2" i="36"/>
  <c r="Z112" i="36" s="1"/>
  <c r="Y2" i="9"/>
  <c r="Y2" i="7"/>
  <c r="R63" i="36"/>
  <c r="R7" i="28" s="1"/>
  <c r="S54" i="36"/>
  <c r="S91" i="36" s="1"/>
  <c r="T42" i="36"/>
  <c r="T6" i="28" s="1"/>
  <c r="V37" i="36"/>
  <c r="U46" i="36"/>
  <c r="U48" i="36"/>
  <c r="V39" i="36"/>
  <c r="S33" i="36"/>
  <c r="U49" i="36"/>
  <c r="V40" i="36"/>
  <c r="V47" i="36"/>
  <c r="W38" i="36"/>
  <c r="U45" i="36"/>
  <c r="V36" i="36"/>
  <c r="U43" i="36"/>
  <c r="V34" i="36"/>
  <c r="X19" i="28" l="1"/>
  <c r="Q73" i="42"/>
  <c r="Q93" i="42"/>
  <c r="Q33" i="42"/>
  <c r="Q94" i="42" s="1"/>
  <c r="Y44" i="36"/>
  <c r="Z4" i="28"/>
  <c r="Z35" i="36"/>
  <c r="U32" i="18"/>
  <c r="U26" i="28"/>
  <c r="Y21" i="16"/>
  <c r="W133" i="36"/>
  <c r="V130" i="36"/>
  <c r="V162" i="36"/>
  <c r="V163" i="36"/>
  <c r="V22" i="16" s="1"/>
  <c r="Z140" i="36"/>
  <c r="Z141" i="36" s="1"/>
  <c r="Z152" i="36"/>
  <c r="Z153" i="36" s="1"/>
  <c r="Z134" i="36"/>
  <c r="Z161" i="36"/>
  <c r="Z167" i="36"/>
  <c r="Z168" i="36" s="1"/>
  <c r="Z173" i="36"/>
  <c r="Z174" i="36" s="1"/>
  <c r="Z146" i="36"/>
  <c r="Z147" i="36" s="1"/>
  <c r="Z169" i="36"/>
  <c r="Z175" i="36"/>
  <c r="Z154" i="36"/>
  <c r="Y142" i="36"/>
  <c r="Z1" i="36"/>
  <c r="Z142" i="36" s="1"/>
  <c r="Y24" i="36"/>
  <c r="Q201" i="36"/>
  <c r="Q200" i="36"/>
  <c r="Q14" i="18" s="1"/>
  <c r="Z26" i="36"/>
  <c r="Z24" i="36" s="1"/>
  <c r="U57" i="36"/>
  <c r="U60" i="36"/>
  <c r="W103" i="36"/>
  <c r="V13" i="9"/>
  <c r="W102" i="36"/>
  <c r="V12" i="9"/>
  <c r="Z2" i="16"/>
  <c r="Z2" i="18"/>
  <c r="R97" i="36"/>
  <c r="Z2" i="9"/>
  <c r="Z2" i="7"/>
  <c r="S63" i="36"/>
  <c r="S7" i="28" s="1"/>
  <c r="T54" i="36"/>
  <c r="T91" i="36" s="1"/>
  <c r="T33" i="36"/>
  <c r="V46" i="36"/>
  <c r="W37" i="36"/>
  <c r="V45" i="36"/>
  <c r="W36" i="36"/>
  <c r="V49" i="36"/>
  <c r="W40" i="36"/>
  <c r="U42" i="36"/>
  <c r="U6" i="28" s="1"/>
  <c r="W47" i="36"/>
  <c r="X38" i="36"/>
  <c r="V48" i="36"/>
  <c r="W39" i="36"/>
  <c r="V43" i="36"/>
  <c r="W34" i="36"/>
  <c r="Y19" i="28" l="1"/>
  <c r="R35" i="42"/>
  <c r="V26" i="9"/>
  <c r="V20" i="28"/>
  <c r="Z148" i="36"/>
  <c r="Z21" i="16"/>
  <c r="W136" i="36"/>
  <c r="W135" i="36"/>
  <c r="W160" i="36"/>
  <c r="V157" i="36"/>
  <c r="V33" i="18" s="1"/>
  <c r="Z44" i="36"/>
  <c r="Q27" i="18"/>
  <c r="Q26" i="18" s="1"/>
  <c r="R191" i="36"/>
  <c r="R190" i="36"/>
  <c r="R199" i="36" s="1"/>
  <c r="R13" i="18" s="1"/>
  <c r="V60" i="36"/>
  <c r="V57" i="36"/>
  <c r="X102" i="36"/>
  <c r="W12" i="9"/>
  <c r="X103" i="36"/>
  <c r="W13" i="9"/>
  <c r="R10" i="9"/>
  <c r="R11" i="9"/>
  <c r="S97" i="36"/>
  <c r="T63" i="36"/>
  <c r="T7" i="28" s="1"/>
  <c r="U54" i="36"/>
  <c r="U91" i="36" s="1"/>
  <c r="W46" i="36"/>
  <c r="X37" i="36"/>
  <c r="X47" i="36"/>
  <c r="Y38" i="36"/>
  <c r="W43" i="36"/>
  <c r="X34" i="36"/>
  <c r="U33" i="36"/>
  <c r="W49" i="36"/>
  <c r="X40" i="36"/>
  <c r="W48" i="36"/>
  <c r="X39" i="36"/>
  <c r="W45" i="36"/>
  <c r="X36" i="36"/>
  <c r="V42" i="36"/>
  <c r="V6" i="28" s="1"/>
  <c r="Z19" i="28" l="1"/>
  <c r="R33" i="42"/>
  <c r="R94" i="42" s="1"/>
  <c r="R93" i="42"/>
  <c r="R73" i="42"/>
  <c r="V32" i="18"/>
  <c r="V26" i="28"/>
  <c r="W162" i="36"/>
  <c r="W163" i="36"/>
  <c r="W22" i="16" s="1"/>
  <c r="X133" i="36"/>
  <c r="W130" i="36"/>
  <c r="S190" i="36"/>
  <c r="S199" i="36" s="1"/>
  <c r="S13" i="18" s="1"/>
  <c r="S191" i="36"/>
  <c r="R201" i="36"/>
  <c r="R200" i="36"/>
  <c r="R14" i="18" s="1"/>
  <c r="W57" i="36"/>
  <c r="W60" i="36"/>
  <c r="X13" i="9"/>
  <c r="Y103" i="36"/>
  <c r="Y102" i="36"/>
  <c r="X12" i="9"/>
  <c r="S11" i="9"/>
  <c r="S10" i="9"/>
  <c r="T97" i="36"/>
  <c r="U63" i="36"/>
  <c r="U7" i="28" s="1"/>
  <c r="V54" i="36"/>
  <c r="V91" i="36" s="1"/>
  <c r="Y37" i="36"/>
  <c r="X46" i="36"/>
  <c r="X49" i="36"/>
  <c r="Y40" i="36"/>
  <c r="V33" i="36"/>
  <c r="X45" i="36"/>
  <c r="Y36" i="36"/>
  <c r="X43" i="36"/>
  <c r="Y34" i="36"/>
  <c r="W42" i="36"/>
  <c r="W6" i="28" s="1"/>
  <c r="X48" i="36"/>
  <c r="Y39" i="36"/>
  <c r="Y47" i="36"/>
  <c r="Z38" i="36"/>
  <c r="Z47" i="36" s="1"/>
  <c r="S35" i="42" l="1"/>
  <c r="W26" i="9"/>
  <c r="W20" i="28"/>
  <c r="X135" i="36"/>
  <c r="X136" i="36"/>
  <c r="X160" i="36"/>
  <c r="W157" i="36"/>
  <c r="W33" i="18" s="1"/>
  <c r="R27" i="18"/>
  <c r="R26" i="18" s="1"/>
  <c r="T190" i="36"/>
  <c r="T199" i="36" s="1"/>
  <c r="T13" i="18" s="1"/>
  <c r="T191" i="36"/>
  <c r="S200" i="36"/>
  <c r="S14" i="18" s="1"/>
  <c r="S201" i="36"/>
  <c r="X60" i="36"/>
  <c r="X57" i="36"/>
  <c r="Y12" i="9"/>
  <c r="Z102" i="36"/>
  <c r="Y13" i="9"/>
  <c r="Z103" i="36"/>
  <c r="T11" i="9"/>
  <c r="T10" i="9"/>
  <c r="U97" i="36"/>
  <c r="V63" i="36"/>
  <c r="V7" i="28" s="1"/>
  <c r="W54" i="36"/>
  <c r="W91" i="36" s="1"/>
  <c r="X42" i="36"/>
  <c r="X6" i="28" s="1"/>
  <c r="Y46" i="36"/>
  <c r="Z37" i="36"/>
  <c r="Z46" i="36" s="1"/>
  <c r="Y43" i="36"/>
  <c r="Z34" i="36"/>
  <c r="Z43" i="36" s="1"/>
  <c r="Y45" i="36"/>
  <c r="Z36" i="36"/>
  <c r="Z45" i="36" s="1"/>
  <c r="Y48" i="36"/>
  <c r="Z39" i="36"/>
  <c r="Z48" i="36" s="1"/>
  <c r="Y49" i="36"/>
  <c r="Z40" i="36"/>
  <c r="Z49" i="36" s="1"/>
  <c r="W33" i="36"/>
  <c r="S93" i="42" l="1"/>
  <c r="S73" i="42"/>
  <c r="S33" i="42"/>
  <c r="S94" i="42" s="1"/>
  <c r="W32" i="18"/>
  <c r="W26" i="28"/>
  <c r="X162" i="36"/>
  <c r="X163" i="36"/>
  <c r="X22" i="16" s="1"/>
  <c r="Y133" i="36"/>
  <c r="X130" i="36"/>
  <c r="S27" i="18"/>
  <c r="S26" i="18" s="1"/>
  <c r="U190" i="36"/>
  <c r="U199" i="36" s="1"/>
  <c r="U13" i="18" s="1"/>
  <c r="U191" i="36"/>
  <c r="T200" i="36"/>
  <c r="T14" i="18" s="1"/>
  <c r="T201" i="36"/>
  <c r="Z60" i="36"/>
  <c r="Z57" i="36"/>
  <c r="Y60" i="36"/>
  <c r="Y57" i="36"/>
  <c r="Z13" i="9"/>
  <c r="Z12" i="9"/>
  <c r="U11" i="9"/>
  <c r="U10" i="9"/>
  <c r="V97" i="36"/>
  <c r="W63" i="36"/>
  <c r="W7" i="28" s="1"/>
  <c r="X54" i="36"/>
  <c r="X91" i="36" s="1"/>
  <c r="X33" i="36"/>
  <c r="Y42" i="36"/>
  <c r="Y6" i="28" s="1"/>
  <c r="Z42" i="36"/>
  <c r="Z6" i="28" s="1"/>
  <c r="T35" i="42" l="1"/>
  <c r="X26" i="9"/>
  <c r="X20" i="28"/>
  <c r="Y135" i="36"/>
  <c r="Y136" i="36"/>
  <c r="Y160" i="36"/>
  <c r="X157" i="36"/>
  <c r="X33" i="18" s="1"/>
  <c r="T27" i="18"/>
  <c r="T26" i="18" s="1"/>
  <c r="V190" i="36"/>
  <c r="V199" i="36" s="1"/>
  <c r="V13" i="18" s="1"/>
  <c r="V191" i="36"/>
  <c r="U201" i="36"/>
  <c r="U200" i="36"/>
  <c r="U14" i="18" s="1"/>
  <c r="V10" i="9"/>
  <c r="V11" i="9"/>
  <c r="W97" i="36"/>
  <c r="X63" i="36"/>
  <c r="X7" i="28" s="1"/>
  <c r="Y54" i="36"/>
  <c r="Y91" i="36" s="1"/>
  <c r="Z54" i="36"/>
  <c r="Z91" i="36" s="1"/>
  <c r="Y33" i="36"/>
  <c r="Z33" i="36"/>
  <c r="T33" i="42" l="1"/>
  <c r="T94" i="42" s="1"/>
  <c r="T73" i="42"/>
  <c r="T93" i="42"/>
  <c r="X32" i="18"/>
  <c r="X26" i="28"/>
  <c r="Y162" i="36"/>
  <c r="Y163" i="36"/>
  <c r="Y22" i="16" s="1"/>
  <c r="Z133" i="36"/>
  <c r="Y130" i="36"/>
  <c r="U27" i="18"/>
  <c r="U26" i="18" s="1"/>
  <c r="V201" i="36"/>
  <c r="V200" i="36"/>
  <c r="V14" i="18" s="1"/>
  <c r="W190" i="36"/>
  <c r="W199" i="36" s="1"/>
  <c r="W13" i="18" s="1"/>
  <c r="W191" i="36"/>
  <c r="W10" i="9"/>
  <c r="W11" i="9"/>
  <c r="X97" i="36"/>
  <c r="Z63" i="36"/>
  <c r="Z7" i="28" s="1"/>
  <c r="Y63" i="36"/>
  <c r="Y7" i="28" s="1"/>
  <c r="U35" i="42" l="1"/>
  <c r="Y26" i="9"/>
  <c r="Y20" i="28"/>
  <c r="Z136" i="36"/>
  <c r="Z135" i="36"/>
  <c r="Z130" i="36" s="1"/>
  <c r="Z160" i="36"/>
  <c r="Y157" i="36"/>
  <c r="Y33" i="18" s="1"/>
  <c r="V27" i="18"/>
  <c r="V26" i="18" s="1"/>
  <c r="W201" i="36"/>
  <c r="W200" i="36"/>
  <c r="W14" i="18" s="1"/>
  <c r="X191" i="36"/>
  <c r="X190" i="36"/>
  <c r="X199" i="36" s="1"/>
  <c r="X13" i="18" s="1"/>
  <c r="X10" i="9"/>
  <c r="X11" i="9"/>
  <c r="Z97" i="36"/>
  <c r="Y97" i="36"/>
  <c r="U93" i="42" l="1"/>
  <c r="U73" i="42"/>
  <c r="U33" i="42"/>
  <c r="U94" i="42" s="1"/>
  <c r="Y32" i="18"/>
  <c r="Y26" i="28"/>
  <c r="Z162" i="36"/>
  <c r="Z157" i="36" s="1"/>
  <c r="Z33" i="18" s="1"/>
  <c r="Z163" i="36"/>
  <c r="Z22" i="16" s="1"/>
  <c r="W27" i="18"/>
  <c r="W26" i="18" s="1"/>
  <c r="Y191" i="36"/>
  <c r="Y190" i="36"/>
  <c r="Y199" i="36" s="1"/>
  <c r="Y13" i="18" s="1"/>
  <c r="X201" i="36"/>
  <c r="X200" i="36"/>
  <c r="X14" i="18" s="1"/>
  <c r="Z191" i="36"/>
  <c r="Z190" i="36"/>
  <c r="Z199" i="36" s="1"/>
  <c r="Z13" i="18" s="1"/>
  <c r="Z10" i="9"/>
  <c r="Z11" i="9"/>
  <c r="Y10" i="9"/>
  <c r="Y11" i="9"/>
  <c r="N22" i="9"/>
  <c r="N29" i="9" s="1"/>
  <c r="N18" i="9"/>
  <c r="L18" i="9"/>
  <c r="L22" i="9"/>
  <c r="L29" i="9" s="1"/>
  <c r="M22" i="9"/>
  <c r="M29" i="9" s="1"/>
  <c r="M18" i="9"/>
  <c r="O22" i="9"/>
  <c r="O29" i="9" s="1"/>
  <c r="O18" i="9"/>
  <c r="K22" i="9"/>
  <c r="K29" i="9" s="1"/>
  <c r="K18" i="9"/>
  <c r="J18" i="9"/>
  <c r="J22" i="9"/>
  <c r="J29" i="9" s="1"/>
  <c r="H18" i="9"/>
  <c r="H22" i="9"/>
  <c r="H29" i="9" s="1"/>
  <c r="I18" i="9"/>
  <c r="I22" i="9"/>
  <c r="I29" i="9" s="1"/>
  <c r="P18" i="9"/>
  <c r="P22" i="9"/>
  <c r="P29" i="9" s="1"/>
  <c r="V35" i="42" l="1"/>
  <c r="Z26" i="9"/>
  <c r="Z20" i="28"/>
  <c r="Z32" i="18"/>
  <c r="Z26" i="28"/>
  <c r="P36" i="9"/>
  <c r="I36" i="9"/>
  <c r="N36" i="9"/>
  <c r="O36" i="9"/>
  <c r="H36" i="9"/>
  <c r="K36" i="9"/>
  <c r="M36" i="9"/>
  <c r="J36" i="9"/>
  <c r="L36" i="9"/>
  <c r="X27" i="18"/>
  <c r="X26" i="18" s="1"/>
  <c r="Z201" i="36"/>
  <c r="Z200" i="36"/>
  <c r="Z14" i="18" s="1"/>
  <c r="Y201" i="36"/>
  <c r="Y200" i="36"/>
  <c r="Y14" i="18" s="1"/>
  <c r="J23" i="9"/>
  <c r="K23" i="9"/>
  <c r="P23" i="9"/>
  <c r="L23" i="9"/>
  <c r="O23" i="9"/>
  <c r="M23" i="9"/>
  <c r="H23" i="9"/>
  <c r="I23" i="9"/>
  <c r="N23" i="9"/>
  <c r="V93" i="42" l="1"/>
  <c r="V73" i="42"/>
  <c r="V33" i="42"/>
  <c r="V94" i="42" s="1"/>
  <c r="W36" i="9"/>
  <c r="X46" i="40" s="1"/>
  <c r="U36" i="9"/>
  <c r="V46" i="40" s="1"/>
  <c r="R36" i="9"/>
  <c r="S46" i="40" s="1"/>
  <c r="Q36" i="9"/>
  <c r="R46" i="40" s="1"/>
  <c r="V36" i="9"/>
  <c r="W46" i="40" s="1"/>
  <c r="T36" i="9"/>
  <c r="U46" i="40" s="1"/>
  <c r="S36" i="9"/>
  <c r="T46" i="40" s="1"/>
  <c r="Z36" i="9"/>
  <c r="AA46" i="40" s="1"/>
  <c r="Y36" i="9"/>
  <c r="Z46" i="40" s="1"/>
  <c r="X36" i="9"/>
  <c r="Y46" i="40" s="1"/>
  <c r="Z27" i="18"/>
  <c r="Z26" i="18" s="1"/>
  <c r="Y27" i="18"/>
  <c r="Y26" i="18" s="1"/>
  <c r="G9" i="28" l="1"/>
  <c r="G12" i="28" l="1"/>
  <c r="G22" i="9" l="1"/>
  <c r="G29" i="9" s="1"/>
  <c r="G18" i="9"/>
  <c r="G36" i="9" l="1"/>
  <c r="G23" i="9"/>
  <c r="G14" i="28" l="1"/>
  <c r="G39" i="9" l="1"/>
  <c r="G44" i="9" s="1"/>
  <c r="H39" i="9" l="1"/>
  <c r="G40" i="9"/>
  <c r="H40" i="9" l="1"/>
  <c r="H44" i="9"/>
  <c r="I39" i="9" l="1"/>
  <c r="I40" i="9" l="1"/>
  <c r="I44" i="9"/>
  <c r="J39" i="9"/>
  <c r="J40" i="9" l="1"/>
  <c r="J44" i="9"/>
  <c r="K39" i="9" l="1"/>
  <c r="K40" i="9" l="1"/>
  <c r="K44" i="9"/>
  <c r="L39" i="9" l="1"/>
  <c r="H10" i="42" s="1"/>
  <c r="H11" i="42" l="1"/>
  <c r="H9" i="42"/>
  <c r="L40" i="9"/>
  <c r="L44" i="9"/>
  <c r="M39" i="9" l="1"/>
  <c r="I10" i="42" s="1"/>
  <c r="I11" i="42" l="1"/>
  <c r="I9" i="42"/>
  <c r="M40" i="9"/>
  <c r="M44" i="9"/>
  <c r="N39" i="9" l="1"/>
  <c r="J10" i="42" s="1"/>
  <c r="J11" i="42" l="1"/>
  <c r="J9" i="42"/>
  <c r="N40" i="9"/>
  <c r="N44" i="9"/>
  <c r="O39" i="9"/>
  <c r="K10" i="42" s="1"/>
  <c r="K11" i="42" l="1"/>
  <c r="K9" i="42"/>
  <c r="O40" i="9"/>
  <c r="O44" i="9"/>
  <c r="P39" i="9" l="1"/>
  <c r="L10" i="42" s="1"/>
  <c r="L11" i="42" l="1"/>
  <c r="L9" i="42"/>
  <c r="P40" i="9"/>
  <c r="P44" i="9"/>
  <c r="T78" i="36" l="1"/>
  <c r="S78" i="36"/>
  <c r="R78" i="36"/>
  <c r="Q78" i="36"/>
  <c r="Q109" i="36" s="1"/>
  <c r="R109" i="36" l="1"/>
  <c r="S109" i="36" s="1"/>
  <c r="T109" i="36" s="1"/>
  <c r="Q189" i="36"/>
  <c r="Q198" i="36" s="1"/>
  <c r="Q202" i="36" s="1"/>
  <c r="R13" i="40" s="1"/>
  <c r="S189" i="36"/>
  <c r="S198" i="36" s="1"/>
  <c r="S12" i="18" s="1"/>
  <c r="R189" i="36"/>
  <c r="R198" i="36" s="1"/>
  <c r="R202" i="36" s="1"/>
  <c r="T189" i="36"/>
  <c r="T198" i="36" s="1"/>
  <c r="T202" i="36" s="1"/>
  <c r="Q8" i="9"/>
  <c r="M2" i="42" s="1"/>
  <c r="R8" i="9"/>
  <c r="N2" i="42" s="1"/>
  <c r="S8" i="9"/>
  <c r="O2" i="42" s="1"/>
  <c r="T8" i="9"/>
  <c r="P2" i="42" s="1"/>
  <c r="U78" i="36"/>
  <c r="X78" i="36"/>
  <c r="Z78" i="36"/>
  <c r="Y78" i="36"/>
  <c r="V78" i="36"/>
  <c r="W78" i="36"/>
  <c r="O80" i="42" l="1"/>
  <c r="O86" i="42" s="1"/>
  <c r="O105" i="42"/>
  <c r="N80" i="42"/>
  <c r="N86" i="42" s="1"/>
  <c r="N105" i="42"/>
  <c r="M80" i="42"/>
  <c r="M105" i="42"/>
  <c r="P105" i="42"/>
  <c r="P80" i="42"/>
  <c r="P86" i="42" s="1"/>
  <c r="U109" i="36"/>
  <c r="V109" i="36" s="1"/>
  <c r="W109" i="36" s="1"/>
  <c r="X109" i="36" s="1"/>
  <c r="Y109" i="36" s="1"/>
  <c r="Z109" i="36" s="1"/>
  <c r="S202" i="36"/>
  <c r="S10" i="16" s="1"/>
  <c r="T13" i="40" s="1"/>
  <c r="Q10" i="16"/>
  <c r="R17" i="9"/>
  <c r="R11" i="28"/>
  <c r="S8" i="40"/>
  <c r="T17" i="9"/>
  <c r="U8" i="40"/>
  <c r="T11" i="28"/>
  <c r="Q11" i="28"/>
  <c r="Q17" i="9"/>
  <c r="M6" i="42" s="1"/>
  <c r="R8" i="40"/>
  <c r="S17" i="9"/>
  <c r="T8" i="40"/>
  <c r="S11" i="28"/>
  <c r="Q12" i="18"/>
  <c r="R10" i="16"/>
  <c r="S13" i="40" s="1"/>
  <c r="T12" i="18"/>
  <c r="R12" i="18"/>
  <c r="Z189" i="36"/>
  <c r="Z198" i="36" s="1"/>
  <c r="Z202" i="36" s="1"/>
  <c r="W189" i="36"/>
  <c r="W198" i="36" s="1"/>
  <c r="W202" i="36" s="1"/>
  <c r="Y189" i="36"/>
  <c r="Y198" i="36" s="1"/>
  <c r="Y12" i="18" s="1"/>
  <c r="X189" i="36"/>
  <c r="X198" i="36" s="1"/>
  <c r="X12" i="18" s="1"/>
  <c r="U189" i="36"/>
  <c r="U198" i="36" s="1"/>
  <c r="U12" i="18" s="1"/>
  <c r="V189" i="36"/>
  <c r="V198" i="36" s="1"/>
  <c r="V12" i="18" s="1"/>
  <c r="Y8" i="9"/>
  <c r="U2" i="42" s="1"/>
  <c r="Z8" i="9"/>
  <c r="V2" i="42" s="1"/>
  <c r="X8" i="9"/>
  <c r="T2" i="42" s="1"/>
  <c r="U8" i="9"/>
  <c r="Q2" i="42" s="1"/>
  <c r="W8" i="9"/>
  <c r="S2" i="42" s="1"/>
  <c r="V8" i="9"/>
  <c r="R2" i="42" s="1"/>
  <c r="T105" i="42" l="1"/>
  <c r="T80" i="42"/>
  <c r="S80" i="42"/>
  <c r="S105" i="42"/>
  <c r="R13" i="28"/>
  <c r="R2" i="28" s="1"/>
  <c r="N6" i="42"/>
  <c r="V80" i="42"/>
  <c r="V105" i="42"/>
  <c r="M72" i="42"/>
  <c r="M88" i="42" s="1"/>
  <c r="M156" i="42"/>
  <c r="M7" i="42"/>
  <c r="M82" i="42" s="1"/>
  <c r="M71" i="42"/>
  <c r="M81" i="42"/>
  <c r="M86" i="42"/>
  <c r="U80" i="42"/>
  <c r="U105" i="42"/>
  <c r="R105" i="42"/>
  <c r="R80" i="42"/>
  <c r="T13" i="28"/>
  <c r="T2" i="28" s="1"/>
  <c r="P6" i="42"/>
  <c r="Q105" i="42"/>
  <c r="Q80" i="42"/>
  <c r="S13" i="28"/>
  <c r="S2" i="28" s="1"/>
  <c r="O6" i="42"/>
  <c r="M3" i="42"/>
  <c r="Q22" i="9"/>
  <c r="Q29" i="9" s="1"/>
  <c r="R10" i="40"/>
  <c r="Q12" i="28"/>
  <c r="S12" i="28"/>
  <c r="S40" i="40"/>
  <c r="R8" i="16"/>
  <c r="T10" i="16"/>
  <c r="U13" i="40" s="1"/>
  <c r="R18" i="9"/>
  <c r="T10" i="40"/>
  <c r="T12" i="28"/>
  <c r="S8" i="16"/>
  <c r="S18" i="9"/>
  <c r="S10" i="40"/>
  <c r="T8" i="16"/>
  <c r="U40" i="40"/>
  <c r="U10" i="40"/>
  <c r="T18" i="9"/>
  <c r="Q13" i="28"/>
  <c r="Q2" i="28" s="1"/>
  <c r="Z17" i="9"/>
  <c r="Z11" i="28"/>
  <c r="AA8" i="40"/>
  <c r="Y8" i="40"/>
  <c r="X11" i="28"/>
  <c r="X8" i="40"/>
  <c r="W11" i="28"/>
  <c r="Q32" i="9"/>
  <c r="U202" i="36"/>
  <c r="U10" i="16" s="1"/>
  <c r="V13" i="40" s="1"/>
  <c r="Q18" i="9"/>
  <c r="R40" i="40"/>
  <c r="R44" i="40" s="1"/>
  <c r="R48" i="40" s="1"/>
  <c r="R12" i="28"/>
  <c r="Y17" i="9"/>
  <c r="Z8" i="40"/>
  <c r="Y11" i="28"/>
  <c r="V17" i="9"/>
  <c r="V11" i="28"/>
  <c r="W8" i="40"/>
  <c r="U17" i="9"/>
  <c r="U11" i="28"/>
  <c r="V8" i="40"/>
  <c r="Q8" i="16"/>
  <c r="T40" i="40"/>
  <c r="V202" i="36"/>
  <c r="R14" i="28"/>
  <c r="Z12" i="18"/>
  <c r="W12" i="18"/>
  <c r="Y202" i="36"/>
  <c r="Z10" i="16" s="1"/>
  <c r="AA13" i="40" s="1"/>
  <c r="X202" i="36"/>
  <c r="X10" i="16" s="1"/>
  <c r="Y13" i="40" s="1"/>
  <c r="W17" i="9"/>
  <c r="S6" i="42" s="1"/>
  <c r="S3" i="42" s="1"/>
  <c r="X17" i="9"/>
  <c r="T6" i="42" s="1"/>
  <c r="T14" i="28" l="1"/>
  <c r="S14" i="28"/>
  <c r="T71" i="42"/>
  <c r="T81" i="42"/>
  <c r="T156" i="42"/>
  <c r="T72" i="42"/>
  <c r="T88" i="42" s="1"/>
  <c r="T7" i="42"/>
  <c r="T82" i="42" s="1"/>
  <c r="Z13" i="28"/>
  <c r="Z2" i="28" s="1"/>
  <c r="V6" i="42"/>
  <c r="R86" i="42"/>
  <c r="M87" i="42"/>
  <c r="N7" i="42"/>
  <c r="N82" i="42" s="1"/>
  <c r="N72" i="42"/>
  <c r="N88" i="42" s="1"/>
  <c r="N156" i="42"/>
  <c r="N81" i="42"/>
  <c r="N71" i="42"/>
  <c r="N3" i="42"/>
  <c r="O7" i="42"/>
  <c r="O82" i="42" s="1"/>
  <c r="O156" i="42"/>
  <c r="O71" i="42"/>
  <c r="O81" i="42"/>
  <c r="O87" i="42" s="1"/>
  <c r="O72" i="42"/>
  <c r="O88" i="42" s="1"/>
  <c r="O3" i="42"/>
  <c r="U13" i="28"/>
  <c r="U2" i="28" s="1"/>
  <c r="Q6" i="42"/>
  <c r="Q86" i="42"/>
  <c r="S86" i="42"/>
  <c r="V13" i="28"/>
  <c r="V2" i="28" s="1"/>
  <c r="R6" i="42"/>
  <c r="U86" i="42"/>
  <c r="S7" i="42"/>
  <c r="S82" i="42" s="1"/>
  <c r="S156" i="42"/>
  <c r="S81" i="42"/>
  <c r="S87" i="42" s="1"/>
  <c r="S71" i="42"/>
  <c r="S72" i="42"/>
  <c r="S88" i="42" s="1"/>
  <c r="P71" i="42"/>
  <c r="P81" i="42"/>
  <c r="P87" i="42" s="1"/>
  <c r="P156" i="42"/>
  <c r="P7" i="42"/>
  <c r="P82" i="42" s="1"/>
  <c r="P72" i="42"/>
  <c r="P88" i="42" s="1"/>
  <c r="P3" i="42"/>
  <c r="T86" i="42"/>
  <c r="Y13" i="28"/>
  <c r="Y2" i="28" s="1"/>
  <c r="U6" i="42"/>
  <c r="V86" i="42"/>
  <c r="T3" i="42"/>
  <c r="U12" i="28"/>
  <c r="Y12" i="28"/>
  <c r="V10" i="16"/>
  <c r="W13" i="40" s="1"/>
  <c r="AA10" i="40"/>
  <c r="U18" i="9"/>
  <c r="Z8" i="16"/>
  <c r="AA40" i="40"/>
  <c r="Z18" i="9"/>
  <c r="V40" i="40"/>
  <c r="W12" i="28"/>
  <c r="Z10" i="40"/>
  <c r="Q23" i="9"/>
  <c r="Y8" i="16"/>
  <c r="X12" i="28"/>
  <c r="U8" i="16"/>
  <c r="R12" i="40"/>
  <c r="V18" i="9"/>
  <c r="Y18" i="9"/>
  <c r="V8" i="16"/>
  <c r="W10" i="16"/>
  <c r="X13" i="40" s="1"/>
  <c r="Z12" i="28"/>
  <c r="W40" i="40"/>
  <c r="Q33" i="9"/>
  <c r="Q34" i="9" s="1"/>
  <c r="Q37" i="9" s="1"/>
  <c r="W10" i="40"/>
  <c r="X13" i="28"/>
  <c r="X2" i="28" s="1"/>
  <c r="Z40" i="40"/>
  <c r="V10" i="40"/>
  <c r="W13" i="28"/>
  <c r="W2" i="28" s="1"/>
  <c r="V12" i="28"/>
  <c r="Q14" i="28"/>
  <c r="Y10" i="16"/>
  <c r="Z13" i="40" s="1"/>
  <c r="X18" i="9"/>
  <c r="W18" i="9"/>
  <c r="X10" i="40"/>
  <c r="W8" i="16"/>
  <c r="X40" i="40"/>
  <c r="X8" i="16"/>
  <c r="Y10" i="40"/>
  <c r="Y40" i="40"/>
  <c r="V14" i="28" l="1"/>
  <c r="U14" i="28"/>
  <c r="Z14" i="28"/>
  <c r="Y14" i="28"/>
  <c r="V7" i="42"/>
  <c r="V82" i="42" s="1"/>
  <c r="V72" i="42"/>
  <c r="V88" i="42" s="1"/>
  <c r="V156" i="42"/>
  <c r="V71" i="42"/>
  <c r="V81" i="42"/>
  <c r="V3" i="42"/>
  <c r="U156" i="42"/>
  <c r="U72" i="42"/>
  <c r="U88" i="42" s="1"/>
  <c r="U71" i="42"/>
  <c r="U81" i="42"/>
  <c r="U7" i="42"/>
  <c r="U82" i="42" s="1"/>
  <c r="U3" i="42"/>
  <c r="Q81" i="42"/>
  <c r="Q87" i="42" s="1"/>
  <c r="Q71" i="42"/>
  <c r="Q156" i="42"/>
  <c r="Q7" i="42"/>
  <c r="Q82" i="42" s="1"/>
  <c r="Q72" i="42"/>
  <c r="Q88" i="42" s="1"/>
  <c r="Q3" i="42"/>
  <c r="T87" i="42"/>
  <c r="R3" i="42"/>
  <c r="R81" i="42"/>
  <c r="R87" i="42" s="1"/>
  <c r="R72" i="42"/>
  <c r="R88" i="42" s="1"/>
  <c r="R156" i="42"/>
  <c r="R71" i="42"/>
  <c r="R7" i="42"/>
  <c r="R82" i="42" s="1"/>
  <c r="N87" i="42"/>
  <c r="Q39" i="9"/>
  <c r="X14" i="28"/>
  <c r="W14" i="28"/>
  <c r="Q9" i="16"/>
  <c r="Q12" i="16" s="1"/>
  <c r="M15" i="42" s="1"/>
  <c r="R31" i="9"/>
  <c r="V87" i="42" l="1"/>
  <c r="M92" i="42"/>
  <c r="U87" i="42"/>
  <c r="Q23" i="16"/>
  <c r="M17" i="42" s="1"/>
  <c r="M10" i="42"/>
  <c r="Q40" i="9"/>
  <c r="Q21" i="28"/>
  <c r="Q41" i="18"/>
  <c r="Q38" i="18" s="1"/>
  <c r="Q24" i="18" s="1"/>
  <c r="Q15" i="28"/>
  <c r="M9" i="42" l="1"/>
  <c r="M11" i="42"/>
  <c r="Q25" i="28"/>
  <c r="Q29" i="28" l="1"/>
  <c r="M25" i="42"/>
  <c r="R25" i="28"/>
  <c r="R29" i="28" l="1"/>
  <c r="N25" i="42"/>
  <c r="M106" i="42"/>
  <c r="M69" i="42"/>
  <c r="M84" i="42"/>
  <c r="M83" i="42"/>
  <c r="S25" i="28"/>
  <c r="S29" i="28" l="1"/>
  <c r="O25" i="42"/>
  <c r="N106" i="42"/>
  <c r="N69" i="42"/>
  <c r="N83" i="42"/>
  <c r="N84" i="42"/>
  <c r="T25" i="28"/>
  <c r="T29" i="28" l="1"/>
  <c r="P25" i="42"/>
  <c r="O106" i="42"/>
  <c r="O83" i="42"/>
  <c r="O69" i="42"/>
  <c r="O84" i="42"/>
  <c r="U25" i="28"/>
  <c r="U29" i="28" l="1"/>
  <c r="Q25" i="42"/>
  <c r="P106" i="42"/>
  <c r="P69" i="42"/>
  <c r="P83" i="42"/>
  <c r="P84" i="42"/>
  <c r="V25" i="28"/>
  <c r="V29" i="28" l="1"/>
  <c r="R25" i="42"/>
  <c r="Q106" i="42"/>
  <c r="Q69" i="42"/>
  <c r="Q83" i="42"/>
  <c r="Q84" i="42"/>
  <c r="W25" i="28"/>
  <c r="W29" i="28" l="1"/>
  <c r="S25" i="42"/>
  <c r="R106" i="42"/>
  <c r="R69" i="42"/>
  <c r="R83" i="42"/>
  <c r="R84" i="42"/>
  <c r="X25" i="28"/>
  <c r="X29" i="28" l="1"/>
  <c r="T25" i="42"/>
  <c r="S106" i="42"/>
  <c r="S69" i="42"/>
  <c r="S83" i="42"/>
  <c r="S84" i="42"/>
  <c r="Y25" i="28"/>
  <c r="Y29" i="28" l="1"/>
  <c r="U25" i="42"/>
  <c r="T106" i="42"/>
  <c r="T69" i="42"/>
  <c r="T84" i="42"/>
  <c r="T83" i="42"/>
  <c r="Z25" i="28"/>
  <c r="Q113" i="36"/>
  <c r="Z29" i="28" l="1"/>
  <c r="V25" i="42"/>
  <c r="U106" i="42"/>
  <c r="U69" i="42"/>
  <c r="U84" i="42"/>
  <c r="U83" i="42"/>
  <c r="Q114" i="36"/>
  <c r="R113" i="36"/>
  <c r="Q16" i="16"/>
  <c r="V106" i="42" l="1"/>
  <c r="V69" i="42"/>
  <c r="V83" i="42"/>
  <c r="V84" i="42"/>
  <c r="R114" i="36"/>
  <c r="S113" i="36"/>
  <c r="Q15" i="16"/>
  <c r="M23" i="42" s="1"/>
  <c r="Q121" i="36"/>
  <c r="Q123" i="36" s="1"/>
  <c r="R120" i="36" s="1"/>
  <c r="R122" i="36" s="1"/>
  <c r="Q17" i="28"/>
  <c r="M19" i="42" l="1"/>
  <c r="M97" i="42"/>
  <c r="M96" i="42" s="1"/>
  <c r="M21" i="42"/>
  <c r="M109" i="42"/>
  <c r="M110" i="42" s="1"/>
  <c r="M74" i="42"/>
  <c r="Q16" i="28"/>
  <c r="Q31" i="28" s="1"/>
  <c r="R14" i="40"/>
  <c r="R16" i="40" s="1"/>
  <c r="R22" i="40" s="1"/>
  <c r="R20" i="9"/>
  <c r="N8" i="42" s="1"/>
  <c r="Q18" i="16"/>
  <c r="M16" i="42" s="1"/>
  <c r="M14" i="42" s="1"/>
  <c r="T113" i="36"/>
  <c r="S114" i="36"/>
  <c r="R15" i="16"/>
  <c r="R121" i="36"/>
  <c r="Q18" i="18"/>
  <c r="Q17" i="18" s="1"/>
  <c r="R16" i="16"/>
  <c r="M89" i="42" l="1"/>
  <c r="R16" i="28"/>
  <c r="N23" i="42"/>
  <c r="M75" i="42"/>
  <c r="M76" i="42"/>
  <c r="Q32" i="28"/>
  <c r="S42" i="40"/>
  <c r="S44" i="40" s="1"/>
  <c r="S48" i="40" s="1"/>
  <c r="S12" i="40" s="1"/>
  <c r="R22" i="9"/>
  <c r="R23" i="9" s="1"/>
  <c r="R123" i="36"/>
  <c r="U113" i="36"/>
  <c r="T114" i="36"/>
  <c r="S15" i="16"/>
  <c r="S121" i="36"/>
  <c r="Q24" i="16"/>
  <c r="Q18" i="28"/>
  <c r="R17" i="28"/>
  <c r="S14" i="40"/>
  <c r="R18" i="16"/>
  <c r="S16" i="16"/>
  <c r="R18" i="18"/>
  <c r="R17" i="18" s="1"/>
  <c r="S120" i="36"/>
  <c r="S122" i="36" s="1"/>
  <c r="M18" i="42"/>
  <c r="M77" i="42" l="1"/>
  <c r="S16" i="28"/>
  <c r="O23" i="42"/>
  <c r="M90" i="42"/>
  <c r="R18" i="28"/>
  <c r="N16" i="42"/>
  <c r="N21" i="42"/>
  <c r="N97" i="42"/>
  <c r="N96" i="42" s="1"/>
  <c r="N109" i="42"/>
  <c r="N110" i="42" s="1"/>
  <c r="R29" i="9"/>
  <c r="R32" i="9" s="1"/>
  <c r="S16" i="40"/>
  <c r="S22" i="40" s="1"/>
  <c r="T15" i="16"/>
  <c r="T121" i="36"/>
  <c r="R26" i="16"/>
  <c r="R25" i="16"/>
  <c r="Q28" i="16"/>
  <c r="V113" i="36"/>
  <c r="U114" i="36"/>
  <c r="T16" i="16"/>
  <c r="S17" i="28"/>
  <c r="S18" i="16"/>
  <c r="T14" i="40"/>
  <c r="S20" i="9"/>
  <c r="O8" i="42" s="1"/>
  <c r="O97" i="42" l="1"/>
  <c r="O96" i="42" s="1"/>
  <c r="O21" i="42"/>
  <c r="O109" i="42"/>
  <c r="O110" i="42" s="1"/>
  <c r="S18" i="28"/>
  <c r="O16" i="42"/>
  <c r="T16" i="28"/>
  <c r="P23" i="42"/>
  <c r="R33" i="9"/>
  <c r="R34" i="9" s="1"/>
  <c r="R37" i="9" s="1"/>
  <c r="R39" i="9" s="1"/>
  <c r="N10" i="42" s="1"/>
  <c r="W113" i="36"/>
  <c r="V114" i="36"/>
  <c r="Q22" i="28"/>
  <c r="Q31" i="16"/>
  <c r="Q32" i="16" s="1"/>
  <c r="M13" i="42" s="1"/>
  <c r="U15" i="16"/>
  <c r="U121" i="36"/>
  <c r="T17" i="28"/>
  <c r="U14" i="40"/>
  <c r="T18" i="16"/>
  <c r="U16" i="16"/>
  <c r="S22" i="9"/>
  <c r="T42" i="40"/>
  <c r="T44" i="40" s="1"/>
  <c r="T48" i="40" s="1"/>
  <c r="T12" i="40" s="1"/>
  <c r="T16" i="40" s="1"/>
  <c r="T22" i="40" s="1"/>
  <c r="S123" i="36"/>
  <c r="P97" i="42" l="1"/>
  <c r="P96" i="42" s="1"/>
  <c r="P21" i="42"/>
  <c r="P109" i="42"/>
  <c r="P110" i="42" s="1"/>
  <c r="U16" i="28"/>
  <c r="Q23" i="42"/>
  <c r="T18" i="28"/>
  <c r="P16" i="42"/>
  <c r="N9" i="42"/>
  <c r="N11" i="42"/>
  <c r="S31" i="9"/>
  <c r="R9" i="16"/>
  <c r="R12" i="16" s="1"/>
  <c r="Q11" i="18"/>
  <c r="Q10" i="18" s="1"/>
  <c r="Q8" i="18" s="1"/>
  <c r="Q45" i="18" s="1"/>
  <c r="Q23" i="28"/>
  <c r="Q28" i="28" s="1"/>
  <c r="V15" i="16"/>
  <c r="V121" i="36"/>
  <c r="W114" i="36"/>
  <c r="X113" i="36"/>
  <c r="V16" i="16"/>
  <c r="U17" i="28"/>
  <c r="U18" i="16"/>
  <c r="V14" i="40"/>
  <c r="S29" i="9"/>
  <c r="S23" i="9"/>
  <c r="R40" i="9"/>
  <c r="R23" i="16"/>
  <c r="N17" i="42" s="1"/>
  <c r="S18" i="18"/>
  <c r="S17" i="18" s="1"/>
  <c r="T120" i="36"/>
  <c r="T122" i="36" s="1"/>
  <c r="V16" i="28" l="1"/>
  <c r="R23" i="42"/>
  <c r="Q97" i="42"/>
  <c r="Q96" i="42" s="1"/>
  <c r="Q21" i="42"/>
  <c r="Q109" i="42"/>
  <c r="Q110" i="42" s="1"/>
  <c r="U18" i="28"/>
  <c r="Q16" i="42"/>
  <c r="R15" i="28"/>
  <c r="R31" i="28" s="1"/>
  <c r="N15" i="42"/>
  <c r="Q30" i="28"/>
  <c r="M28" i="42"/>
  <c r="X114" i="36"/>
  <c r="Y113" i="36"/>
  <c r="W15" i="16"/>
  <c r="W121" i="36"/>
  <c r="R32" i="28"/>
  <c r="V17" i="28"/>
  <c r="W14" i="40"/>
  <c r="V18" i="16"/>
  <c r="W16" i="16"/>
  <c r="S32" i="9"/>
  <c r="S33" i="9"/>
  <c r="S34" i="9" s="1"/>
  <c r="S37" i="9" s="1"/>
  <c r="R21" i="28"/>
  <c r="R24" i="16"/>
  <c r="R41" i="18"/>
  <c r="T20" i="9"/>
  <c r="P8" i="42" s="1"/>
  <c r="V18" i="28" l="1"/>
  <c r="R16" i="42"/>
  <c r="M107" i="42"/>
  <c r="M70" i="42"/>
  <c r="M85" i="42"/>
  <c r="M78" i="42"/>
  <c r="W16" i="28"/>
  <c r="S23" i="42"/>
  <c r="R97" i="42"/>
  <c r="R96" i="42" s="1"/>
  <c r="R21" i="42"/>
  <c r="R109" i="42"/>
  <c r="R110" i="42" s="1"/>
  <c r="N14" i="42"/>
  <c r="N19" i="42"/>
  <c r="N92" i="42"/>
  <c r="N74" i="42"/>
  <c r="N76" i="42"/>
  <c r="N75" i="42"/>
  <c r="Y114" i="36"/>
  <c r="Z113" i="36"/>
  <c r="Z114" i="36" s="1"/>
  <c r="X15" i="16"/>
  <c r="X121" i="36"/>
  <c r="X16" i="16"/>
  <c r="W17" i="28"/>
  <c r="W18" i="16"/>
  <c r="X14" i="40"/>
  <c r="T123" i="36"/>
  <c r="U120" i="36" s="1"/>
  <c r="U122" i="36" s="1"/>
  <c r="S9" i="16"/>
  <c r="S12" i="16" s="1"/>
  <c r="O15" i="42" s="1"/>
  <c r="O74" i="42" s="1"/>
  <c r="S39" i="9"/>
  <c r="O10" i="42" s="1"/>
  <c r="S26" i="16"/>
  <c r="S25" i="16"/>
  <c r="T31" i="9"/>
  <c r="R38" i="18"/>
  <c r="R24" i="18" s="1"/>
  <c r="R28" i="16"/>
  <c r="T22" i="9"/>
  <c r="U42" i="40"/>
  <c r="U44" i="40" s="1"/>
  <c r="U48" i="40" s="1"/>
  <c r="U12" i="40" s="1"/>
  <c r="U16" i="40" s="1"/>
  <c r="U22" i="40" s="1"/>
  <c r="N18" i="42"/>
  <c r="N77" i="42" l="1"/>
  <c r="N89" i="42"/>
  <c r="S97" i="42"/>
  <c r="S96" i="42" s="1"/>
  <c r="S21" i="42"/>
  <c r="S109" i="42"/>
  <c r="S110" i="42" s="1"/>
  <c r="X16" i="28"/>
  <c r="T23" i="42"/>
  <c r="O92" i="42"/>
  <c r="O19" i="42"/>
  <c r="O89" i="42"/>
  <c r="O76" i="42"/>
  <c r="O75" i="42"/>
  <c r="O90" i="42" s="1"/>
  <c r="N90" i="42"/>
  <c r="W18" i="28"/>
  <c r="S16" i="42"/>
  <c r="O11" i="42"/>
  <c r="O9" i="42"/>
  <c r="Z121" i="36"/>
  <c r="Z15" i="16"/>
  <c r="Y15" i="16"/>
  <c r="Y121" i="36"/>
  <c r="T18" i="18"/>
  <c r="T17" i="18" s="1"/>
  <c r="Y16" i="16"/>
  <c r="Z16" i="16"/>
  <c r="X17" i="28"/>
  <c r="Y14" i="40"/>
  <c r="X18" i="16"/>
  <c r="U20" i="9"/>
  <c r="Q8" i="42" s="1"/>
  <c r="T23" i="9"/>
  <c r="T29" i="9"/>
  <c r="S40" i="9"/>
  <c r="S23" i="16"/>
  <c r="R22" i="28"/>
  <c r="R31" i="16"/>
  <c r="R32" i="16" s="1"/>
  <c r="N13" i="42" s="1"/>
  <c r="S15" i="28"/>
  <c r="O18" i="42"/>
  <c r="O77" i="42" l="1"/>
  <c r="T97" i="42"/>
  <c r="T96" i="42" s="1"/>
  <c r="T21" i="42"/>
  <c r="T109" i="42"/>
  <c r="T110" i="42" s="1"/>
  <c r="Y16" i="28"/>
  <c r="U23" i="42"/>
  <c r="X18" i="28"/>
  <c r="T16" i="42"/>
  <c r="Z16" i="28"/>
  <c r="V23" i="42"/>
  <c r="S41" i="18"/>
  <c r="S38" i="18" s="1"/>
  <c r="S24" i="18" s="1"/>
  <c r="O17" i="42"/>
  <c r="O14" i="42" s="1"/>
  <c r="S32" i="28"/>
  <c r="S31" i="28"/>
  <c r="Y17" i="28"/>
  <c r="Z14" i="40"/>
  <c r="Y18" i="16"/>
  <c r="Z17" i="28"/>
  <c r="Z18" i="16"/>
  <c r="AA14" i="40"/>
  <c r="U123" i="36"/>
  <c r="V120" i="36" s="1"/>
  <c r="V122" i="36" s="1"/>
  <c r="S24" i="16"/>
  <c r="R23" i="28"/>
  <c r="R28" i="28" s="1"/>
  <c r="R11" i="18"/>
  <c r="R10" i="18" s="1"/>
  <c r="R8" i="18" s="1"/>
  <c r="R45" i="18" s="1"/>
  <c r="T33" i="9"/>
  <c r="T34" i="9" s="1"/>
  <c r="T37" i="9" s="1"/>
  <c r="T32" i="9"/>
  <c r="V42" i="40"/>
  <c r="V44" i="40" s="1"/>
  <c r="V48" i="40" s="1"/>
  <c r="V12" i="40" s="1"/>
  <c r="V16" i="40" s="1"/>
  <c r="V22" i="40" s="1"/>
  <c r="U22" i="9"/>
  <c r="S21" i="28"/>
  <c r="U97" i="42" l="1"/>
  <c r="U96" i="42" s="1"/>
  <c r="U21" i="42"/>
  <c r="U109" i="42"/>
  <c r="U110" i="42" s="1"/>
  <c r="Y18" i="28"/>
  <c r="U16" i="42"/>
  <c r="V21" i="42"/>
  <c r="V97" i="42"/>
  <c r="V96" i="42" s="1"/>
  <c r="V109" i="42"/>
  <c r="V110" i="42" s="1"/>
  <c r="R30" i="28"/>
  <c r="N28" i="42"/>
  <c r="Z18" i="28"/>
  <c r="V16" i="42"/>
  <c r="U18" i="18"/>
  <c r="U17" i="18" s="1"/>
  <c r="T9" i="16"/>
  <c r="T12" i="16" s="1"/>
  <c r="T39" i="9"/>
  <c r="P10" i="42" s="1"/>
  <c r="U31" i="9"/>
  <c r="U29" i="9"/>
  <c r="U23" i="9"/>
  <c r="V20" i="9"/>
  <c r="R8" i="42" s="1"/>
  <c r="T26" i="16"/>
  <c r="T25" i="16"/>
  <c r="S28" i="16"/>
  <c r="T15" i="28" l="1"/>
  <c r="T31" i="28" s="1"/>
  <c r="P15" i="42"/>
  <c r="T40" i="9"/>
  <c r="T23" i="16"/>
  <c r="N78" i="42"/>
  <c r="N107" i="42"/>
  <c r="N70" i="42"/>
  <c r="N85" i="42"/>
  <c r="P11" i="42"/>
  <c r="P9" i="42"/>
  <c r="V123" i="36"/>
  <c r="V18" i="18" s="1"/>
  <c r="V17" i="18" s="1"/>
  <c r="W42" i="40"/>
  <c r="W44" i="40" s="1"/>
  <c r="W48" i="40" s="1"/>
  <c r="W12" i="40" s="1"/>
  <c r="W16" i="40" s="1"/>
  <c r="W22" i="40" s="1"/>
  <c r="V22" i="9"/>
  <c r="S22" i="28"/>
  <c r="S31" i="16"/>
  <c r="S32" i="16" s="1"/>
  <c r="O13" i="42" s="1"/>
  <c r="T21" i="28"/>
  <c r="U33" i="9"/>
  <c r="U34" i="9" s="1"/>
  <c r="U37" i="9" s="1"/>
  <c r="U9" i="16" s="1"/>
  <c r="U12" i="16" s="1"/>
  <c r="Q15" i="42" s="1"/>
  <c r="U32" i="9"/>
  <c r="T32" i="28" l="1"/>
  <c r="Q92" i="42"/>
  <c r="Q19" i="42"/>
  <c r="Q76" i="42"/>
  <c r="Q75" i="42"/>
  <c r="Q90" i="42" s="1"/>
  <c r="Q74" i="42"/>
  <c r="Q89" i="42" s="1"/>
  <c r="T41" i="18"/>
  <c r="T38" i="18" s="1"/>
  <c r="T24" i="18" s="1"/>
  <c r="P17" i="42"/>
  <c r="P14" i="42" s="1"/>
  <c r="P74" i="42"/>
  <c r="P89" i="42" s="1"/>
  <c r="P92" i="42"/>
  <c r="P75" i="42"/>
  <c r="P19" i="42"/>
  <c r="P76" i="42"/>
  <c r="W120" i="36"/>
  <c r="W122" i="36" s="1"/>
  <c r="U15" i="28"/>
  <c r="V31" i="9"/>
  <c r="S23" i="28"/>
  <c r="S28" i="28" s="1"/>
  <c r="O28" i="42" s="1"/>
  <c r="O70" i="42" s="1"/>
  <c r="S11" i="18"/>
  <c r="S10" i="18" s="1"/>
  <c r="S8" i="18" s="1"/>
  <c r="S45" i="18" s="1"/>
  <c r="T24" i="16"/>
  <c r="U39" i="9"/>
  <c r="Q10" i="42" s="1"/>
  <c r="V23" i="9"/>
  <c r="V29" i="9"/>
  <c r="Q18" i="42"/>
  <c r="P18" i="42"/>
  <c r="P77" i="42" l="1"/>
  <c r="Q77" i="42"/>
  <c r="P90" i="42"/>
  <c r="S30" i="28"/>
  <c r="Q9" i="42"/>
  <c r="Q11" i="42"/>
  <c r="W20" i="9"/>
  <c r="S8" i="42" s="1"/>
  <c r="U31" i="28"/>
  <c r="U32" i="28"/>
  <c r="W123" i="36"/>
  <c r="X120" i="36" s="1"/>
  <c r="X122" i="36" s="1"/>
  <c r="U25" i="16"/>
  <c r="U26" i="16"/>
  <c r="T28" i="16"/>
  <c r="U40" i="9"/>
  <c r="U23" i="16"/>
  <c r="V33" i="9"/>
  <c r="V34" i="9" s="1"/>
  <c r="V37" i="9" s="1"/>
  <c r="V32" i="9"/>
  <c r="U41" i="18" l="1"/>
  <c r="U38" i="18" s="1"/>
  <c r="U24" i="18" s="1"/>
  <c r="Q17" i="42"/>
  <c r="Q14" i="42" s="1"/>
  <c r="O78" i="42"/>
  <c r="O85" i="42"/>
  <c r="O107" i="42"/>
  <c r="X42" i="40"/>
  <c r="X44" i="40" s="1"/>
  <c r="X48" i="40" s="1"/>
  <c r="X12" i="40" s="1"/>
  <c r="X16" i="40" s="1"/>
  <c r="X22" i="40" s="1"/>
  <c r="W22" i="9"/>
  <c r="W23" i="9" s="1"/>
  <c r="W18" i="18"/>
  <c r="W17" i="18" s="1"/>
  <c r="V9" i="16"/>
  <c r="V12" i="16" s="1"/>
  <c r="R15" i="42" s="1"/>
  <c r="V39" i="9"/>
  <c r="R10" i="42" s="1"/>
  <c r="U21" i="28"/>
  <c r="T22" i="28"/>
  <c r="T31" i="16"/>
  <c r="T32" i="16" s="1"/>
  <c r="P13" i="42" s="1"/>
  <c r="X20" i="9"/>
  <c r="T8" i="42" s="1"/>
  <c r="W31" i="9"/>
  <c r="R92" i="42" l="1"/>
  <c r="R74" i="42"/>
  <c r="R19" i="42"/>
  <c r="R76" i="42"/>
  <c r="R75" i="42"/>
  <c r="R9" i="42"/>
  <c r="R11" i="42"/>
  <c r="W29" i="9"/>
  <c r="W33" i="9" s="1"/>
  <c r="W34" i="9" s="1"/>
  <c r="W37" i="9" s="1"/>
  <c r="X123" i="36"/>
  <c r="Y120" i="36" s="1"/>
  <c r="Y122" i="36" s="1"/>
  <c r="T23" i="28"/>
  <c r="T28" i="28" s="1"/>
  <c r="U24" i="16"/>
  <c r="T11" i="18"/>
  <c r="T10" i="18" s="1"/>
  <c r="T8" i="18" s="1"/>
  <c r="T45" i="18" s="1"/>
  <c r="X22" i="9"/>
  <c r="Y42" i="40"/>
  <c r="Y44" i="40" s="1"/>
  <c r="Y48" i="40" s="1"/>
  <c r="Y12" i="40" s="1"/>
  <c r="Y16" i="40" s="1"/>
  <c r="Y22" i="40" s="1"/>
  <c r="V40" i="9"/>
  <c r="V23" i="16"/>
  <c r="R17" i="42" s="1"/>
  <c r="R14" i="42" s="1"/>
  <c r="V15" i="28"/>
  <c r="R18" i="42"/>
  <c r="R77" i="42" l="1"/>
  <c r="T30" i="28"/>
  <c r="P28" i="42"/>
  <c r="R90" i="42"/>
  <c r="R89" i="42"/>
  <c r="X18" i="18"/>
  <c r="X17" i="18" s="1"/>
  <c r="W32" i="9"/>
  <c r="X31" i="9" s="1"/>
  <c r="V31" i="28"/>
  <c r="V32" i="28"/>
  <c r="W9" i="16"/>
  <c r="W12" i="16" s="1"/>
  <c r="S15" i="42" s="1"/>
  <c r="W39" i="9"/>
  <c r="S10" i="42" s="1"/>
  <c r="Y20" i="9"/>
  <c r="U8" i="42" s="1"/>
  <c r="V26" i="16"/>
  <c r="V25" i="16"/>
  <c r="U28" i="16"/>
  <c r="X23" i="9"/>
  <c r="X29" i="9"/>
  <c r="V21" i="28"/>
  <c r="V41" i="18"/>
  <c r="S92" i="42" l="1"/>
  <c r="S74" i="42"/>
  <c r="S89" i="42" s="1"/>
  <c r="S19" i="42"/>
  <c r="S75" i="42"/>
  <c r="S90" i="42" s="1"/>
  <c r="S76" i="42"/>
  <c r="P107" i="42"/>
  <c r="P70" i="42"/>
  <c r="P85" i="42"/>
  <c r="P78" i="42"/>
  <c r="S11" i="42"/>
  <c r="S9" i="42"/>
  <c r="Y123" i="36"/>
  <c r="Z120" i="36" s="1"/>
  <c r="Z122" i="36" s="1"/>
  <c r="U22" i="28"/>
  <c r="U31" i="16"/>
  <c r="U32" i="16" s="1"/>
  <c r="Q13" i="42" s="1"/>
  <c r="W23" i="16"/>
  <c r="W40" i="9"/>
  <c r="V38" i="18"/>
  <c r="V24" i="18" s="1"/>
  <c r="Y22" i="9"/>
  <c r="Z42" i="40"/>
  <c r="Z44" i="40" s="1"/>
  <c r="Z48" i="40" s="1"/>
  <c r="Z12" i="40" s="1"/>
  <c r="Z16" i="40" s="1"/>
  <c r="Z22" i="40" s="1"/>
  <c r="X33" i="9"/>
  <c r="X34" i="9" s="1"/>
  <c r="X37" i="9" s="1"/>
  <c r="X9" i="16" s="1"/>
  <c r="X12" i="16" s="1"/>
  <c r="T15" i="42" s="1"/>
  <c r="X32" i="9"/>
  <c r="W15" i="28"/>
  <c r="S18" i="42"/>
  <c r="S77" i="42" l="1"/>
  <c r="T92" i="42"/>
  <c r="T75" i="42"/>
  <c r="T90" i="42" s="1"/>
  <c r="T74" i="42"/>
  <c r="T89" i="42" s="1"/>
  <c r="T76" i="42"/>
  <c r="T19" i="42"/>
  <c r="W41" i="18"/>
  <c r="W38" i="18" s="1"/>
  <c r="W24" i="18" s="1"/>
  <c r="S17" i="42"/>
  <c r="S14" i="42" s="1"/>
  <c r="Y18" i="18"/>
  <c r="Y17" i="18" s="1"/>
  <c r="W31" i="28"/>
  <c r="W32" i="28"/>
  <c r="Y31" i="9"/>
  <c r="X15" i="28"/>
  <c r="W21" i="28"/>
  <c r="Z20" i="9"/>
  <c r="V8" i="42" s="1"/>
  <c r="U23" i="28"/>
  <c r="U28" i="28" s="1"/>
  <c r="U11" i="18"/>
  <c r="U10" i="18" s="1"/>
  <c r="U8" i="18" s="1"/>
  <c r="U45" i="18" s="1"/>
  <c r="V24" i="16"/>
  <c r="X39" i="9"/>
  <c r="T10" i="42" s="1"/>
  <c r="Y23" i="9"/>
  <c r="Y29" i="9"/>
  <c r="T18" i="42"/>
  <c r="T77" i="42" l="1"/>
  <c r="U30" i="28"/>
  <c r="Q28" i="42"/>
  <c r="T11" i="42"/>
  <c r="T9" i="42"/>
  <c r="X31" i="28"/>
  <c r="X32" i="28"/>
  <c r="Z123" i="36"/>
  <c r="Z18" i="18" s="1"/>
  <c r="Z17" i="18" s="1"/>
  <c r="X23" i="16"/>
  <c r="X40" i="9"/>
  <c r="AA42" i="40"/>
  <c r="AA44" i="40" s="1"/>
  <c r="AA48" i="40" s="1"/>
  <c r="AA12" i="40" s="1"/>
  <c r="AA16" i="40" s="1"/>
  <c r="Z22" i="9"/>
  <c r="W26" i="16"/>
  <c r="W25" i="16"/>
  <c r="V28" i="16"/>
  <c r="Y33" i="9"/>
  <c r="Y34" i="9" s="1"/>
  <c r="Y37" i="9" s="1"/>
  <c r="Y9" i="16" s="1"/>
  <c r="Y12" i="16" s="1"/>
  <c r="U15" i="42" s="1"/>
  <c r="Y32" i="9"/>
  <c r="U92" i="42" l="1"/>
  <c r="U74" i="42"/>
  <c r="U89" i="42" s="1"/>
  <c r="U76" i="42"/>
  <c r="U19" i="42"/>
  <c r="U75" i="42"/>
  <c r="U90" i="42" s="1"/>
  <c r="Q78" i="42"/>
  <c r="Q107" i="42"/>
  <c r="Q70" i="42"/>
  <c r="Q85" i="42"/>
  <c r="X41" i="18"/>
  <c r="X38" i="18" s="1"/>
  <c r="X24" i="18" s="1"/>
  <c r="T17" i="42"/>
  <c r="T14" i="42" s="1"/>
  <c r="Z31" i="9"/>
  <c r="Y39" i="9"/>
  <c r="AA22" i="40"/>
  <c r="AA25" i="40"/>
  <c r="G37" i="28" s="1"/>
  <c r="V22" i="28"/>
  <c r="V31" i="16"/>
  <c r="V32" i="16" s="1"/>
  <c r="R13" i="42" s="1"/>
  <c r="Z23" i="9"/>
  <c r="Z29" i="9"/>
  <c r="Y15" i="28"/>
  <c r="X21" i="28"/>
  <c r="U18" i="42"/>
  <c r="U77" i="42" l="1"/>
  <c r="Y23" i="16"/>
  <c r="U17" i="42" s="1"/>
  <c r="U14" i="42" s="1"/>
  <c r="U10" i="42"/>
  <c r="Y40" i="9"/>
  <c r="Y32" i="28"/>
  <c r="Y31" i="28"/>
  <c r="W24" i="16"/>
  <c r="V11" i="18"/>
  <c r="V10" i="18" s="1"/>
  <c r="V8" i="18" s="1"/>
  <c r="V45" i="18" s="1"/>
  <c r="V23" i="28"/>
  <c r="V28" i="28" s="1"/>
  <c r="R28" i="40"/>
  <c r="G36" i="28"/>
  <c r="G38" i="28" s="1"/>
  <c r="Z33" i="9"/>
  <c r="Z34" i="9" s="1"/>
  <c r="Z37" i="9" s="1"/>
  <c r="Z9" i="16" s="1"/>
  <c r="Z12" i="16" s="1"/>
  <c r="V15" i="42" s="1"/>
  <c r="Z32" i="9"/>
  <c r="Y41" i="18" l="1"/>
  <c r="Y21" i="28"/>
  <c r="V19" i="42"/>
  <c r="V74" i="42"/>
  <c r="V92" i="42"/>
  <c r="V75" i="42"/>
  <c r="V76" i="42"/>
  <c r="V30" i="28"/>
  <c r="R28" i="42"/>
  <c r="U9" i="42"/>
  <c r="U11" i="42"/>
  <c r="G39" i="28"/>
  <c r="R31" i="40"/>
  <c r="Z39" i="9"/>
  <c r="Y38" i="18"/>
  <c r="Y24" i="18" s="1"/>
  <c r="Z15" i="28"/>
  <c r="X25" i="16"/>
  <c r="X26" i="16"/>
  <c r="W28" i="16"/>
  <c r="V18" i="42"/>
  <c r="V77" i="42" l="1"/>
  <c r="V90" i="42"/>
  <c r="J112" i="42"/>
  <c r="T112" i="42"/>
  <c r="I112" i="42"/>
  <c r="X112" i="42"/>
  <c r="U112" i="42"/>
  <c r="K112" i="42"/>
  <c r="Y112" i="42"/>
  <c r="W112" i="42"/>
  <c r="O112" i="42"/>
  <c r="AB112" i="42"/>
  <c r="AC112" i="42"/>
  <c r="AD112" i="42"/>
  <c r="N112" i="42"/>
  <c r="P112" i="42"/>
  <c r="H112" i="42"/>
  <c r="L112" i="42"/>
  <c r="Z112" i="42"/>
  <c r="M112" i="42"/>
  <c r="V112" i="42"/>
  <c r="Q112" i="42"/>
  <c r="AA112" i="42"/>
  <c r="S112" i="42"/>
  <c r="R112" i="42"/>
  <c r="V89" i="42"/>
  <c r="X113" i="42"/>
  <c r="O113" i="42"/>
  <c r="W113" i="42"/>
  <c r="AB113" i="42"/>
  <c r="S113" i="42"/>
  <c r="AA113" i="42"/>
  <c r="N113" i="42"/>
  <c r="V113" i="42"/>
  <c r="R113" i="42"/>
  <c r="L113" i="42"/>
  <c r="M113" i="42"/>
  <c r="T113" i="42"/>
  <c r="H113" i="42"/>
  <c r="J113" i="42"/>
  <c r="AC113" i="42"/>
  <c r="K113" i="42"/>
  <c r="Z113" i="42"/>
  <c r="Q113" i="42"/>
  <c r="I113" i="42"/>
  <c r="P113" i="42"/>
  <c r="AD113" i="42"/>
  <c r="U113" i="42"/>
  <c r="Y113" i="42"/>
  <c r="R107" i="42"/>
  <c r="R78" i="42"/>
  <c r="R70" i="42"/>
  <c r="R85" i="42"/>
  <c r="Z40" i="9"/>
  <c r="V10" i="42"/>
  <c r="R34" i="40"/>
  <c r="G41" i="28" s="1"/>
  <c r="G42" i="28" s="1"/>
  <c r="G40" i="28"/>
  <c r="Z32" i="28"/>
  <c r="Z31" i="28"/>
  <c r="Z23" i="16"/>
  <c r="W22" i="28"/>
  <c r="W31" i="16"/>
  <c r="W32" i="16" s="1"/>
  <c r="S13" i="42" s="1"/>
  <c r="Z41" i="18" l="1"/>
  <c r="Z38" i="18" s="1"/>
  <c r="Z24" i="18" s="1"/>
  <c r="V17" i="42"/>
  <c r="V14" i="42" s="1"/>
  <c r="F5" i="7"/>
  <c r="J48" i="7" s="1"/>
  <c r="V11" i="42"/>
  <c r="V9" i="42"/>
  <c r="Z21" i="28"/>
  <c r="X24" i="16"/>
  <c r="W11" i="18"/>
  <c r="W10" i="18" s="1"/>
  <c r="W8" i="18" s="1"/>
  <c r="W45" i="18" s="1"/>
  <c r="W23" i="28"/>
  <c r="W28" i="28" s="1"/>
  <c r="W30" i="28" l="1"/>
  <c r="S28" i="42"/>
  <c r="Y25" i="16"/>
  <c r="Y26" i="16"/>
  <c r="X28" i="16"/>
  <c r="S78" i="42" l="1"/>
  <c r="S107" i="42"/>
  <c r="S70" i="42"/>
  <c r="S85" i="42"/>
  <c r="X22" i="28"/>
  <c r="X31" i="16"/>
  <c r="X32" i="16" s="1"/>
  <c r="T13" i="42" s="1"/>
  <c r="Y24" i="16" l="1"/>
  <c r="X11" i="18"/>
  <c r="X10" i="18" s="1"/>
  <c r="X8" i="18" s="1"/>
  <c r="X45" i="18" s="1"/>
  <c r="X23" i="28"/>
  <c r="X28" i="28" s="1"/>
  <c r="X30" i="28" l="1"/>
  <c r="T28" i="42"/>
  <c r="Z26" i="16"/>
  <c r="Z25" i="16"/>
  <c r="Y28" i="16"/>
  <c r="T107" i="42" l="1"/>
  <c r="T70" i="42"/>
  <c r="T78" i="42"/>
  <c r="T85" i="42"/>
  <c r="Y22" i="28"/>
  <c r="Y31" i="16"/>
  <c r="Y32" i="16" s="1"/>
  <c r="U13" i="42" s="1"/>
  <c r="Y11" i="18" l="1"/>
  <c r="Y10" i="18" s="1"/>
  <c r="Y8" i="18" s="1"/>
  <c r="Y45" i="18" s="1"/>
  <c r="Y23" i="28"/>
  <c r="Y28" i="28" s="1"/>
  <c r="Z24" i="16"/>
  <c r="Z28" i="16" s="1"/>
  <c r="Y30" i="28" l="1"/>
  <c r="U28" i="42"/>
  <c r="Z22" i="28"/>
  <c r="Z31" i="16"/>
  <c r="Z32" i="16" s="1"/>
  <c r="V13" i="42" s="1"/>
  <c r="U70" i="42" l="1"/>
  <c r="U107" i="42"/>
  <c r="U85" i="42"/>
  <c r="U78" i="42"/>
  <c r="Z11" i="18"/>
  <c r="Z10" i="18" s="1"/>
  <c r="Z8" i="18" s="1"/>
  <c r="Z45" i="18" s="1"/>
  <c r="Z23" i="28"/>
  <c r="Z28" i="28" s="1"/>
  <c r="Z30" i="28" l="1"/>
  <c r="V28" i="42"/>
  <c r="V70" i="42" l="1"/>
  <c r="V107" i="42"/>
  <c r="V78" i="42"/>
  <c r="V85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Никитина Валентина Михайловна</author>
    <author>Author</author>
    <author>Автор</author>
    <author>Фролова Ольга Олеговна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>В данную ячейку вводится  ед. измерения (USD, RUB, EUR) и  размерность (тыс., млн, млрд) и  общая для всех абсолютных значений листа Outputs</t>
        </r>
      </text>
    </comment>
    <comment ref="E15" authorId="1" shapeId="0" xr:uid="{00000000-0006-0000-0000-000002000000}">
      <text>
        <r>
          <rPr>
            <sz val="9"/>
            <color indexed="81"/>
            <rFont val="Tahoma"/>
            <family val="2"/>
            <charset val="204"/>
          </rPr>
          <t>Если клиент составляет отчетность в соответствии с МСФО и/ или его учетная политика предусматривает учет процентов выплаченных и/ или дивидендов выплаченных в составе денежного потока от финансовой деятельности, для расчета денежного потока от операционной деятельности необходимо: 1) включить процентные расходы в расчет денежного потока от операционной деятельности, т.е. рассматривать проценты выплаченные как отток денежных средств от операционной деятельности; 2) включить дивиденды выплаченные в расчет денежного потока от финансовой деятельности, т.е. рассматривать дивиденды выплаченные как отток денежных средств от финансовой деятельности.</t>
        </r>
      </text>
    </comment>
    <comment ref="F15" authorId="1" shapeId="0" xr:uid="{00000000-0006-0000-0000-000003000000}">
      <text>
        <r>
          <rPr>
            <sz val="9"/>
            <color indexed="81"/>
            <rFont val="Tahoma"/>
            <family val="2"/>
            <charset val="204"/>
          </rPr>
          <t>При построении Отчета о движении денежных средств косвенным методом, в корректировку чистой прибыли/ убытка, в том числе обязательно включаются изменения в оборотном капитале (+/-), лизинговые платежи (+), амортизация (+).</t>
        </r>
      </text>
    </comment>
    <comment ref="E16" authorId="1" shapeId="0" xr:uid="{00000000-0006-0000-0000-000004000000}">
      <text>
        <r>
          <rPr>
            <sz val="9"/>
            <color indexed="81"/>
            <rFont val="Tahoma"/>
            <family val="2"/>
            <charset val="204"/>
          </rPr>
          <t>Если клиент составляет отчетность в соответствии с МСФО и/ или его учетная политика предусматривает учет процентов выплаченных и/ или дивидендов выплаченных в составе денежного потока от финансовой деятельности, для расчета денежного потока от операционной деятельности необходимо: 1) включить процентные расходы в расчет денежного потока от операционной деятельности, т.е. рассматривать проценты выплаченные как отток денежных средств от операционной деятельности; 2) включить дивиденды выплаченные в расчет денежного потока от финансовой деятельности, т.е. рассматривать дивиденды выплаченные как отток денежных средств от финансовой деятельности.</t>
        </r>
      </text>
    </comment>
    <comment ref="F16" authorId="1" shapeId="0" xr:uid="{00000000-0006-0000-0000-000005000000}">
      <text>
        <r>
          <rPr>
            <sz val="9"/>
            <color indexed="81"/>
            <rFont val="Tahoma"/>
            <family val="2"/>
            <charset val="204"/>
          </rPr>
          <t>При построении Отчета о движении денежных средств косвенным методом, в корректировку чистой прибыли/ убытка, в том числе обязательно включаются изменения в оборотном капитале (+/-), лизинговые платежи (+), амортизация (+).</t>
        </r>
      </text>
    </comment>
    <comment ref="E17" authorId="1" shapeId="0" xr:uid="{00000000-0006-0000-0000-000006000000}">
      <text>
        <r>
          <rPr>
            <sz val="9"/>
            <color indexed="81"/>
            <rFont val="Tahoma"/>
            <family val="2"/>
            <charset val="204"/>
          </rPr>
          <t>Если клиент составляет отчетность в соответствии с МСФО и/ или его учетная политика предусматривает учет процентов выплаченных и/ или дивидендов выплаченных в составе денежного потока от финансовой деятельности, для расчета денежного потока от операционной деятельности необходимо: 1) включить процентные расходы в расчет денежного потока от операционной деятельности, т.е. рассматривать проценты выплаченные как отток денежных средств от операционной деятельности; 2) включить дивиденды выплаченные в расчет денежного потока от финансовой деятельности, т.е. рассматривать дивиденды выплаченные как отток денежных средств от финансовой деятельности.</t>
        </r>
      </text>
    </comment>
    <comment ref="F17" authorId="1" shapeId="0" xr:uid="{00000000-0006-0000-0000-000007000000}">
      <text>
        <r>
          <rPr>
            <sz val="9"/>
            <color indexed="81"/>
            <rFont val="Tahoma"/>
            <family val="2"/>
            <charset val="204"/>
          </rPr>
          <t>При построении Отчета о движении денежных средств косвенным методом, в корректировку чистой прибыли/ убытка, в том числе обязательно включаются изменения в оборотном капитале (+/-), лизинговые платежи (+), амортизация (+).</t>
        </r>
      </text>
    </comment>
    <comment ref="F18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ВНИМАНИЕ: предзаполненная формула должна быть ссылаться на Inputs модели</t>
        </r>
      </text>
    </comment>
    <comment ref="F33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 xml:space="preserve">Только не субординированная задолженность
</t>
        </r>
      </text>
    </comment>
    <comment ref="E104" authorId="2" shapeId="0" xr:uid="{00000000-0006-0000-0000-00000A000000}">
      <text>
        <r>
          <rPr>
            <sz val="9"/>
            <color indexed="81"/>
            <rFont val="Tahoma"/>
            <family val="2"/>
            <charset val="204"/>
          </rPr>
          <t>Если на квартальном листе Outputs EBITDA корр. считается не за последние 4 квартала, а за один квартал, то скопировать формулу из строки 2.</t>
        </r>
      </text>
    </comment>
    <comment ref="E175" authorId="3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 xml:space="preserve">Опциональное дополнение ввиду специфики отрасли  </t>
        </r>
      </text>
    </comment>
    <comment ref="E176" authorId="3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 xml:space="preserve">Опциональное дополнение ввиду специфики отрасли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77" authorId="3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 xml:space="preserve">Опциональное дополнение ввиду специфики отрасли 
</t>
        </r>
      </text>
    </comment>
    <comment ref="E178" authorId="3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 xml:space="preserve">Опциональное дополнение ввиду специфики отрасли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210" authorId="0" shapeId="0" xr:uid="{00000000-0006-0000-0800-000001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0" authorId="0" shapeId="0" xr:uid="{00000000-0006-0000-0800-000002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1" authorId="0" shapeId="0" xr:uid="{00000000-0006-0000-0800-000003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1" authorId="0" shapeId="0" xr:uid="{00000000-0006-0000-0800-000004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2" authorId="0" shapeId="0" xr:uid="{00000000-0006-0000-0800-000005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2" authorId="0" shapeId="0" xr:uid="{00000000-0006-0000-0800-000006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3" authorId="0" shapeId="0" xr:uid="{00000000-0006-0000-0800-000007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3" authorId="0" shapeId="0" xr:uid="{00000000-0006-0000-0800-000008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4" authorId="0" shapeId="0" xr:uid="{00000000-0006-0000-0800-000009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4" authorId="0" shapeId="0" xr:uid="{00000000-0006-0000-0800-00000A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5" authorId="0" shapeId="0" xr:uid="{00000000-0006-0000-0800-00000B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5" authorId="0" shapeId="0" xr:uid="{00000000-0006-0000-0800-00000C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210" authorId="0" shapeId="0" xr:uid="{00000000-0006-0000-0900-000001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0" authorId="0" shapeId="0" xr:uid="{00000000-0006-0000-0900-000002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1" authorId="0" shapeId="0" xr:uid="{00000000-0006-0000-0900-000003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1" authorId="0" shapeId="0" xr:uid="{00000000-0006-0000-0900-000004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2" authorId="0" shapeId="0" xr:uid="{00000000-0006-0000-0900-000005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2" authorId="0" shapeId="0" xr:uid="{00000000-0006-0000-0900-000006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3" authorId="0" shapeId="0" xr:uid="{00000000-0006-0000-0900-000007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3" authorId="0" shapeId="0" xr:uid="{00000000-0006-0000-0900-000008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4" authorId="0" shapeId="0" xr:uid="{00000000-0006-0000-0900-000009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4" authorId="0" shapeId="0" xr:uid="{00000000-0006-0000-0900-00000A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5" authorId="0" shapeId="0" xr:uid="{00000000-0006-0000-0900-00000B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5" authorId="0" shapeId="0" xr:uid="{00000000-0006-0000-0900-00000C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210" authorId="0" shapeId="0" xr:uid="{00000000-0006-0000-0A00-000001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0" authorId="0" shapeId="0" xr:uid="{00000000-0006-0000-0A00-000002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1" authorId="0" shapeId="0" xr:uid="{00000000-0006-0000-0A00-000003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1" authorId="0" shapeId="0" xr:uid="{00000000-0006-0000-0A00-000004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2" authorId="0" shapeId="0" xr:uid="{00000000-0006-0000-0A00-000005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2" authorId="0" shapeId="0" xr:uid="{00000000-0006-0000-0A00-000006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3" authorId="0" shapeId="0" xr:uid="{00000000-0006-0000-0A00-000007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3" authorId="0" shapeId="0" xr:uid="{00000000-0006-0000-0A00-000008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4" authorId="0" shapeId="0" xr:uid="{00000000-0006-0000-0A00-000009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4" authorId="0" shapeId="0" xr:uid="{00000000-0006-0000-0A00-00000A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5" authorId="0" shapeId="0" xr:uid="{00000000-0006-0000-0A00-00000B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5" authorId="0" shapeId="0" xr:uid="{00000000-0006-0000-0A00-00000C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210" authorId="0" shapeId="0" xr:uid="{00000000-0006-0000-0B00-000001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0" authorId="0" shapeId="0" xr:uid="{00000000-0006-0000-0B00-000002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1" authorId="0" shapeId="0" xr:uid="{00000000-0006-0000-0B00-000003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1" authorId="0" shapeId="0" xr:uid="{00000000-0006-0000-0B00-000004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2" authorId="0" shapeId="0" xr:uid="{00000000-0006-0000-0B00-000005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2" authorId="0" shapeId="0" xr:uid="{00000000-0006-0000-0B00-000006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3" authorId="0" shapeId="0" xr:uid="{00000000-0006-0000-0B00-000007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3" authorId="0" shapeId="0" xr:uid="{00000000-0006-0000-0B00-000008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4" authorId="0" shapeId="0" xr:uid="{00000000-0006-0000-0B00-000009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4" authorId="0" shapeId="0" xr:uid="{00000000-0006-0000-0B00-00000A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X215" authorId="0" shapeId="0" xr:uid="{00000000-0006-0000-0B00-00000B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  <comment ref="AA215" authorId="0" shapeId="0" xr:uid="{00000000-0006-0000-0B00-00000C000000}">
      <text>
        <r>
          <rPr>
            <b/>
            <sz val="8"/>
            <color indexed="81"/>
            <rFont val="Tahoma"/>
            <family val="2"/>
            <charset val="204"/>
          </rPr>
          <t>User:</t>
        </r>
        <r>
          <rPr>
            <sz val="8"/>
            <color indexed="81"/>
            <rFont val="Tahoma"/>
            <family val="2"/>
            <charset val="204"/>
          </rPr>
          <t xml:space="preserve">
В % от нефтяной пошлины</t>
        </r>
      </text>
    </comment>
  </commentList>
</comments>
</file>

<file path=xl/sharedStrings.xml><?xml version="1.0" encoding="utf-8"?>
<sst xmlns="http://schemas.openxmlformats.org/spreadsheetml/2006/main" count="11403" uniqueCount="1123">
  <si>
    <t>Ед.изм.</t>
  </si>
  <si>
    <t>x</t>
  </si>
  <si>
    <t>Панель управления</t>
  </si>
  <si>
    <t>%</t>
  </si>
  <si>
    <t>$/т</t>
  </si>
  <si>
    <t>Выручка</t>
  </si>
  <si>
    <t>.</t>
  </si>
  <si>
    <t>EBITDA</t>
  </si>
  <si>
    <t>Check</t>
  </si>
  <si>
    <t>P&amp;L</t>
  </si>
  <si>
    <t>EBITDA margin</t>
  </si>
  <si>
    <t>EBIT</t>
  </si>
  <si>
    <t>EBIT margin</t>
  </si>
  <si>
    <t>Рентабельность по чистой прибыли</t>
  </si>
  <si>
    <t>Убыток периода</t>
  </si>
  <si>
    <t>Убыток прошлых лет</t>
  </si>
  <si>
    <t>Зачет убытка</t>
  </si>
  <si>
    <t>Налогооблагаемая прибыль</t>
  </si>
  <si>
    <t>CFS</t>
  </si>
  <si>
    <t>DSCR</t>
  </si>
  <si>
    <t>Финансовые показатели</t>
  </si>
  <si>
    <t>Операционные показатели</t>
  </si>
  <si>
    <t>Изменение</t>
  </si>
  <si>
    <t>ISCR</t>
  </si>
  <si>
    <t>EBITDA margin, %</t>
  </si>
  <si>
    <t>Инвестиционный денежный поток</t>
  </si>
  <si>
    <t>Денежные средства на конец</t>
  </si>
  <si>
    <t>Долг</t>
  </si>
  <si>
    <t>Чистый долг</t>
  </si>
  <si>
    <t>Долг/EBITDA</t>
  </si>
  <si>
    <t xml:space="preserve"> Показатель</t>
  </si>
  <si>
    <t>Темп прироста выручки</t>
  </si>
  <si>
    <t>Операционный денежный поток</t>
  </si>
  <si>
    <t>Финансовый денежный поток</t>
  </si>
  <si>
    <t>Долговые метрики</t>
  </si>
  <si>
    <t>Чистый долг/EBITDA</t>
  </si>
  <si>
    <t>Цена реализации метанола</t>
  </si>
  <si>
    <t>млн т</t>
  </si>
  <si>
    <t>Measure</t>
  </si>
  <si>
    <t>Index</t>
  </si>
  <si>
    <t>$/t</t>
  </si>
  <si>
    <t>Sales</t>
  </si>
  <si>
    <t>Production</t>
  </si>
  <si>
    <t>ths t</t>
  </si>
  <si>
    <t>fact</t>
  </si>
  <si>
    <t>forecast</t>
  </si>
  <si>
    <t>Macro</t>
  </si>
  <si>
    <t>Base</t>
  </si>
  <si>
    <t>TV</t>
  </si>
  <si>
    <t>Methanex-produced methanol</t>
  </si>
  <si>
    <t>Purchased methanol</t>
  </si>
  <si>
    <t>Commission sales</t>
  </si>
  <si>
    <t>Total sales volume</t>
  </si>
  <si>
    <t>New Zealand</t>
  </si>
  <si>
    <t>Trinidad (Methanex interest)</t>
  </si>
  <si>
    <t>Chile</t>
  </si>
  <si>
    <t>Egypt (50% interest)</t>
  </si>
  <si>
    <t>Canada (Medicine Hat)</t>
  </si>
  <si>
    <t>Operating Capacity</t>
  </si>
  <si>
    <t>Total production</t>
  </si>
  <si>
    <t>Revenue</t>
  </si>
  <si>
    <t>Price</t>
  </si>
  <si>
    <t>mn $</t>
  </si>
  <si>
    <t>Average realized price</t>
  </si>
  <si>
    <t>Sber (base)</t>
  </si>
  <si>
    <t>Sber (negative)</t>
  </si>
  <si>
    <t>Sber (optimistic)</t>
  </si>
  <si>
    <t>1-Base, 2-Negative, 3-Optimistic</t>
  </si>
  <si>
    <t>Price (scanerio)</t>
  </si>
  <si>
    <t>OpEx</t>
  </si>
  <si>
    <t>G&amp;A</t>
  </si>
  <si>
    <t>D&amp;A</t>
  </si>
  <si>
    <t>Net profit</t>
  </si>
  <si>
    <t>1-2022, 2-Average, 3-Hard number</t>
  </si>
  <si>
    <t>Coeff. (if production - 3)</t>
  </si>
  <si>
    <t>Coeff. (if purchased methanol - 3)</t>
  </si>
  <si>
    <t>Coeff. (if commission sales - 3)</t>
  </si>
  <si>
    <t>INPUTS</t>
  </si>
  <si>
    <t>Отрасль</t>
  </si>
  <si>
    <t>Подотрасль/ Дивизион</t>
  </si>
  <si>
    <t>Источник</t>
  </si>
  <si>
    <t>Дата обновления</t>
  </si>
  <si>
    <t>Наименование</t>
  </si>
  <si>
    <t>Ед. измерения</t>
  </si>
  <si>
    <t>Link</t>
  </si>
  <si>
    <t>Комментарий к заполнению (формула)</t>
  </si>
  <si>
    <t>Общие</t>
  </si>
  <si>
    <t>ЦМИ</t>
  </si>
  <si>
    <t>Рост реального ВВП</t>
  </si>
  <si>
    <t>Наименование листа, номер строки [например: Scenarios, line 352]</t>
  </si>
  <si>
    <t>С 2021 года прогноз CIB</t>
  </si>
  <si>
    <t>Инфляция - Рост индекса потребительских цен (RUB, eop CPI)</t>
  </si>
  <si>
    <t>CIB Research</t>
  </si>
  <si>
    <t>Инфляция - Рост индекса потребительских цен в США, в долларах США (USD, eop CPI)</t>
  </si>
  <si>
    <t>EoY PCE, source: FX/IR team</t>
  </si>
  <si>
    <t>Инфляция - Рост индекса цен производителей (RUB, eop PPI)</t>
  </si>
  <si>
    <t>Инфляция - Дефлятор ВВП (RUB, GDP Deflator)</t>
  </si>
  <si>
    <t>=0.8CPI+0.2PPI; С 2021 года прогноз CIB</t>
  </si>
  <si>
    <t>Расчет</t>
  </si>
  <si>
    <t>Курс рубля к доллару США в конце года (eop USD/RUB)</t>
  </si>
  <si>
    <t>$/руб</t>
  </si>
  <si>
    <t>2015-17 модель ЦМИ c ценой на нефть CIB Research, после - CIB Research, с 2019 года прогноз CIB; =предыдущий год*1.02</t>
  </si>
  <si>
    <t>Курс рубля к EUR в конце года (eop EUR/RUB)</t>
  </si>
  <si>
    <t>EUR/руб</t>
  </si>
  <si>
    <t>=EUR/USD*курс доллара</t>
  </si>
  <si>
    <t>Рост реальных расп. денежных доходов населения</t>
  </si>
  <si>
    <t>Ставка Libor 3m</t>
  </si>
  <si>
    <t>ЦМИ, 2022 и далее = 2021</t>
  </si>
  <si>
    <t>Ставка Mosprime 3m</t>
  </si>
  <si>
    <t>EoY</t>
  </si>
  <si>
    <t>Законодательство</t>
  </si>
  <si>
    <t>Ставка НДС</t>
  </si>
  <si>
    <t>С 2019 года прогноз CIB</t>
  </si>
  <si>
    <t>Ставка НДФЛ</t>
  </si>
  <si>
    <t>Средний за период курс рубля к доллару США (av USD/RUB)</t>
  </si>
  <si>
    <t>Средний за период курс рубля к EUR (av EUR/RUB)</t>
  </si>
  <si>
    <t>формула</t>
  </si>
  <si>
    <t>Налог на имущество, инвентаризационная стоимость (НК Часть 2 Статья 380, максимальная ставка)</t>
  </si>
  <si>
    <t>С 2019 года = 2018</t>
  </si>
  <si>
    <t>Налог на имущество, кадастровая стоимость Москва (Закон г. Москвы от 05.11.2003 N 64, ред. от 25.11.2015, "О налоге на имущество организаций")</t>
  </si>
  <si>
    <t>Налог на имущество, кадастровая стоимость кроме Москвы (НК Часть 2 Статья 380, максимальная ставка)</t>
  </si>
  <si>
    <t>Инфляция з.платы (Рост номинальных заработных плат)</t>
  </si>
  <si>
    <t>С 2021 года прогноз CIB; =CPI+рост реальных доходов</t>
  </si>
  <si>
    <t>Ставка Euribor 3m</t>
  </si>
  <si>
    <t>EoY, ЦМИ, 2022 и далее = 2021</t>
  </si>
  <si>
    <t>Процентный своп IRS 1Y Mosprime</t>
  </si>
  <si>
    <t>Процентный своп IRS 3Y Mosprime</t>
  </si>
  <si>
    <t>Процентный своп IRS 5Y Mosprime</t>
  </si>
  <si>
    <t>Процентный своп IRS 7Y Mosprime</t>
  </si>
  <si>
    <t>Процентный своп IRS 10Y Mosprime</t>
  </si>
  <si>
    <t>Средний за период курс рубля к CHF (av CHF/RUB)</t>
  </si>
  <si>
    <t>CHF/руб</t>
  </si>
  <si>
    <t>Курс рубля к CHF в конце года (eop CHF/RUB)</t>
  </si>
  <si>
    <t>Инфляция - Рост индекса цен производителей в США, в долларах США (USD, eop PPI)</t>
  </si>
  <si>
    <t>=CPI</t>
  </si>
  <si>
    <t>Инфляция - Рост индекса потребительских цен в Еврозоне (EUR, eop CPI)</t>
  </si>
  <si>
    <t>EoY HICP, source: FX/IR team</t>
  </si>
  <si>
    <t>Инфляция - Рост индекса цен производителей в Еврозоне (EUR, eop PPI)</t>
  </si>
  <si>
    <t>Ставка страхового взноса в ФОМС</t>
  </si>
  <si>
    <t>Не меняется</t>
  </si>
  <si>
    <t>Ставка страхового взноса в ФСС</t>
  </si>
  <si>
    <t>Ставка страхового взноса в ПФР</t>
  </si>
  <si>
    <t>Ставка налога на прибыль организаций</t>
  </si>
  <si>
    <t>Средний за период курс EUR к доллару США (av EUR/USD)</t>
  </si>
  <si>
    <t>EUR/$</t>
  </si>
  <si>
    <t>2017-21 ЦМИ</t>
  </si>
  <si>
    <t>Курс EUR к доллару США в конце года (eop EUR/USD)</t>
  </si>
  <si>
    <t>ECB policy rate (Main Refinancing Operations rate)</t>
  </si>
  <si>
    <t>Курс EUR к CHF в конце года (eop EUR/CHF)</t>
  </si>
  <si>
    <t>EUR/CHF</t>
  </si>
  <si>
    <t>Ключевая ставка на конец года (eop)</t>
  </si>
  <si>
    <t>С 2021 года = инфляция + 2%</t>
  </si>
  <si>
    <t>USD/CHF eop</t>
  </si>
  <si>
    <t>USD/CHF</t>
  </si>
  <si>
    <t>USD/CHF average</t>
  </si>
  <si>
    <t>Ключевая ставка средняя за период (av)</t>
  </si>
  <si>
    <t>Курс юаня к доллару (средний за период)</t>
  </si>
  <si>
    <t>USD/CNY</t>
  </si>
  <si>
    <t>Курс юаня к доллару (на конец периода)</t>
  </si>
  <si>
    <t>Курс рубля к юаню, руб. (средний за период)</t>
  </si>
  <si>
    <t>CNY/руб</t>
  </si>
  <si>
    <t>Курс рубля к юаню, руб. (на конец периода)</t>
  </si>
  <si>
    <t>Курс рупии к доллару (средний за период)</t>
  </si>
  <si>
    <t>USD/INR</t>
  </si>
  <si>
    <t>Курс рупии к доллару (на конец периода)</t>
  </si>
  <si>
    <t>Ставка Roisfix 3M</t>
  </si>
  <si>
    <t>Отраслевые</t>
  </si>
  <si>
    <t>Уголь</t>
  </si>
  <si>
    <t>Аналитический Хаб</t>
  </si>
  <si>
    <t>Hard Coking Coal (FOB Australia)</t>
  </si>
  <si>
    <t>Антрацит</t>
  </si>
  <si>
    <t>Энергетический уголь (CIF ARA)</t>
  </si>
  <si>
    <t>Thermal Coal (FOB Newcastle)</t>
  </si>
  <si>
    <t>Металлы</t>
  </si>
  <si>
    <t>Цветная металлургия</t>
  </si>
  <si>
    <t>Алюминий (London Metals Exchange, без премии)</t>
  </si>
  <si>
    <t>Черная металлургия</t>
  </si>
  <si>
    <t>Арматура (Rebar, EXW Russia)</t>
  </si>
  <si>
    <t>Арматура (Rebar, FOB Black Sea)</t>
  </si>
  <si>
    <t>Трубы</t>
  </si>
  <si>
    <t>Бесшовные трубы (EXW Russia)</t>
  </si>
  <si>
    <t>Нет исторических данных с 2018 года</t>
  </si>
  <si>
    <t>Горячебрикетированное железо (HBI, EXW Russia)</t>
  </si>
  <si>
    <t>Горячебрикетированное железо (HBI, FOB Black Sea)</t>
  </si>
  <si>
    <t>Горячекатанный прокат (HRC, EXW Russia)</t>
  </si>
  <si>
    <t>Горячекатанный прокат (HRC, FOB Black Sea)</t>
  </si>
  <si>
    <t>Горячеоцинкованный прокат (HDG, EXW Russia)</t>
  </si>
  <si>
    <t>Горячеоцинкованный прокат (HDG, FOB Black Sea)</t>
  </si>
  <si>
    <t>Железная руда (Iron Ore 62%, CFR China)</t>
  </si>
  <si>
    <t>Заготовка квадратная (Billet, EXW Russia)</t>
  </si>
  <si>
    <t>Заготовка квадратная (Billet, FOB Black Sea)</t>
  </si>
  <si>
    <t>Заготовка плоская (Slab, EXW Russia)</t>
  </si>
  <si>
    <t>Заготовка плоская, (Slab, FOB Black Sea)</t>
  </si>
  <si>
    <t>Золото (London Metals Exchange)</t>
  </si>
  <si>
    <t>$/унция</t>
  </si>
  <si>
    <t>Медь (London Metals Exchange)</t>
  </si>
  <si>
    <t>Металлолом (Scrap, EXW Russia )</t>
  </si>
  <si>
    <t>Металлолом (Scrap, FOB Black sea)</t>
  </si>
  <si>
    <t>Никель (London Metals Exchange)</t>
  </si>
  <si>
    <t>Окатыш (Pellet, EXW Russia)</t>
  </si>
  <si>
    <t>Окатыш (Pellet, FOB Black Sea)</t>
  </si>
  <si>
    <t xml:space="preserve">Свинец (London Metals Exchange) </t>
  </si>
  <si>
    <t>Серебро (London Metals Exchange)</t>
  </si>
  <si>
    <t>Трубы большого диаметра (LDP, EXW Russia)</t>
  </si>
  <si>
    <t>Ферросилико-марганец (Европа)</t>
  </si>
  <si>
    <t>Ферросилиций (Европа)</t>
  </si>
  <si>
    <t>Феррохром (High carbon/Europe)</t>
  </si>
  <si>
    <t>cents/lb</t>
  </si>
  <si>
    <t>Холоднокатанный прокат (CRC, EXW Russia)</t>
  </si>
  <si>
    <t>Холоднокатанный прокат (CRC, FOB Black Sea)</t>
  </si>
  <si>
    <t>Цинк (London Metals Exchange)</t>
  </si>
  <si>
    <t>Чугун (Pig iron, EXW Russia)</t>
  </si>
  <si>
    <t>Чугун (Pig iron, FOB Black Sea)</t>
  </si>
  <si>
    <t>Платина (LME)</t>
  </si>
  <si>
    <t>Палладий (LME)</t>
  </si>
  <si>
    <t>Феррохром (6-8%, 58-60% Cr/China import CIF)</t>
  </si>
  <si>
    <t>Добавлен 25.01.2019</t>
  </si>
  <si>
    <t>Сварные трубы (EXW Russia)</t>
  </si>
  <si>
    <t>Кобальт</t>
  </si>
  <si>
    <t>$/фунт</t>
  </si>
  <si>
    <t>PCI Coal Австралия, FOB</t>
  </si>
  <si>
    <t>Добавлен 21.11.2020</t>
  </si>
  <si>
    <t>Энергоуголь Baltic, FOB</t>
  </si>
  <si>
    <t>Энергоуголь Black sea, FOB</t>
  </si>
  <si>
    <t>Энергоуголь Vostochny port, FOB</t>
  </si>
  <si>
    <t>Коксующийся уголь, FOB Vostochny port</t>
  </si>
  <si>
    <t>Добавлен 21.04.2023</t>
  </si>
  <si>
    <t>Удобрения</t>
  </si>
  <si>
    <t>Карбамид (FOB Южный)</t>
  </si>
  <si>
    <t>С 2022 года по утвержденному подходу к долгосрочным прогнозам</t>
  </si>
  <si>
    <t>Моноаммонийфосфат, MAP (FOB Балтика)</t>
  </si>
  <si>
    <t>Апатитовый концетрат (FOB Morocco)</t>
  </si>
  <si>
    <t>Аммиак (FOB Черное море)</t>
  </si>
  <si>
    <t>Аммиачная селитра (FOB Черное море)</t>
  </si>
  <si>
    <t>Хлорид калия (CFR Ю-В Азия)</t>
  </si>
  <si>
    <t>Хлорид калия (средняя цена реализации производителей СНГ CFR)</t>
  </si>
  <si>
    <t>Повышающий рентный коэффициент (Крента к НДПИ)</t>
  </si>
  <si>
    <t>ед</t>
  </si>
  <si>
    <t>Импортная пошлина при поставках в Европу на КАС (Акрон)</t>
  </si>
  <si>
    <t>Импортная пошлина при поставках в Европу на КАС (Еврохим и др.)</t>
  </si>
  <si>
    <t>Импортная пошлина на DAP/MAP/TSP в США (Фосагро)</t>
  </si>
  <si>
    <t>действует с 1.04.21</t>
  </si>
  <si>
    <t>Импортная пошлина на DAP/MAP/TSP в США (Еврохим)</t>
  </si>
  <si>
    <t>Импортная пошлина на DAP/MAP/TSP в США (другие компании)</t>
  </si>
  <si>
    <t>NPK 16-16-16 (FOB Балтика)</t>
  </si>
  <si>
    <t>Сельхозпродукция</t>
  </si>
  <si>
    <t>Кукуруза</t>
  </si>
  <si>
    <t>руб/кг без НДС</t>
  </si>
  <si>
    <t>цена предыдущего года *( 1+изменение мировых цен на масло)*(1+изменение курса рубля)</t>
  </si>
  <si>
    <t>Молоко сырое</t>
  </si>
  <si>
    <t>руб/литр без НДС</t>
  </si>
  <si>
    <t>цена предыдущего года * (1+ИПЦ/3)</t>
  </si>
  <si>
    <t xml:space="preserve">Мясо птицы бройлеров в убойном весе </t>
  </si>
  <si>
    <t>Мясо птицы бройлеров в живом весе*1,4</t>
  </si>
  <si>
    <t xml:space="preserve">Мясо птицы бройлеров в живом весе </t>
  </si>
  <si>
    <t xml:space="preserve">цена предыдущего года *(1+изменение реальных цен по данным ДК) * (1+ИПЦ/2) </t>
  </si>
  <si>
    <t xml:space="preserve">Мясо крупного рогатого скота в убойном весе </t>
  </si>
  <si>
    <t>Мясо крупного рогатого скота в живом весе*1,5</t>
  </si>
  <si>
    <t xml:space="preserve">Мясо крупного рогатого скота в живом весе </t>
  </si>
  <si>
    <t>цена предыдущего года *(1+изменение реальных цен по данным ДК) * (1+ИПЦ/2)</t>
  </si>
  <si>
    <t>Подсолнечник</t>
  </si>
  <si>
    <t>цена предыдущего года *( 1+изменение мировых цен)*(1+изменение курса рубля)</t>
  </si>
  <si>
    <t xml:space="preserve">Пшеница 1-го класса </t>
  </si>
  <si>
    <t xml:space="preserve">цена предыдущего года *( 1+изменение мировых цен)*(1+изменение курса рубля) </t>
  </si>
  <si>
    <t>Пшеница 3-го класса</t>
  </si>
  <si>
    <t xml:space="preserve">Пшеница 5-го класса </t>
  </si>
  <si>
    <t>Сахар (средняя цена по России)</t>
  </si>
  <si>
    <t>цена предыдущего года *(1+изменение курса рубля)</t>
  </si>
  <si>
    <t>Свинина в живом весе</t>
  </si>
  <si>
    <t xml:space="preserve">Свинина в убойном весе, полутуши </t>
  </si>
  <si>
    <t>Свинина в живом весе*1,4</t>
  </si>
  <si>
    <t>Соевое масло</t>
  </si>
  <si>
    <t>цена предыдущего года *( 1+изменение мировых цен)</t>
  </si>
  <si>
    <t>Соевый шрот</t>
  </si>
  <si>
    <t>Соя</t>
  </si>
  <si>
    <t>Яйцо товарное</t>
  </si>
  <si>
    <t>руб/десяток без НДС</t>
  </si>
  <si>
    <t>цена предыдущего года *(1+1/2 изменения цен на пшеницу)</t>
  </si>
  <si>
    <t>Подсолнечное масло наливом (мировые цены)</t>
  </si>
  <si>
    <t>Бутилированное подсолнечное масло (рафинированное)</t>
  </si>
  <si>
    <t>без НДС</t>
  </si>
  <si>
    <t>цена предыдущего года *( 1+изменение мировых цен на подсолнечник)*(1+изменение курса рубля)</t>
  </si>
  <si>
    <t xml:space="preserve">Подсолнечный шрот </t>
  </si>
  <si>
    <t>цена предыдущего года *( 1+изменение мировых цен на подсолнечник)*(1+изменение курса рубля/2)</t>
  </si>
  <si>
    <t>Свекла</t>
  </si>
  <si>
    <t xml:space="preserve">9% от прогнозной цены к сахару </t>
  </si>
  <si>
    <t>Колбасы сырокопченые</t>
  </si>
  <si>
    <t>цена предыдущего года * (1+ИПЦ)</t>
  </si>
  <si>
    <t>Мясо индейки (в убойном весе)</t>
  </si>
  <si>
    <t>Мясо индейки (в живом весе)</t>
  </si>
  <si>
    <t>Баранина в живом весе</t>
  </si>
  <si>
    <t>руб/т без НДС</t>
  </si>
  <si>
    <t xml:space="preserve">10% премия к прогнозной цене на свинину </t>
  </si>
  <si>
    <t xml:space="preserve">Баранина в убойном весе </t>
  </si>
  <si>
    <t>Какао-бобы (USD)</t>
  </si>
  <si>
    <t>мировые цены согласно World Bank Commodity Prices</t>
  </si>
  <si>
    <t>Какао-бобы</t>
  </si>
  <si>
    <t>руб/т без НДС и таможенной пошлины</t>
  </si>
  <si>
    <t>мировые цены * курс рубля</t>
  </si>
  <si>
    <t xml:space="preserve">Подсолнечное масло (наливом) не бутилированное, нерафинированное </t>
  </si>
  <si>
    <t xml:space="preserve">Кокосовое масло (USD) </t>
  </si>
  <si>
    <t xml:space="preserve">Кокосовое масло </t>
  </si>
  <si>
    <t>Пальмовое масло (USD)</t>
  </si>
  <si>
    <t xml:space="preserve">Пальмовое масло </t>
  </si>
  <si>
    <t>Табак (USD)</t>
  </si>
  <si>
    <t>Табак</t>
  </si>
  <si>
    <t>Пшеница 4-го класса</t>
  </si>
  <si>
    <t>Минтай б/г, Владивосток руб./кг</t>
  </si>
  <si>
    <t>Минтай б/г, Китай C&amp;F</t>
  </si>
  <si>
    <t>Сельдь н/р, Владивосток</t>
  </si>
  <si>
    <t>Огурцы тепличные</t>
  </si>
  <si>
    <t>Томаты тепличные, руб./кг</t>
  </si>
  <si>
    <t>Колбасы вареные</t>
  </si>
  <si>
    <t>Нефть и нефтепереработка</t>
  </si>
  <si>
    <t>Нефть марки Brent</t>
  </si>
  <si>
    <t>$/бар</t>
  </si>
  <si>
    <t>С 2020 года по утвержденному подходу к долгосрочным прогнозам</t>
  </si>
  <si>
    <t>НДПИ на нефть (базовая ставка) - часть вторая Налогового кодекса РФ от 05.08.2000 N 117-ФЗ (в ред. Федерального закона от 24.11.2014 N 366-ФЗ)</t>
  </si>
  <si>
    <t>руб/т</t>
  </si>
  <si>
    <t>С 2018 года = предыдущий год</t>
  </si>
  <si>
    <t>Акциз на бензин ниже класса 3 (здесь и далее - Налоговый кодекс)</t>
  </si>
  <si>
    <t>С 2021 года = предыдущий год * (1+2%)</t>
  </si>
  <si>
    <t>Акциз на бензин класс 3</t>
  </si>
  <si>
    <t>Акциз на бензин класс 4</t>
  </si>
  <si>
    <t>Акциз на бензин класс 5</t>
  </si>
  <si>
    <t>Акциз на прямогонный бензин</t>
  </si>
  <si>
    <t xml:space="preserve">Акциз на дизельное топливо ниже класса 3 </t>
  </si>
  <si>
    <t xml:space="preserve">Акциз на дизельное топливо класс 3 </t>
  </si>
  <si>
    <t>Акциз на дизельное топливо класс 4</t>
  </si>
  <si>
    <t>Акциз на дизельное топливо класс 5</t>
  </si>
  <si>
    <t>Акциз на масла</t>
  </si>
  <si>
    <t>Акциз на печное топливо</t>
  </si>
  <si>
    <t>С 2017 года = акцизу на средние дистилляты</t>
  </si>
  <si>
    <t>Акциз на бензол, параксилол, ортоксилол</t>
  </si>
  <si>
    <t>Акциз на авиационный керосин</t>
  </si>
  <si>
    <t>Предельная ставка вывозной таможенной пошлины на сырую нефть (при фактической цене свыше 25 долл США/бар)</t>
  </si>
  <si>
    <t>С 2018 года = 2017</t>
  </si>
  <si>
    <t>Экспортная пошлина на легкие и средние дистилляты, бензол, толуол, ксилолы</t>
  </si>
  <si>
    <t>В % от нефтяной</t>
  </si>
  <si>
    <t>Экспортная пошлина на автомобильный бензин</t>
  </si>
  <si>
    <t>Экспортная пошлина на нафту</t>
  </si>
  <si>
    <t>Экспортная пошлина на мазут, битумы и т.п.</t>
  </si>
  <si>
    <t>Экспортная пошлина на смазочные масла</t>
  </si>
  <si>
    <t>Экспортная пошлина на нефтяной кокс</t>
  </si>
  <si>
    <t>Нефть марки Urals</t>
  </si>
  <si>
    <t>С 2021 года по утвержденному подходу к долгосрочным прогнозам</t>
  </si>
  <si>
    <t>Акциз на cредние дистилляты</t>
  </si>
  <si>
    <t>С 2020 года = предыдущий год * (1+2%)</t>
  </si>
  <si>
    <t>Кк в формуле расечта НДПИ на нефть</t>
  </si>
  <si>
    <t>Корректирующий коэффициент для пошлин (Ккорр) - Законопроект Поправки в ФЗ "О Таможенном тарифе"</t>
  </si>
  <si>
    <t>Корректирующий коэффициент для акцизов (Ккорр) - Законопроект Поправки в Налоговый кодекс</t>
  </si>
  <si>
    <t>Дизельное топливо, Северо-Западная Европа</t>
  </si>
  <si>
    <t>Автомобильный бензин, Северо-Западная Европа</t>
  </si>
  <si>
    <t>ЦДТвр, 5кл</t>
  </si>
  <si>
    <t>ЦАБвр АИ-92, 5кл</t>
  </si>
  <si>
    <t>Urals (Primorsk) FOB</t>
  </si>
  <si>
    <t>Urals (Novorossiysk) FOB</t>
  </si>
  <si>
    <t>Dubai (ME) FOB</t>
  </si>
  <si>
    <t>ESPO (Koz) FOB</t>
  </si>
  <si>
    <t>Crack Нафта Балтика к Urals Primorsk (с учетом дисконта)</t>
  </si>
  <si>
    <t>Crack АБ Балтика к Urals Primorsk (с учетом дисконта)</t>
  </si>
  <si>
    <t>Crack ДТ Балтика к Urals Primorsk (с учетом дисконта)</t>
  </si>
  <si>
    <t>Crack Керосин Балтика к Urals Primorsk (с учетом дисконта)</t>
  </si>
  <si>
    <t>Crack Мазут 3,5% Балтика к Urals Primorsk (с учетом дисконта)</t>
  </si>
  <si>
    <t>Crack Нафта Черное море к Urals Novorossiysk (с учетом дисконта)</t>
  </si>
  <si>
    <t>Crack АБ Черное море к Urals Novorossiysk (с учетом дисконта)</t>
  </si>
  <si>
    <t>Crack ДТ Черное море к Urals Novorossiysk (с учетом дисконта)</t>
  </si>
  <si>
    <t>Crack Керосин Черное море к Urals Novorossiysk (с учетом дисконта)</t>
  </si>
  <si>
    <t>Crack Мазут 3,5% Черное море к Urals Novorossiysk (с учетом дисконта)</t>
  </si>
  <si>
    <t>Газ</t>
  </si>
  <si>
    <t>МЭР</t>
  </si>
  <si>
    <t>Прирост тарифов на газ</t>
  </si>
  <si>
    <t>Экспортная пошлина на природный газ</t>
  </si>
  <si>
    <t>Экспортная пошлина на сжиженный газ</t>
  </si>
  <si>
    <t>Цена на сжиженный газ на хабе UK NBP (Европа, m3)</t>
  </si>
  <si>
    <t>$/1000м куб</t>
  </si>
  <si>
    <t>Цена на сжиженный газ на хабе LNGJ (Азия, m3)</t>
  </si>
  <si>
    <t>Синтетический показатель</t>
  </si>
  <si>
    <t>Цена на сжиженный газ на хабе UK NBP (Европа, BTU)</t>
  </si>
  <si>
    <t>$/mmBtu</t>
  </si>
  <si>
    <t>С 2024 года по утвержденному подходу к долгосрочным прогнозам</t>
  </si>
  <si>
    <t>Цена на сжиженный газ на хабе LNGJ (Азия, BTU)</t>
  </si>
  <si>
    <t>Цена на природный газ на хабе Henry Hub</t>
  </si>
  <si>
    <t>Цена на природный газ на хабе TTF</t>
  </si>
  <si>
    <t>Энергетика</t>
  </si>
  <si>
    <t>МЭР, Росстат</t>
  </si>
  <si>
    <t>Прирост тарифов на теплоэнергию</t>
  </si>
  <si>
    <t>http://www.gks.ru/free_doc/doc_2017/info/oper-12-2017.pdf</t>
  </si>
  <si>
    <t>Среднесрочный прогноз на основании МЭР, с 2024 года прогноз АХ: рост =&gt; 50% себестоимости - топливо (газ), 50% фиксированные издержки - СPI</t>
  </si>
  <si>
    <t>Прирост тарифов на э/э для населения</t>
  </si>
  <si>
    <t>Среднесрочный прогноз на основании МЭР, с 2026 года прогноз АХ на уровне CPI</t>
  </si>
  <si>
    <t>Прирост цен на э/э на ОРЭ</t>
  </si>
  <si>
    <t>http://www.bigpowernews.ru/markets/document78739.phtml</t>
  </si>
  <si>
    <t>Взвес по потреблению ЦЗ</t>
  </si>
  <si>
    <t>Прирост цен на э/э для индустриальных потребителей</t>
  </si>
  <si>
    <t>Среднесрочный прогноз на основании МЭР, с 2025 года прогноз АХ: рост =&gt; 50% себестоимости - топливо (газ), 50% фиксированные издержки - PPI</t>
  </si>
  <si>
    <t>Прирост цен на мощность на КОМ</t>
  </si>
  <si>
    <t>Взвес по мощности КОМ ЦЗ</t>
  </si>
  <si>
    <t>Прирост тарифов сетевых компаний</t>
  </si>
  <si>
    <t>Среднесрочный прогноз на основании МЭР, с 2026 г. рост на уровне инфляции (CPI)</t>
  </si>
  <si>
    <t>Цена урана</t>
  </si>
  <si>
    <t>Цена услуг по обогащению урана</t>
  </si>
  <si>
    <t>$/ЕРР</t>
  </si>
  <si>
    <t>Прирост цен на мощность на КОМ - 1 Ценовая зона</t>
  </si>
  <si>
    <t>Отборы КОМ с учетом инфляции, с 2027 года = индекс цен производителей (СPI)</t>
  </si>
  <si>
    <t>Прирост цен на мощность на КОМ - 2 Ценовая зона</t>
  </si>
  <si>
    <t>Динамика потребления э/э в РФ</t>
  </si>
  <si>
    <t>https://minenergo.gov.ru/node/10277</t>
  </si>
  <si>
    <t>Прогноз на 2023 год с учетом индивидуальных факторов, с 2024 года 0.4823*Реальный ВВП-0.003</t>
  </si>
  <si>
    <t>Прирост цен на ОРЭ - 1 Ценовая зона</t>
  </si>
  <si>
    <t>Прогноз на 2023 год с учетом индивидуальных факторов, с 2024 года = прирост тарифов на газ</t>
  </si>
  <si>
    <t>Прирост цен на ОРЭ - 2 Ценовая зона</t>
  </si>
  <si>
    <t>Прогноз на 2023 год с учетом индивидуальных факторов, с 2024 года = индекс потребительских цен (СPI)</t>
  </si>
  <si>
    <t>Транспорт</t>
  </si>
  <si>
    <t>Авиа</t>
  </si>
  <si>
    <t>Инфляция на топливо авиационное (в рублях)</t>
  </si>
  <si>
    <t>Регрессия от изменения цены на дизельное топливо в Северо-Западной Европе (в пересчете на рубли)</t>
  </si>
  <si>
    <t>ЖД</t>
  </si>
  <si>
    <t>Прирост тарифов на грузовые Ж/Д перевозки в регулируемом секторе</t>
  </si>
  <si>
    <t>в долгосрочном периоде инфляция минус 1%</t>
  </si>
  <si>
    <t>Прирост тарифов на авиаперевозки (международные рейсы):</t>
  </si>
  <si>
    <t>Прирост тарифов на авиаперевозки (международные рейсы): Аэрофлот</t>
  </si>
  <si>
    <t>Прирост тарифов на авиаперевозки (международные рейсы): S7</t>
  </si>
  <si>
    <t>Прирост тарифов на авиаперевозки (международные рейсы): Utair</t>
  </si>
  <si>
    <t>Прирост тарифов на авиаперевозки (внутренние рейсы):</t>
  </si>
  <si>
    <t>Прирост тарифов на авиаперевозки (внутренние рейсы): Аэрофлот</t>
  </si>
  <si>
    <t>Прирост тарифов на авиаперевозки (внутренние рейсы): S7</t>
  </si>
  <si>
    <t>Прирост тарифов на авиаперевозки (внутренние рейсы): Utair</t>
  </si>
  <si>
    <t>Изменение объема грузоперевозок (Ж/д)</t>
  </si>
  <si>
    <t>Грузовоборот (т*км), в долг. периоде = темп роста пром. пр-ва</t>
  </si>
  <si>
    <t>Морские порты</t>
  </si>
  <si>
    <t>Экспорт нефти</t>
  </si>
  <si>
    <t>тонны</t>
  </si>
  <si>
    <t>Экспорт нефтепродуктов</t>
  </si>
  <si>
    <t>Экспорт угля</t>
  </si>
  <si>
    <t>Экспорт стали</t>
  </si>
  <si>
    <t>Перевалка контейнеров ДФЭ</t>
  </si>
  <si>
    <t>ДФЭ</t>
  </si>
  <si>
    <t>Динамика грузооборота в портах</t>
  </si>
  <si>
    <t>Динамика пассажиропотока (авиаперевозки)</t>
  </si>
  <si>
    <t>Ставка аренды типового полувагона</t>
  </si>
  <si>
    <t>руб/сут</t>
  </si>
  <si>
    <t>Объем закупок полувагонов в России</t>
  </si>
  <si>
    <t>тыс. шт.</t>
  </si>
  <si>
    <t>Ставка аренды нефтебензиновой цистерны</t>
  </si>
  <si>
    <t>Динамика железнодорожных контейнерных перевозок</t>
  </si>
  <si>
    <t>Динамика пассажиропотока (авиаперевозки) МВЛ</t>
  </si>
  <si>
    <t>Динамика пассажиропотока (авиаперевозки) ВВЛ</t>
  </si>
  <si>
    <t>Химия</t>
  </si>
  <si>
    <t>Капролактам импортный контракт (Тайвань и Ю. Корея) CFR Азия</t>
  </si>
  <si>
    <t>Капрон (полиамид, PA-6), CFR Китай</t>
  </si>
  <si>
    <t>Нет исторических данных</t>
  </si>
  <si>
    <t>Метанол</t>
  </si>
  <si>
    <t>FOB Rotterdam, С 2024 года по утвержденному подходу к долгосрочным прогнозам</t>
  </si>
  <si>
    <t>ПВХ суспензионный</t>
  </si>
  <si>
    <t>Сода кальцинированная марки А</t>
  </si>
  <si>
    <t>Сода кальцинированная марки Б</t>
  </si>
  <si>
    <t>По маркам соды А и Б нет существенной разницы в ценах</t>
  </si>
  <si>
    <t>Этилен</t>
  </si>
  <si>
    <t>Бензол, CFR Япония</t>
  </si>
  <si>
    <t>Этилен, CFR Китай</t>
  </si>
  <si>
    <t xml:space="preserve">Отраслевые </t>
  </si>
  <si>
    <t>Строительство</t>
  </si>
  <si>
    <t>Связь</t>
  </si>
  <si>
    <t>Машиностроение</t>
  </si>
  <si>
    <t>Регистрация легковых автомобилей (ЛА)</t>
  </si>
  <si>
    <t>Продажи по PWC</t>
  </si>
  <si>
    <t>Регистрация легких коммерческих автомобилей (ЛКА)</t>
  </si>
  <si>
    <t>Регистрация грузовых автомобилей (ГА)</t>
  </si>
  <si>
    <t>Регистрация автобусов (АБ)</t>
  </si>
  <si>
    <t>Цемент</t>
  </si>
  <si>
    <t>Цемент средней марки (средняя цена производителя): Центральный федеральный округ</t>
  </si>
  <si>
    <t>руб/т без НДС и доставки</t>
  </si>
  <si>
    <t>Цемент средней марки (средняя цена производителя): Южный федеральный округ</t>
  </si>
  <si>
    <t>Цемент средней марки (средняя цена производителя): Северо-Западный федеральный округ</t>
  </si>
  <si>
    <t>Цемент средней марки (средняя цена производителя): Дальневосточный федеральный округ</t>
  </si>
  <si>
    <t>Цемент средней марки (средняя цена производителя): Сибирский федеральный округ</t>
  </si>
  <si>
    <t>Цемент средней марки (средняя цена производителя): Уральский федеральный округ</t>
  </si>
  <si>
    <t>Цемент средней марки (средняя цена производителя): Приволжский федеральный округ</t>
  </si>
  <si>
    <t>Цемент средней марки (средняя цена производителя): Северо-Кавказский федеральный округ</t>
  </si>
  <si>
    <t>Цемент средней марки (средняя цена производителя): Крымский федеральный округ</t>
  </si>
  <si>
    <t>Рост цен на цемент средней марки (средняя цена производителя): Центральный федеральный округ</t>
  </si>
  <si>
    <t>Рост цен на цемент средней марки (средняя цена производителя): Южный федеральный округ</t>
  </si>
  <si>
    <t>Рост цен на цемент средней марки (средняя цена производителя): Северо-Западный федеральный округ</t>
  </si>
  <si>
    <t>Рост цен на цемент средней марки (средняя цена производителя): Дальневосточный федеральный округ</t>
  </si>
  <si>
    <t>Рост цен на цемент средней марки (средняя цена производителя): Сибирский федеральный округ</t>
  </si>
  <si>
    <t>Рост цен на цемент средней марки (средняя цена производителя): Уральский федеральный округ</t>
  </si>
  <si>
    <t>Рост цен на цемент средней марки (средняя цена производителя): Приволжский федеральный округ</t>
  </si>
  <si>
    <t>Рост цен на цемент средней марки (средняя цена производителя): Северо-Кавказский федеральный округ</t>
  </si>
  <si>
    <t>Рост цен на цемент средней марки (средняя цена производителя): Крымский федеральный округ</t>
  </si>
  <si>
    <t>Рост потребления цемента</t>
  </si>
  <si>
    <t>ОРДБ</t>
  </si>
  <si>
    <t>Казахстан</t>
  </si>
  <si>
    <t>Средний за период курс тенге к доллару США (av USD/KZT)</t>
  </si>
  <si>
    <t>$/ед. валюты</t>
  </si>
  <si>
    <t>Курс тенге к доллару США в конце года (eop USD/KZT)</t>
  </si>
  <si>
    <t>Ослабление со скоростью CPI - 3%</t>
  </si>
  <si>
    <t>Инфляция - Рост индекса потребительских цен в РК, в тенге (KZT, eop CPI)</t>
  </si>
  <si>
    <t>Средняя за год</t>
  </si>
  <si>
    <t>Инфляция - Рост индекса цен производителей в РК, в тенге (KZT, eop PPI)</t>
  </si>
  <si>
    <t>Белоруссия</t>
  </si>
  <si>
    <t>Средний за период курс белорусского рубля к доллару США (av USD/BYR)</t>
  </si>
  <si>
    <t>Курс белорусского рубля к доллару США в конце года (eop USD/BYR)</t>
  </si>
  <si>
    <t>Инфляция - Рост индекса потребительских цен в РБ, в белорусских рублях (BYR, eop CPI)</t>
  </si>
  <si>
    <t>Инфляция - Рост индекса цен производителей в РБ, в белорусских рублях (BYR, eop PPI)</t>
  </si>
  <si>
    <t>Украина</t>
  </si>
  <si>
    <t>Средний за период курс гривны к доллару США (av USD/UAH)</t>
  </si>
  <si>
    <t>Курс гривны к доллару США в конце года (eop USD/UAH)</t>
  </si>
  <si>
    <t>Инфляция - Рост индекса потребительских цен в РУ, в гривнах (UAH, eop CPI)</t>
  </si>
  <si>
    <t>Инфляция - Рост индекса цен производителей в РУ, в гривнах (UAH, eop PPI)</t>
  </si>
  <si>
    <t>Хорватия</t>
  </si>
  <si>
    <t>Средний за период курс куны к доллару США (av USD/HRK)</t>
  </si>
  <si>
    <t>Курс куны к доллару США в конце года (eop USD/HRK)</t>
  </si>
  <si>
    <t>Инфляция - Рост индекса потребительских цен в РХ, в кунах (HRK, eop CPI)</t>
  </si>
  <si>
    <t>Инфляция - Рост индекса цен производителей в РХ, в кунах (HRK, eop PPI)</t>
  </si>
  <si>
    <t>Сербия</t>
  </si>
  <si>
    <t>Средний за период курс динара к доллару США (av USD/RSD)</t>
  </si>
  <si>
    <t>Курс динара к доллару США в конце года (eop USD/RSD)</t>
  </si>
  <si>
    <t>Инфляция - Рост индекса потребительских цен в РУ, в динарах (RSD, eop CPI)</t>
  </si>
  <si>
    <t>Инфляция - Рост индекса цен производителей в РУ, в динарах (RSD, eop PPI)</t>
  </si>
  <si>
    <t>Словения</t>
  </si>
  <si>
    <t>Средний за период курс евро к доллару США (av USD/EUR)</t>
  </si>
  <si>
    <t>Курс евро к доллару США в конце года (eop USD/EUR)</t>
  </si>
  <si>
    <t>Инфляция - Рост индекса потребительских цен в РС, в евро (EUR, eop CPI)</t>
  </si>
  <si>
    <t>Инфляция - Рост индекса цен производителей в РС, в евро (EUR, eop PPI)</t>
  </si>
  <si>
    <t>Босния и Герцеговина</t>
  </si>
  <si>
    <t>Средний за период курс марки к доллару США (av USD/BAM)</t>
  </si>
  <si>
    <t>Курс марки к доллару США в конце года (eop USD/BAM)</t>
  </si>
  <si>
    <t>Инфляция - Рост индекса потребительских цен в РБиГ, в марках (BAM, eop CPI)</t>
  </si>
  <si>
    <t>Инфляция - Рост индекса цен производителей в РБиГ, в марках (BAM, eop PPI)</t>
  </si>
  <si>
    <t>Недвижимость</t>
  </si>
  <si>
    <t>Прирост оборота розничной торговли</t>
  </si>
  <si>
    <t>%, в реальном выражении</t>
  </si>
  <si>
    <t>Прирост реальных располагаемых доходов населения</t>
  </si>
  <si>
    <t>=прирост реальных расп. lенежных доходов наcеления</t>
  </si>
  <si>
    <t>Прирост объема промышленного производства</t>
  </si>
  <si>
    <t>Уровень безработицы</t>
  </si>
  <si>
    <t>Жилая</t>
  </si>
  <si>
    <t>Количество зарегистрированных договоров долевого участия в строительстве в Москве</t>
  </si>
  <si>
    <t>ед.</t>
  </si>
  <si>
    <t>Физлица, жилые помещения</t>
  </si>
  <si>
    <t>Средняя цена 1 кв.м. на первичном рынке жилой недвижимости в Москве (темп прироста)</t>
  </si>
  <si>
    <t>Без учета роста цен за счет роста строительной готовности объекта</t>
  </si>
  <si>
    <t>Гостиницы</t>
  </si>
  <si>
    <t>Изменение реальных расходов на гостиничные услуги</t>
  </si>
  <si>
    <t>Ставка капитализации для гостиниц 3-5*, мин. значение (Москва и Моск. обл.), на конец периода</t>
  </si>
  <si>
    <t>Ставка капитализации для гостиниц 3-5*, макс. значение (Москва и Моск. обл.), на конец периода</t>
  </si>
  <si>
    <t>Офисы</t>
  </si>
  <si>
    <t>Ставка капитализации для офисов класса А и В, мин. значение (Москва и Моск. обл.), на конец периода</t>
  </si>
  <si>
    <t>Заменен на отдельные показатели по классам А и В</t>
  </si>
  <si>
    <t>Ставка капитализации для офисов класса А и В, макс. значение (Москва и Моск. обл.), на конец периода</t>
  </si>
  <si>
    <t>Склады</t>
  </si>
  <si>
    <t>Ставка капитализации для складов класса А и В, мин. значение (Москва и Моск. обл.), на конец периода</t>
  </si>
  <si>
    <t>Ставка капитализации для складов класса А и В, макс. значение (Москва и Моск. обл.), на конец периода</t>
  </si>
  <si>
    <t>ТЦ</t>
  </si>
  <si>
    <t>Ставка капитализации для торговой недвижимости, мин. значение (Москва и Моск. обл.), на конец периода</t>
  </si>
  <si>
    <t>Ставка капитализации для торговой недвижимости, макс. значение (Москва и Моск. обл.), на конец периода</t>
  </si>
  <si>
    <t>Уровень вакантных площадей: гостиничная недвижимость (Москва и Моск. обл.)</t>
  </si>
  <si>
    <t>Уровень вакантных площадей: офисная недвижимость (Москва и Моск. обл.)</t>
  </si>
  <si>
    <t>Уровень вакантных площадей: складская недвижимость (Москва и Моск. обл.)</t>
  </si>
  <si>
    <t>Уровень вакантных площадей: торговая недвижимость (Москва и Моск. обл.)</t>
  </si>
  <si>
    <t>Темп прироста ставок аренды: офисная недвижимость (Москва и Моск. обл.)</t>
  </si>
  <si>
    <t>Темп прироста ставок аренды: складская недвижимость (Москва и Моск. обл.)</t>
  </si>
  <si>
    <t>Темп прироста ставок аренды: торговая недвижимость (Москва и Моск. обл.)</t>
  </si>
  <si>
    <t>Темп прироста средней цены номера (Гостиничная недвижимость по Москве и Моск. обл.)</t>
  </si>
  <si>
    <t>Темп прироста ставок аренды: офисная недвижимость (Москва и Моск. обл., лучшие объекты в классе А)</t>
  </si>
  <si>
    <t>Темп прироста ставок аренды: складская недвижимость (Москва и Моск. обл., лучшие объекты в классе А)</t>
  </si>
  <si>
    <t>Темп прироста ставок аренды: торговая недвижимость (Москва и Моск. обл., лучшие объекты в классе А)</t>
  </si>
  <si>
    <t>Ставка капитализации для офисов класса А, мин. значение (Москва и Моск. обл.), на конец периода</t>
  </si>
  <si>
    <t>Ставка капитализации для офисов класса А, макс. значение (Москва и Моск. обл.), на конец периода</t>
  </si>
  <si>
    <t>Ставка капитализации для офисов класса В, мин. значение (Москва и Моск. обл.), на конец периода</t>
  </si>
  <si>
    <t>Ставка капитализации для офисов класса В, макс. значение (Москва и Моск. обл.), на конец периода</t>
  </si>
  <si>
    <t>Ставка капитализации для складов класса А, мин. значение (Москва и Моск. обл.), на конец периода</t>
  </si>
  <si>
    <t>Ставка капитализации для складов класса А, макс. значение (Москва и Моск. обл.), на конец периода</t>
  </si>
  <si>
    <t>Ставка капитализации для складов класса В, мин. значение (Москва и Моск. обл.), на конец периода</t>
  </si>
  <si>
    <t>Ставка капитализации для складов класса В, макс. значение (Москва и Моск. обл.), на конец периода</t>
  </si>
  <si>
    <t>Уровень вакантных площадей: офисов класса А (Москва и Моск. обл.)</t>
  </si>
  <si>
    <t>Уровень вакантных площадей: офисов класса В (Москва и Моск. обл.)</t>
  </si>
  <si>
    <t>Уровень вакантных площадей: складов класса А (Москва и Моск. обл.)</t>
  </si>
  <si>
    <t>Уровень вакантных площадей: складов класса В (Москва и Моск. обл.)</t>
  </si>
  <si>
    <t>Рост числа зарегистрированных ДДУ в России</t>
  </si>
  <si>
    <t>Рост средней цены 1 кв.м. на первичном рынке жилой недвижимости России</t>
  </si>
  <si>
    <t>Рост числа зарегистрированных ДДУ в Москве</t>
  </si>
  <si>
    <t>Рост средней цены 1 кв.м. на первичном рынке жилой недвижимости Москве</t>
  </si>
  <si>
    <t>Рост числа зарегистрированных ДДУ в Московской области</t>
  </si>
  <si>
    <t>Рост средней цены 1 кв.м. на первичном рынке жилой недвижимости Московской области</t>
  </si>
  <si>
    <t>Рост числа зарегистрированных ДДУ в Санкт-Петербурге</t>
  </si>
  <si>
    <t>Рост средней цены 1 кв.м. на первичном рынке жилой недвижимости Санкт-Петербурге</t>
  </si>
  <si>
    <t>Рост средней цены 1 кв.м. на первичном рынке жилой недвижимости Дальнего Востока</t>
  </si>
  <si>
    <t>Рост числа зарегистрированных ДДУ в Ленинградской области</t>
  </si>
  <si>
    <t>Рост средней цены 1 кв.м. на первичном рынке жилой недвижимости Ленинградской области</t>
  </si>
  <si>
    <t>Рост средней цены 1 кв.м. на первичном рынке жилой недвижимости Краснодарского края</t>
  </si>
  <si>
    <t>Темп роста ADR гостиниц, г/г</t>
  </si>
  <si>
    <t>Алтайский край загрузка  3*-4*</t>
  </si>
  <si>
    <t>Иркутская область загрузка  3*-4*</t>
  </si>
  <si>
    <t>Кабардино-Балкарская Республика загрузка  3*-4*</t>
  </si>
  <si>
    <t>Калининградская область загрузка  3*-4*</t>
  </si>
  <si>
    <t>Карачаево-Черкесская Республика загрузка  3*-4*</t>
  </si>
  <si>
    <t>Мурманская область загрузка  3*-4*</t>
  </si>
  <si>
    <t>Республика Алтай загрузка  3*-4*</t>
  </si>
  <si>
    <t>Республика Бурятия загрузка  3*-4*</t>
  </si>
  <si>
    <t>Республика Карелия загрузка  3*-4*</t>
  </si>
  <si>
    <t>Сахалинская область загрузка  3*-4*</t>
  </si>
  <si>
    <t>Ставропольский край загрузка  3*-4*</t>
  </si>
  <si>
    <t>Камчатский край загрузка  3*-4*</t>
  </si>
  <si>
    <t>Краснодарский край загрузка  3*-4*</t>
  </si>
  <si>
    <t>Сочи загрузка  3*-4*</t>
  </si>
  <si>
    <t>Фармацевтика</t>
  </si>
  <si>
    <t>Аналитический хаб</t>
  </si>
  <si>
    <t>Фармацевтический рынок</t>
  </si>
  <si>
    <t>Млрд. руб.</t>
  </si>
  <si>
    <t>Фармацевтический рынок, розница</t>
  </si>
  <si>
    <t>Госзакупки лекарств</t>
  </si>
  <si>
    <t>Рост индекса цен в коммерческом сегменте, ЖНВЛП</t>
  </si>
  <si>
    <t>Рост индекса цен в коммерческом сегменте, не ЖНВЛП</t>
  </si>
  <si>
    <t>Семена рапса</t>
  </si>
  <si>
    <t>Рапсовое масло в EC</t>
  </si>
  <si>
    <t>Мука пшеничная</t>
  </si>
  <si>
    <t>Пшеница 12,5% FOB Ново, $/т</t>
  </si>
  <si>
    <t>Экспортная цена мороженых крабов</t>
  </si>
  <si>
    <t>Экспортная цена живых крабов</t>
  </si>
  <si>
    <t>Треска, Мурманск</t>
  </si>
  <si>
    <t>Горбуша, Владивосток</t>
  </si>
  <si>
    <t>ESG</t>
  </si>
  <si>
    <t>Стоимость квот на CO2 в EU ETS (Emissions Trading System)</t>
  </si>
  <si>
    <t>EUR/т</t>
  </si>
  <si>
    <t>Лесопромышленный комплекс</t>
  </si>
  <si>
    <t>Динамика экспортной цены на еловые пиломатериалы в Китай</t>
  </si>
  <si>
    <t>Динамика средней экспортной цены из РФ по всем направлениям в долл. США г/г (все виды пиломатериалов)</t>
  </si>
  <si>
    <t>Динамика экспортной цены на фанеру</t>
  </si>
  <si>
    <t>Динамика средней экспортной цены из РФ по всем направлениям в долл. США г/г</t>
  </si>
  <si>
    <t>Динамика экспортной цены на целлюлозу полубеленую или беленую хвойных пород (NBSK)</t>
  </si>
  <si>
    <t>Динамика экспортной цены на целлюлозу полубеленую или беленую лиственных пород (BHKP)</t>
  </si>
  <si>
    <t>Динамика экспортной цены на крафт-лайнер (тарный картон) небеленый</t>
  </si>
  <si>
    <t>Динамика экспортной цены на крафт-бумагу мешочную небеленую</t>
  </si>
  <si>
    <t>Динамика экспортной цены на прочую бумагу для гофрирования</t>
  </si>
  <si>
    <t>Динамика внутренней цены на беленую (офсетную) бумагу, руб/т</t>
  </si>
  <si>
    <t>Динамика средней внутренней цены в рублях г/г</t>
  </si>
  <si>
    <t>Динамика экспортной цены на ДСП</t>
  </si>
  <si>
    <t>Динамика внутренней цены на ДСП</t>
  </si>
  <si>
    <t>Динамика средней внутренней цены в рублях, г/г</t>
  </si>
  <si>
    <t>Динамика экспортной цены на ДВП</t>
  </si>
  <si>
    <t>Динамика внутренней цены на ДВП</t>
  </si>
  <si>
    <t>Динамика экспортной цены на OSB</t>
  </si>
  <si>
    <t>Специальные</t>
  </si>
  <si>
    <t>Коэффициент объема</t>
  </si>
  <si>
    <t>Коэффициент цены</t>
  </si>
  <si>
    <t>Коэффициент удельных расходов</t>
  </si>
  <si>
    <t>Коэффициент постоянных расходов</t>
  </si>
  <si>
    <t>Коэффициент капитальных вложений</t>
  </si>
  <si>
    <t>Assumption1</t>
  </si>
  <si>
    <t>Assumption2</t>
  </si>
  <si>
    <t>Assumption3</t>
  </si>
  <si>
    <t>Assumption4</t>
  </si>
  <si>
    <t>Assumption5</t>
  </si>
  <si>
    <t>Задержка ввода объекта</t>
  </si>
  <si>
    <t>Периоды</t>
  </si>
  <si>
    <t>Коэффициент объема производства</t>
  </si>
  <si>
    <t>Коэффициент объема добычи</t>
  </si>
  <si>
    <t>Коэффициент объема продаж</t>
  </si>
  <si>
    <t>Коэффициент объема переработки</t>
  </si>
  <si>
    <t>Коэффициент пролива на станцию</t>
  </si>
  <si>
    <t>Коэффициент налоговой нагрузки (без учета налога на прибыль)</t>
  </si>
  <si>
    <t>Коэффициент количества башен</t>
  </si>
  <si>
    <t>Коэффициент tenancy</t>
  </si>
  <si>
    <t>Коэффициент торговой/арендопригодной площади</t>
  </si>
  <si>
    <t>Коэффициент выручки на магазин</t>
  </si>
  <si>
    <t>Коэффициент загрузки</t>
  </si>
  <si>
    <t>Коэффициент количества комнат</t>
  </si>
  <si>
    <t>Коэффициент парка вагонов в управлении (собств., аренда, лизинг)</t>
  </si>
  <si>
    <t>Коэффициент погрузки</t>
  </si>
  <si>
    <t>Коэффициент грузооборота</t>
  </si>
  <si>
    <t>Коэффициент пассажиропотока</t>
  </si>
  <si>
    <t>Коэффициент пассажирооборота</t>
  </si>
  <si>
    <t>Коэффициент машиномест</t>
  </si>
  <si>
    <t>Коэффициент взлетно-посадочных операций</t>
  </si>
  <si>
    <t>Коэффициент объема перевалки</t>
  </si>
  <si>
    <t>Коэффициент установленной электрической мощности</t>
  </si>
  <si>
    <t>Коэффициент установленной тепловой мощности</t>
  </si>
  <si>
    <t xml:space="preserve">Коэффициент выработки электрической энергии </t>
  </si>
  <si>
    <t>Коэффициент отпуска тепловой энергии</t>
  </si>
  <si>
    <t xml:space="preserve">Коэффициент объема передачи </t>
  </si>
  <si>
    <t>Коэффициент % потерь при передаче</t>
  </si>
  <si>
    <t xml:space="preserve">Коэффициент Fcash </t>
  </si>
  <si>
    <t>Коэффициент для квартала 1 - Рост средней цены 1 кв.м. на первичном рынке жилой недвижимости России</t>
  </si>
  <si>
    <t>Коэффициент для квартала 2 - Рост средней цены 1 кв.м. на первичном рынке жилой недвижимости России</t>
  </si>
  <si>
    <t>Коэффициент для квартала 3 - Рост средней цены 1 кв.м. на первичном рынке жилой недвижимости России</t>
  </si>
  <si>
    <t>Коэффициент для квартала 4 - Рост средней цены 1 кв.м. на первичном рынке жилой недвижимости России</t>
  </si>
  <si>
    <t>Коэффициент для квартала 1 - Рост средней цены 1 кв.м. на первичном рынке жилой недвижимости Москве</t>
  </si>
  <si>
    <t>Коэффициент для квартала 2 - Рост средней цены 1 кв.м. на первичном рынке жилой недвижимости Москве</t>
  </si>
  <si>
    <t>Коэффициент для квартала 3 - Рост средней цены 1 кв.м. на первичном рынке жилой недвижимости Москве</t>
  </si>
  <si>
    <t>Коэффициент для квартала 4 - Рост средней цены 1 кв.м. на первичном рынке жилой недвижимости Москве</t>
  </si>
  <si>
    <t>Коэффициент для квартала 1 - Рост средней цены 1 кв.м. на первичном рынке жилой недвижимости Московской области</t>
  </si>
  <si>
    <t>Коэффициент для квартала 2 - Рост средней цены 1 кв.м. на первичном рынке жилой недвижимости Московской области</t>
  </si>
  <si>
    <t>Коэффициент для квартала 3 - Рост средней цены 1 кв.м. на первичном рынке жилой недвижимости Московской области</t>
  </si>
  <si>
    <t>Коэффициент для квартала 4 - Рост средней цены 1 кв.м. на первичном рынке жилой недвижимости Московской области</t>
  </si>
  <si>
    <t>Коэффициент для квартала 1 - Рост средней цены 1 кв.м. на первичном рынке жилой недвижимости Санкт-Петербурге</t>
  </si>
  <si>
    <t>Коэффициент для квартала 2 - Рост средней цены 1 кв.м. на первичном рынке жилой недвижимости Санкт-Петербурге</t>
  </si>
  <si>
    <t>Коэффициент для квартала 3 - Рост средней цены 1 кв.м. на первичном рынке жилой недвижимости Санкт-Петербурге</t>
  </si>
  <si>
    <t>Коэффициент для квартала 4 - Рост средней цены 1 кв.м. на первичном рынке жилой недвижимости Санкт-Петербурге</t>
  </si>
  <si>
    <t>Коэффициент для квартала 1 - Рост средней цены 1 кв.м. на первичном рынке жилой недвижимости Дальнего Востока</t>
  </si>
  <si>
    <t>Коэффициент для квартала 2 - Рост средней цены 1 кв.м. на первичном рынке жилой недвижимости Дальнего Востока</t>
  </si>
  <si>
    <t>Коэффициент для квартала 3 - Рост средней цены 1 кв.м. на первичном рынке жилой недвижимости Дальнего Востока</t>
  </si>
  <si>
    <t>Коэффициент для квартала 4 - Рост средней цены 1 кв.м. на первичном рынке жилой недвижимости Дальнего Востока</t>
  </si>
  <si>
    <t>Коэффициент для квартала 1 - Рост средней цены 1 кв.м. на первичном рынке жилой недвижимости Краснодарского края</t>
  </si>
  <si>
    <t>Коэффициент для квартала 2 - Рост средней цены 1 кв.м. на первичном рынке жилой недвижимости Краснодарского края</t>
  </si>
  <si>
    <t>Коэффициент для квартала 3 - Рост средней цены 1 кв.м. на первичном рынке жилой недвижимости Краснодарского края</t>
  </si>
  <si>
    <t>Коэффициент для квартала 4 - Рост средней цены 1 кв.м. на первичном рынке жилой недвижимости Краснодарского края</t>
  </si>
  <si>
    <t>Добавлен 21.04.2022</t>
  </si>
  <si>
    <t xml:space="preserve"> </t>
  </si>
  <si>
    <t>% of total production</t>
  </si>
  <si>
    <t>Coeff. (if Methanex-produced methanol - 3)</t>
  </si>
  <si>
    <t>CPI US</t>
  </si>
  <si>
    <t>1-Price, 2-CPI</t>
  </si>
  <si>
    <t>Cost of raw materials and purchased methanol</t>
  </si>
  <si>
    <t>Ocean freight and other logistics</t>
  </si>
  <si>
    <t>Employee expenses, including share-based compensation</t>
  </si>
  <si>
    <t>Other expenses</t>
  </si>
  <si>
    <t>PP&amp;E</t>
  </si>
  <si>
    <t>CapEx</t>
  </si>
  <si>
    <t>BS</t>
  </si>
  <si>
    <t>ASSETS</t>
  </si>
  <si>
    <t>Current assets</t>
  </si>
  <si>
    <t>Cash and cash equivalents</t>
  </si>
  <si>
    <t>Trade and other receivables</t>
  </si>
  <si>
    <t>Inventories</t>
  </si>
  <si>
    <t>Prepaid expenses</t>
  </si>
  <si>
    <t>Other assets</t>
  </si>
  <si>
    <t>Non-current assets</t>
  </si>
  <si>
    <t>Property, plant and equipment</t>
  </si>
  <si>
    <t>Investment in associate</t>
  </si>
  <si>
    <t>Deferred income tax assets</t>
  </si>
  <si>
    <t>LIABILITIES AND EQUITY</t>
  </si>
  <si>
    <t>Current liabilities</t>
  </si>
  <si>
    <t>Trade, other payables and accrued liabilities</t>
  </si>
  <si>
    <t>Current maturities on long-term debt</t>
  </si>
  <si>
    <t>Current maturities on lease obligations</t>
  </si>
  <si>
    <t>Current maturities on other long-term liabilities</t>
  </si>
  <si>
    <t>Non-current liabilities</t>
  </si>
  <si>
    <t>Long-term debt</t>
  </si>
  <si>
    <t>Lease obligations</t>
  </si>
  <si>
    <t>Other long-term liabilities</t>
  </si>
  <si>
    <t>Deferred income tax liabilities</t>
  </si>
  <si>
    <t>Equity</t>
  </si>
  <si>
    <t>Capital stock</t>
  </si>
  <si>
    <t>Contributed surplus</t>
  </si>
  <si>
    <t>Retained earnings</t>
  </si>
  <si>
    <t>Accumulated other comprehensive income (loss)</t>
  </si>
  <si>
    <t>Non-controlling interests</t>
  </si>
  <si>
    <t>PP&amp;E bop</t>
  </si>
  <si>
    <t>PP&amp;E eop</t>
  </si>
  <si>
    <t>Geismar plant under construction</t>
  </si>
  <si>
    <t>1-CPI, 2-as % of Revenue</t>
  </si>
  <si>
    <t>% of Revenue</t>
  </si>
  <si>
    <t>0-no, 1-yes</t>
  </si>
  <si>
    <t>Operation phase</t>
  </si>
  <si>
    <t>year</t>
  </si>
  <si>
    <t>Coeff.</t>
  </si>
  <si>
    <t>Sber</t>
  </si>
  <si>
    <t>NWC</t>
  </si>
  <si>
    <t>Profit tax</t>
  </si>
  <si>
    <r>
      <rPr>
        <sz val="12"/>
        <color theme="1"/>
        <rFont val="Times New Roman"/>
        <family val="1"/>
        <charset val="204"/>
      </rPr>
      <t>Δ</t>
    </r>
    <r>
      <rPr>
        <sz val="12"/>
        <color theme="1"/>
        <rFont val="Times New Roman"/>
        <family val="2"/>
        <charset val="204"/>
      </rPr>
      <t>NWC</t>
    </r>
  </si>
  <si>
    <t>OCF</t>
  </si>
  <si>
    <t>ICF</t>
  </si>
  <si>
    <t>(-) D&amp;A</t>
  </si>
  <si>
    <t>Tax rate</t>
  </si>
  <si>
    <t>DCF</t>
  </si>
  <si>
    <t>(-) profit tax</t>
  </si>
  <si>
    <t>(-) ΔNWC</t>
  </si>
  <si>
    <t>(-) CapEx</t>
  </si>
  <si>
    <t>FCFF</t>
  </si>
  <si>
    <t>Period</t>
  </si>
  <si>
    <t>WACC</t>
  </si>
  <si>
    <t>Discount factor</t>
  </si>
  <si>
    <t>DFCFF</t>
  </si>
  <si>
    <t>TGR</t>
  </si>
  <si>
    <t>EV</t>
  </si>
  <si>
    <t>Net debt</t>
  </si>
  <si>
    <t>mn #</t>
  </si>
  <si>
    <t>$</t>
  </si>
  <si>
    <t>Share price</t>
  </si>
  <si>
    <t>Valuation</t>
  </si>
  <si>
    <t>days</t>
  </si>
  <si>
    <t>Working capital</t>
  </si>
  <si>
    <t>CapEx remaining</t>
  </si>
  <si>
    <t>USA (Geismar 3)</t>
  </si>
  <si>
    <t>USA (Geismar 1 &amp; 2)</t>
  </si>
  <si>
    <t>Finance costs</t>
  </si>
  <si>
    <t>Income before income taxes</t>
  </si>
  <si>
    <t>Income tax (expense) recovery</t>
  </si>
  <si>
    <t>Income tax rate</t>
  </si>
  <si>
    <t>Other income (expenses)</t>
  </si>
  <si>
    <t>Finance income</t>
  </si>
  <si>
    <t>Earnings of associate</t>
  </si>
  <si>
    <t>Net profit (GAAP)</t>
  </si>
  <si>
    <t>Cost of sales and depreciation and amortization</t>
  </si>
  <si>
    <t>Finance costs, finance income and other expenses</t>
  </si>
  <si>
    <t>Operating income</t>
  </si>
  <si>
    <t>Income tax expense</t>
  </si>
  <si>
    <t>Net earnings at 100%</t>
  </si>
  <si>
    <t>Earnings of associate at 63.1%</t>
  </si>
  <si>
    <t>Earnings of associate at 63.1% (GAAP)</t>
  </si>
  <si>
    <t>Debt</t>
  </si>
  <si>
    <t>Unsecured notes</t>
  </si>
  <si>
    <t>$300 million at 4.25% due December 1, 2024</t>
  </si>
  <si>
    <t>$700 million at 5.125% due October 15, 2027</t>
  </si>
  <si>
    <t>$700 million at 5.25% due December 15, 2029</t>
  </si>
  <si>
    <t>$300 million at 5.65% due December 1, 2044</t>
  </si>
  <si>
    <t>Other limited recourse debt facilities</t>
  </si>
  <si>
    <t>5.58% due through June 30, 2031</t>
  </si>
  <si>
    <t>5.35% due through September 30, 2033</t>
  </si>
  <si>
    <t>5.08% due through September 15, 2036</t>
  </si>
  <si>
    <t>bop</t>
  </si>
  <si>
    <t>eop</t>
  </si>
  <si>
    <t>Interest</t>
  </si>
  <si>
    <t>payments</t>
  </si>
  <si>
    <t>Interest component</t>
  </si>
  <si>
    <t>(-) Interest</t>
  </si>
  <si>
    <t>(-) Payments</t>
  </si>
  <si>
    <t>(-) Dividend</t>
  </si>
  <si>
    <t>FCF</t>
  </si>
  <si>
    <t>Increase (decrease) in cash and cash equivalents</t>
  </si>
  <si>
    <t>Cash eop</t>
  </si>
  <si>
    <t>Diluted weighted average number of common shares outstanding</t>
  </si>
  <si>
    <t>Объем производства метанола</t>
  </si>
  <si>
    <t>млн $</t>
  </si>
  <si>
    <t>CapEx на поддержание</t>
  </si>
  <si>
    <t>CapEx на расширение</t>
  </si>
  <si>
    <t>2П 2023</t>
  </si>
  <si>
    <t>1П 2023</t>
  </si>
  <si>
    <t>Negative</t>
  </si>
  <si>
    <t>Optimistic</t>
  </si>
  <si>
    <t>(+) Revolver</t>
  </si>
  <si>
    <t>(-) Revolver</t>
  </si>
  <si>
    <t>(-) % (Revolver)</t>
  </si>
  <si>
    <t>Объем продажи метанола</t>
  </si>
  <si>
    <t>Increase (decrease) in cash and cash equivalents (GAAP)</t>
  </si>
  <si>
    <t>Погашение долга</t>
  </si>
  <si>
    <t>Дивиденды</t>
  </si>
  <si>
    <t>Оценка бизнеса</t>
  </si>
  <si>
    <r>
      <rPr>
        <sz val="8"/>
        <rFont val="Times New Roman"/>
        <family val="1"/>
        <charset val="204"/>
      </rPr>
      <t>Σ</t>
    </r>
    <r>
      <rPr>
        <sz val="8"/>
        <rFont val="Calibri Light"/>
        <family val="2"/>
        <charset val="204"/>
        <scheme val="major"/>
      </rPr>
      <t>DFCFF</t>
    </r>
  </si>
  <si>
    <t>EV / EBITDA 2022</t>
  </si>
  <si>
    <t>Недооценка (переоценка)</t>
  </si>
  <si>
    <t>Scenario</t>
  </si>
  <si>
    <t>Лизинг</t>
  </si>
  <si>
    <t>Sensitivity</t>
  </si>
  <si>
    <t>CapEx maintenance</t>
  </si>
  <si>
    <t>Стоимость акции</t>
  </si>
  <si>
    <t>Other assets/liabilities</t>
  </si>
  <si>
    <t>D&amp;A as  % of PP&amp;E bop</t>
  </si>
  <si>
    <t>Base (w/o G-3)</t>
  </si>
  <si>
    <t>Negative (w/o G-3)</t>
  </si>
  <si>
    <t>Optimistic (w/o G-3)</t>
  </si>
  <si>
    <t>Natural gas price Henry Hub</t>
  </si>
  <si>
    <t>1-Price, 2-CPI, 3-Natural gas price Henry Hub</t>
  </si>
  <si>
    <t>Метанол на хабе FOB Rotterdam</t>
  </si>
  <si>
    <t xml:space="preserve">Cost of raw materials </t>
  </si>
  <si>
    <t>Cost of purchased methanol</t>
  </si>
  <si>
    <t>Cost of raw materials</t>
  </si>
  <si>
    <t>Base (Price)</t>
  </si>
  <si>
    <t>Base (NG)</t>
  </si>
  <si>
    <t>Total debt (incl. lease)</t>
  </si>
  <si>
    <t>EBITDA adj.</t>
  </si>
  <si>
    <t>Debt EBITDA adj.</t>
  </si>
  <si>
    <t xml:space="preserve">Cash </t>
  </si>
  <si>
    <t>Net total debt (incl. lease)</t>
  </si>
  <si>
    <t>Net debt (w/o lease)</t>
  </si>
  <si>
    <t>Debt (w/o lease)</t>
  </si>
  <si>
    <t>Total debt (incl. lease) / EBITDA adj.</t>
  </si>
  <si>
    <t>Net total debt (incl. lease) / EBITDA adj.</t>
  </si>
  <si>
    <t>Net debt / EBITDA adj.</t>
  </si>
  <si>
    <t>PRES</t>
  </si>
  <si>
    <t>знак</t>
  </si>
  <si>
    <t>Контрольные показатели</t>
  </si>
  <si>
    <t>Тип показателя</t>
  </si>
  <si>
    <t>Источник/ Формула для расчета</t>
  </si>
  <si>
    <t>+</t>
  </si>
  <si>
    <t>Финансовый показатель</t>
  </si>
  <si>
    <t>Общий (обязательный)</t>
  </si>
  <si>
    <t>Отчет о финансовых результатах</t>
  </si>
  <si>
    <t>[требуется заполнить]</t>
  </si>
  <si>
    <t>Расчетный показатель</t>
  </si>
  <si>
    <t>Операционные расходы (без амортизации)</t>
  </si>
  <si>
    <t>Предзаполненная формула</t>
  </si>
  <si>
    <t>Коммерческие и управленческие расходы</t>
  </si>
  <si>
    <t>Прибыль от реализации</t>
  </si>
  <si>
    <t>см. лист формулы</t>
  </si>
  <si>
    <t>Рентабельность EBITDA</t>
  </si>
  <si>
    <t>Амортизация</t>
  </si>
  <si>
    <t>Приложение к Бухгалтерскому балансу; информация от клиента (заполняется абсолютное значение со знаком +)</t>
  </si>
  <si>
    <t>Прочие доходы и расходы после EBIT (включая налог на прибыль)</t>
  </si>
  <si>
    <t>Чистая прибыль</t>
  </si>
  <si>
    <t>Рентабельность чистой прибыли</t>
  </si>
  <si>
    <t>Остаток денежных средств на конец периода</t>
  </si>
  <si>
    <t>Чистый денежный поток за период (NCF)</t>
  </si>
  <si>
    <t>Денежные потоки от текущих операций (CFO)</t>
  </si>
  <si>
    <t>Отчет о движении денежных средств</t>
  </si>
  <si>
    <t>Денежные потоки от инвестиционных операций (CFI)</t>
  </si>
  <si>
    <t>Денежные потоки от финансовых операций (CFF)</t>
  </si>
  <si>
    <t>Свободный денежный поток (FCFF)</t>
  </si>
  <si>
    <t>Предзаполненная формула (см. лист формулы)</t>
  </si>
  <si>
    <t>Денежные средства, доступные для обслуживания долга (CFADS)</t>
  </si>
  <si>
    <t>Сумма капитальных затрат (CAPEX)</t>
  </si>
  <si>
    <t>Отчет о движении денежных средств; информация от клиента</t>
  </si>
  <si>
    <t>Общий (заполняется при наличии информации)</t>
  </si>
  <si>
    <t>Капитальные затраты на развитие (Development CAPEX)</t>
  </si>
  <si>
    <t>Информация от клиента</t>
  </si>
  <si>
    <t>Капитальные затраты на поддержание (Maintenance CAPEX)</t>
  </si>
  <si>
    <t>Информация от клиента; экспертнообоснованный КП уровень, согласованный с АР</t>
  </si>
  <si>
    <t>Долг (Debt)</t>
  </si>
  <si>
    <t>Долг без учета задолженности по лизингу</t>
  </si>
  <si>
    <t>Информация по клиенту</t>
  </si>
  <si>
    <t>Долг с учетом забалансовых обязательств</t>
  </si>
  <si>
    <t>Чистый долг (Net Debt)</t>
  </si>
  <si>
    <t>Долгосрочные кредиты и займы</t>
  </si>
  <si>
    <t xml:space="preserve">Бухгалтерский баланс </t>
  </si>
  <si>
    <t>Краткосрочные кредиты и займы</t>
  </si>
  <si>
    <t>Обязательства по финансовому лизингу</t>
  </si>
  <si>
    <t>Балансирующий долг</t>
  </si>
  <si>
    <t>Обслуживание долга (Debt Service)</t>
  </si>
  <si>
    <t>Погашение основного долга</t>
  </si>
  <si>
    <t>Отчет о движении денежных средств; информация, полученная от клиента</t>
  </si>
  <si>
    <t xml:space="preserve">Платежи процентов по долговым обязательствам </t>
  </si>
  <si>
    <t>Начисленные проценты по долговым обязательствам</t>
  </si>
  <si>
    <t>Капитализированные проценты</t>
  </si>
  <si>
    <t>Лизинговые платежи (вкл. основной долг в их составе)</t>
  </si>
  <si>
    <t>Лизинговые платежи</t>
  </si>
  <si>
    <t>Отчет о финансовых результатах; информация, полученная от клиента</t>
  </si>
  <si>
    <t>Платежи процентов по лизингу</t>
  </si>
  <si>
    <t>Эффект от переоценки валютного долга</t>
  </si>
  <si>
    <t>Привлечение денежных средств (итого)</t>
  </si>
  <si>
    <t>= Кредиты без подтверждения финансирования + кредиты с подтверждением финансирования + прочие привлечения
Отчет о движении денежных средств, информация, полученная от клиента</t>
  </si>
  <si>
    <t>Оборотный капитал на конец периода</t>
  </si>
  <si>
    <t>= Оборотные (текущие) активы (код 1600) – Оборотные (текущие) пассивы (код 1700), Бухгалтерский баланс</t>
  </si>
  <si>
    <t>Остаточная стоимость ОС на конец периода</t>
  </si>
  <si>
    <t>Финансовые вложения</t>
  </si>
  <si>
    <t>Нематериальные активы</t>
  </si>
  <si>
    <t>Сумма Актива бухгалтерского баланса</t>
  </si>
  <si>
    <t>Итого долгосрочные обязательства</t>
  </si>
  <si>
    <t>Итого краткосрочные обязательства</t>
  </si>
  <si>
    <t>Капитал и резервы</t>
  </si>
  <si>
    <t>Оборотные активы</t>
  </si>
  <si>
    <t>Прочие операционные доходы и расходы</t>
  </si>
  <si>
    <t>Прочие неоперационные доходы и расходы</t>
  </si>
  <si>
    <t>Долг перед Сбербанком на конец  (Sberbank Debt)</t>
  </si>
  <si>
    <t>Долг перед Сбербанком без учета задолженности по лизингу</t>
  </si>
  <si>
    <t>Обслуживание обязательств перед Сбербанком (Sberbank Debt Service)</t>
  </si>
  <si>
    <t>Погашение кредитов в Сбербанке за период (Sberbank debt repayment)</t>
  </si>
  <si>
    <t>Процентные и прочие платежи  (Sberbank interest/other payments)</t>
  </si>
  <si>
    <t>Начисленные проценты по долговым обязательствам перед Сбербанком</t>
  </si>
  <si>
    <t>Капитализированные проценты по кредитам Сбербанка</t>
  </si>
  <si>
    <t>Лизинговые платежи Сбербанку (Sberbank leasing payments)</t>
  </si>
  <si>
    <t>Лизинговые платежи Сбербанку</t>
  </si>
  <si>
    <t>Платежи процентов по лизингу Сбербанку</t>
  </si>
  <si>
    <t>Эффект от переоценки валютного долга перед Сбербанком</t>
  </si>
  <si>
    <t>Привлечение в Сбербанке за период (Sberbank debt attraction)</t>
  </si>
  <si>
    <t>Коэффициент</t>
  </si>
  <si>
    <t>Debt/EBITDA</t>
  </si>
  <si>
    <t>количество раз, с округлением до 100-х</t>
  </si>
  <si>
    <t>Net Debt/EBITDA</t>
  </si>
  <si>
    <t>Долг с учетом забалансовых обязательств/EBITDA</t>
  </si>
  <si>
    <t>Коэффициент покрытия процентов в i-ом периоде (ICR)</t>
  </si>
  <si>
    <t>Проценты к уплате</t>
  </si>
  <si>
    <t>Коэффициент покрытия процентов в i-ом периоде (ISCR)</t>
  </si>
  <si>
    <t>Коэффициент покрытия долга в i-ом периоде (DSCR)</t>
  </si>
  <si>
    <t>Коэффициент покрытия долга с учетом привлечения долга в i-ом периоде (DSCR с долгом)</t>
  </si>
  <si>
    <t>Свободный денежный поток за вычетом финансовых расходов на погашение и обслуживание долга</t>
  </si>
  <si>
    <t>Срок до полного погашения</t>
  </si>
  <si>
    <t>количество периодов, с округлением до 10-х</t>
  </si>
  <si>
    <t>Выручка (LTM)</t>
  </si>
  <si>
    <t>EBITDA (LTM)</t>
  </si>
  <si>
    <t>Рентабельность EBITDA (LTM)</t>
  </si>
  <si>
    <t>Debt/EBITDA (LTM)</t>
  </si>
  <si>
    <t>Долг/Выручка (LTM)</t>
  </si>
  <si>
    <t>Net Debt/EBITDA (LTM)</t>
  </si>
  <si>
    <t>Долг с учетом забалансовых обязательств/Выручка (LTM)</t>
  </si>
  <si>
    <t>Долг с учетом забалансовых обязательств/EBITDA (LTM)</t>
  </si>
  <si>
    <t>ICR (LTM)</t>
  </si>
  <si>
    <t>ISCR (LTM)</t>
  </si>
  <si>
    <t>DSCR (LTM)</t>
  </si>
  <si>
    <t>DSCR с долгом (LTM)</t>
  </si>
  <si>
    <t>Денежные потоки от текущих операций (CFO) (LTM)</t>
  </si>
  <si>
    <t>Платежи процентов по долговым обязательствам (LTM)</t>
  </si>
  <si>
    <t>Обслуживание долга (Debt Service) (LTM)</t>
  </si>
  <si>
    <t>Привлечение денежных средств (LTM)</t>
  </si>
  <si>
    <t>Сумма капитальных затрат (CAPEX) (LTM)</t>
  </si>
  <si>
    <t>Капитальные затраты на поддержание (Maintenance CAPEX) (LTM)</t>
  </si>
  <si>
    <t>Капитальные затраты на развитие (Development CAPEX) (LTM)</t>
  </si>
  <si>
    <t>Общий (заполняется при необходимости)</t>
  </si>
  <si>
    <t>Коэффициент обсуживания процентных платежей в i-ом периоде - скорректированный (ISCR корр.)</t>
  </si>
  <si>
    <t>Корректировки на дополнительные притоки / оттоки, отражающие постоянные во времени операции, характерные для деятельности контрагента</t>
  </si>
  <si>
    <t>Коэффициент покрытия долга в i-ом периоде - скорректированный (DSCR корр.)</t>
  </si>
  <si>
    <t>Денежные средства, доступные для обслуживания долга - скорректированный (CFADS корр.)</t>
  </si>
  <si>
    <t>EBITDA корр.</t>
  </si>
  <si>
    <t>Рентабельность EBITDA корр.</t>
  </si>
  <si>
    <t>Debt/EBITDA корр.</t>
  </si>
  <si>
    <t>Net Debt/EBITDA корр.</t>
  </si>
  <si>
    <t>Долг с учетом забалансовых обязательств/EBITDA корр.</t>
  </si>
  <si>
    <t>ICR corr</t>
  </si>
  <si>
    <t>ICR corr (LTM)</t>
  </si>
  <si>
    <t>Специальный - инвестиционное кредитование и проектное финансирование</t>
  </si>
  <si>
    <t>Минимальный годичный DSCR</t>
  </si>
  <si>
    <t>Минимальный годичный ISCR</t>
  </si>
  <si>
    <t>Средневзвешенный DSCR</t>
  </si>
  <si>
    <t>Средневзвешенный ISCR</t>
  </si>
  <si>
    <t>Минимальный годичный DSCR (Консервативный прогноз)</t>
  </si>
  <si>
    <t>Простой срок окупаемости (PBP)</t>
  </si>
  <si>
    <t>Отношение средневзвешенного срока до погашения кредита к средневзвешенному сроку до завершения проекта</t>
  </si>
  <si>
    <t>Отношение средневзвешенного срока до погашения кредита к сроку кредита</t>
  </si>
  <si>
    <t>Отношение суммы кредита к стоимости проекта (LTC)</t>
  </si>
  <si>
    <t>Коэффициент текущей ликвидности (КТЛ)</t>
  </si>
  <si>
    <t>Чистая приведенная стоимость проекта (NPV)</t>
  </si>
  <si>
    <t>Внутренняя норма доходности проекта (IRR)</t>
  </si>
  <si>
    <t>Коэффициент покрытия долга денежными потоками, доступными для обслуживания долга, в период до погашения долга (LLCR)</t>
  </si>
  <si>
    <t>Минимальный коэффициент покрытия долга денежными потоками по проектам, доступными для обслуживания долга, в период до погашения долга (LLCR)</t>
  </si>
  <si>
    <t>Чистая операционная прибыль (Net Operating Income, NOI)</t>
  </si>
  <si>
    <t>Чистый денежный поток накопительным итогом (NCCF)</t>
  </si>
  <si>
    <t>Специальный - лизинговые компании</t>
  </si>
  <si>
    <t>Чистый процентный доход</t>
  </si>
  <si>
    <t>Чистые инвестиции в лизинг</t>
  </si>
  <si>
    <r>
      <t>Уровень просроченной задолженности по лизинговому портфелю (NPL 90</t>
    </r>
    <r>
      <rPr>
        <sz val="12"/>
        <color theme="1"/>
        <rFont val="Times New Roman"/>
        <family val="2"/>
        <charset val="204"/>
      </rPr>
      <t>)</t>
    </r>
  </si>
  <si>
    <t>Отношение рабочих активов к Чистому заемному капиталу</t>
  </si>
  <si>
    <t>Отношение процентных доходов к процентным расходам</t>
  </si>
  <si>
    <t>= (Итого процентные доходы + Итого финансовый доход от лизинга)/Итого процентные расходы, Отчет о финансовых результатах</t>
  </si>
  <si>
    <t>Отношение балансовой величины Капитала к Активам (валюте баланса)</t>
  </si>
  <si>
    <t xml:space="preserve">= «Итого капитал» (Раздел III, Бухгалтерский баланс)/«Активы итого» на конец расчетного периода, Бухгалтерский баланс </t>
  </si>
  <si>
    <t>Стоимость риска</t>
  </si>
  <si>
    <t>= отношение «Создание резерва под обесценение процентных активов» (LTM) к среднему значению балансовой стоимости «Чистые инвестиции в лизинг» за расчетный период</t>
  </si>
  <si>
    <t>Коэффициент покрытия долга лизинговыми платежами</t>
  </si>
  <si>
    <t>= отношение суммы лизинговых платежей (LTM 1) к сумме обслуживания заемных средств (LTM) (платежи за период, включая: процентные платежи, купоны, тело долга, номинал облигаций, погашение векселей и пр.)</t>
  </si>
  <si>
    <t>Общая стоимость</t>
  </si>
  <si>
    <t>Рыночная стоимость</t>
  </si>
  <si>
    <t>Фактические затраты</t>
  </si>
  <si>
    <t>Специальный - проекты жилищного строительства</t>
  </si>
  <si>
    <t>Продажи по объекту жилой недвижимости накопительным итогом в плановом периоде</t>
  </si>
  <si>
    <t>Дебиторская задолженность (Accounts receivable)</t>
  </si>
  <si>
    <t>Кредиторская задолженность (Accounts payable)</t>
  </si>
  <si>
    <t>Запасы (Inventories)</t>
  </si>
  <si>
    <t>Поступление средств от акционеров (Equity injection)</t>
  </si>
  <si>
    <t>Дивиденды (Dividends)</t>
  </si>
  <si>
    <t>Изменение оборотного капитала</t>
  </si>
  <si>
    <t>Изменение кредитов</t>
  </si>
  <si>
    <t>Изменение кредитов в Сбербанке</t>
  </si>
  <si>
    <t>Рентабельность активов</t>
  </si>
  <si>
    <t>= Отношение «Чистая прибыль» (LTM) к среднему значению «Активы итого» за расчетный период</t>
  </si>
  <si>
    <t>Специальный - компании операционного лизинга</t>
  </si>
  <si>
    <t>EBITDAR</t>
  </si>
  <si>
    <t>= EBITDA + Расходы по операционному лизингу, учитываемые в себестоимости</t>
  </si>
  <si>
    <t>Долг с учетом операционной аренды (DebtR)</t>
  </si>
  <si>
    <t>= Debt + Расходы по операционному лизингу, учитываемые в себестоимости за прошлый период * K, где K – отраслевой мультипликатор</t>
  </si>
  <si>
    <t>Чистый долг с учетом лизинга (Net DebtR)</t>
  </si>
  <si>
    <t>= Debt+Cash+Investm + Расходы по операционному лизингу, учитываемые в себестоимости за прошлый период * K, где K – отраслевой мультипликатор</t>
  </si>
  <si>
    <t>DebtR/EBITDAR</t>
  </si>
  <si>
    <t>Net DebtR/EBITDA</t>
  </si>
  <si>
    <t>Специальный - сделки мезонинного финансирования</t>
  </si>
  <si>
    <t>Сквозная EBITDA</t>
  </si>
  <si>
    <t>Сквозной долг</t>
  </si>
  <si>
    <t xml:space="preserve">Сквозной Долг/EBITDA </t>
  </si>
  <si>
    <t>Специальный - страховые компании</t>
  </si>
  <si>
    <t>Уровень покрытия страховых резервов собственным капиталом</t>
  </si>
  <si>
    <t>Уровень покрытия страховых резервов инвестиционными активами</t>
  </si>
  <si>
    <t>Превышение фактической маржи платежеспособности над нормативной</t>
  </si>
  <si>
    <t>Превышение фактической маржи платежеспособности над нормативной (абсолютное значение)</t>
  </si>
  <si>
    <t>Коэффициент убыточности (за исключением страховщиков, осуществляющих страхование жизни)</t>
  </si>
  <si>
    <t>Показатель относительной капитализации</t>
  </si>
  <si>
    <t>=строка 51 «Итого капитала» / строка 52 «Итого капитала и обязательств»</t>
  </si>
  <si>
    <t>Показатель рентабельности страховщика</t>
  </si>
  <si>
    <t>Коэффициент покрытия обслуживания долга превышением фактической маржи платежеспособности над нормативной</t>
  </si>
  <si>
    <t>Коэффициент покрытия обслуживания процентных платежей превышением фактической маржи платежеспособности над нормативной</t>
  </si>
  <si>
    <t>Специальный - контрактная деятельность</t>
  </si>
  <si>
    <t>Общая стоимость контрактов</t>
  </si>
  <si>
    <t>Себестоимость по контрактам</t>
  </si>
  <si>
    <t>Лизинг в составе себестоимости</t>
  </si>
  <si>
    <t>Операционный показатель</t>
  </si>
  <si>
    <t>Объем производства</t>
  </si>
  <si>
    <t>Объем добычи</t>
  </si>
  <si>
    <t>Объем продаж</t>
  </si>
  <si>
    <t>Объем переработки</t>
  </si>
  <si>
    <t>Специальный - компании нефтегазовой отрасли</t>
  </si>
  <si>
    <t>Пролив на станцию</t>
  </si>
  <si>
    <t>Налоговая нагрузка (без учета налога на прибыль)</t>
  </si>
  <si>
    <t>Специальный - компании отрасли телекоммуникаций</t>
  </si>
  <si>
    <t>Количество башен, шт.</t>
  </si>
  <si>
    <t>Tenancy, %</t>
  </si>
  <si>
    <t>Специальный - компании отрасли торговли, компании транспортной отрасли (аэропорты)</t>
  </si>
  <si>
    <t xml:space="preserve">Торговая площадь, кв.м, </t>
  </si>
  <si>
    <t>Специальный - компании отрасли торговли</t>
  </si>
  <si>
    <t>Выручка на магазин, тыс. руб.</t>
  </si>
  <si>
    <t>Специальный - компании отрасли недвижимости (торговые центры, склады, бизнес центры)</t>
  </si>
  <si>
    <t>Арендопригодная площадь, кв.м</t>
  </si>
  <si>
    <t>Специальный - компании отрасли недвижимости (торговые центры, склады, бизнес центры, гостиницы)</t>
  </si>
  <si>
    <t>Загрузка, %</t>
  </si>
  <si>
    <t>Специальный - компании отрасли недвижимости (гостиницы)</t>
  </si>
  <si>
    <t>Количество комнат, шт.</t>
  </si>
  <si>
    <t>Продаваемая площадь, кв.м</t>
  </si>
  <si>
    <t>Специальный - компании транспортной отрасли (ЖД операторы)</t>
  </si>
  <si>
    <t>Парк вагонов в управлении (собств., аренда, лизинг), шт.</t>
  </si>
  <si>
    <t>Погрузка, млн тонн.</t>
  </si>
  <si>
    <t>Грузооборот, млрд т-км.</t>
  </si>
  <si>
    <t>Специальный - компании транспортной отрасли (авиакомпании, аэропорты)</t>
  </si>
  <si>
    <t>Пассажиропоток, млн пасс.</t>
  </si>
  <si>
    <t>Специальный - компании транспортной отрасли (авиакомпании)</t>
  </si>
  <si>
    <t xml:space="preserve">Пассажирооборот, млрд пасс.-км </t>
  </si>
  <si>
    <t>Специальный - компании транспортной отрасли (аэропорты)</t>
  </si>
  <si>
    <t xml:space="preserve">Машиноместа, шт. </t>
  </si>
  <si>
    <t xml:space="preserve">Взлетно-посадочные операции, в шт. </t>
  </si>
  <si>
    <t>Специальный - компании транспортной отрасли (порты)</t>
  </si>
  <si>
    <t>Объем перевалки, млн тонн.</t>
  </si>
  <si>
    <t>Специальный - компании отрасли энергетики (генерация)</t>
  </si>
  <si>
    <t>Установленная электрическая мощность (МВТ, ГВт)</t>
  </si>
  <si>
    <t>Установленная тепловая мощность (Гкал/Ч)</t>
  </si>
  <si>
    <t>Выработка электрической энергии (тыс./млн Гкал)</t>
  </si>
  <si>
    <t>Отпуск тепловой энергии (тыс./млн. КВт*ч)</t>
  </si>
  <si>
    <t>Специальный - компании отрасли энергетики (сети)</t>
  </si>
  <si>
    <t>Объем передачи (МВт/ч)</t>
  </si>
  <si>
    <t>% потерь при передаче</t>
  </si>
  <si>
    <t>Специальный - компании отрасли инфраструктура</t>
  </si>
  <si>
    <t>Инвестиционный бюджет Проекта</t>
  </si>
  <si>
    <t>Бюджет Проекта (включая расходы на БГ, обслуживание кредитов и лизинга)</t>
  </si>
  <si>
    <t>ЧДП / рентабельность контракта</t>
  </si>
  <si>
    <t xml:space="preserve">Fcash </t>
  </si>
  <si>
    <t>Справочно: Fcash - объем предполагаемых поступлений выручки по заключенным Контрактам Принципала на последнюю отчетную дату с внешними контрагентами, в т.ч. НДС, а также по просроченным контрактам сроком до 6-ти месяцев, по которым имеются письма заказчиков об отсутствии претензий по срокам и качеству выполняемых работ, а также контракты, по которым заключены мировые соглашение и отсутствуют нарушения мирового соглашения.
В расчет FCash не включаются контракты, по которым приостановлены работы по тем или иным основаниям, а именно: имеются претензионные споры с заказчиками, заключены мировые соглашения и т.п. 
По контрактам, имеющим рамочный характер действия, по которым у исполнителя нет безусловного обязательства исполнения всего объема работ по контракту, в расчет предполагаемых поступлений включаются только объемы, зафиксированные подписанными спецификациями (заказ-нарядами или иными формами документов, обязывающими исполнителя безусловно выполнить работы / оказать услуги / поставить товар и т.п. внутри рамочного контракта).</t>
  </si>
  <si>
    <t>USD млн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</si>
</sst>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0.0%"/>
    <numFmt numFmtId="165" formatCode="#,##0.0"/>
    <numFmt numFmtId="166" formatCode="_-* #,##0.00\ _р_-;\-* #,##0.00\ _р_-;_-* &quot;-&quot;??\ _р_-;_-@_-"/>
    <numFmt numFmtId="167" formatCode="_-* #,##0.00_р_-;\-* #,##0.00_р_-;_-* &quot;-&quot;??_р_-;_-@_-"/>
    <numFmt numFmtId="168" formatCode="0.0\x"/>
    <numFmt numFmtId="169" formatCode="#,##0_);\(#,##0\);\-_);@_)"/>
    <numFmt numFmtId="170" formatCode="#,##0;\(#,##0\);\-"/>
    <numFmt numFmtId="171" formatCode="#,##0;\-#,##0;\-"/>
    <numFmt numFmtId="172" formatCode="#,##0.0;\-#,##0.0;\-"/>
    <numFmt numFmtId="173" formatCode="_-* #,##0&quot;р&quot;_-;\-* #,##0&quot;р&quot;_-;_-* &quot;-&quot;&quot;р&quot;_-;_-@_-"/>
    <numFmt numFmtId="174" formatCode="0.0"/>
    <numFmt numFmtId="175" formatCode="0.0000"/>
    <numFmt numFmtId="176" formatCode="0.000"/>
    <numFmt numFmtId="177" formatCode="_-* #,##0.00_р_._-;\-* #,##0.00_р_._-;_-* &quot;-&quot;??_р_._-;_-@_-"/>
    <numFmt numFmtId="178" formatCode="_-* #,##0.0_р_._-;\-* #,##0.0_р_._-;_-* &quot;-&quot;??_р_._-;_-@_-"/>
    <numFmt numFmtId="179" formatCode="_-* #,##0_р_._-;\-* #,##0_р_._-;_-* &quot;-&quot;??_р_._-;_-@_-"/>
    <numFmt numFmtId="180" formatCode="#,##0.00000"/>
    <numFmt numFmtId="181" formatCode="#,##0_ ;\-#,##0\ "/>
    <numFmt numFmtId="182" formatCode="0.0%;\(0.0%\);\-"/>
    <numFmt numFmtId="183" formatCode="0.0%;\-0.0%;&quot;-&quot;"/>
    <numFmt numFmtId="184" formatCode="0.0%_);\(0.0%\)"/>
    <numFmt numFmtId="185" formatCode="0.00000%"/>
    <numFmt numFmtId="186" formatCode="#,##0.000"/>
    <numFmt numFmtId="187" formatCode="d/m/yy;@"/>
    <numFmt numFmtId="188" formatCode="#,##0\ ;\(#,##0\);&quot; &quot;"/>
    <numFmt numFmtId="189" formatCode="_-* #,##0_р_-;\-* #,##0_р_-;_-* &quot;-&quot;??_р_-;_-@_-"/>
    <numFmt numFmtId="190" formatCode="#,##0.0\ ;\(#,##0.0\);&quot; &quot;"/>
  </numFmts>
  <fonts count="57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name val="Times New Roman"/>
      <family val="2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rgb="FFC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color theme="9" tint="-0.499984740745262"/>
      <name val="Times New Roman"/>
      <family val="1"/>
      <charset val="204"/>
    </font>
    <font>
      <sz val="9"/>
      <name val="Calibri Light"/>
      <family val="2"/>
      <charset val="204"/>
      <scheme val="major"/>
    </font>
    <font>
      <sz val="8"/>
      <color theme="0" tint="-0.499984740745262"/>
      <name val="Calibri Light"/>
      <family val="2"/>
      <charset val="204"/>
      <scheme val="major"/>
    </font>
    <font>
      <sz val="8"/>
      <name val="Calibri Light"/>
      <family val="2"/>
      <charset val="204"/>
      <scheme val="major"/>
    </font>
    <font>
      <sz val="9"/>
      <color theme="1"/>
      <name val="Calibri Light"/>
      <family val="2"/>
      <charset val="204"/>
      <scheme val="major"/>
    </font>
    <font>
      <i/>
      <sz val="8"/>
      <name val="Calibri Light"/>
      <family val="2"/>
      <charset val="204"/>
      <scheme val="major"/>
    </font>
    <font>
      <sz val="8"/>
      <color theme="1"/>
      <name val="Calibri Light"/>
      <family val="2"/>
      <charset val="204"/>
      <scheme val="major"/>
    </font>
    <font>
      <b/>
      <sz val="9"/>
      <color theme="1"/>
      <name val="Calibri Light"/>
      <family val="2"/>
      <charset val="204"/>
      <scheme val="major"/>
    </font>
    <font>
      <sz val="11"/>
      <color theme="1"/>
      <name val="Times New Roman"/>
      <family val="2"/>
      <charset val="204"/>
    </font>
    <font>
      <i/>
      <sz val="9"/>
      <name val="Calibri Light"/>
      <family val="2"/>
      <charset val="204"/>
      <scheme val="major"/>
    </font>
    <font>
      <i/>
      <sz val="9"/>
      <color theme="1"/>
      <name val="Calibri Light"/>
      <family val="2"/>
      <charset val="204"/>
      <scheme val="major"/>
    </font>
    <font>
      <b/>
      <sz val="8"/>
      <color theme="0"/>
      <name val="Calibri Light"/>
      <family val="2"/>
      <charset val="204"/>
      <scheme val="major"/>
    </font>
    <font>
      <b/>
      <sz val="8"/>
      <color rgb="FF339966"/>
      <name val="Calibri Light"/>
      <family val="2"/>
      <charset val="204"/>
      <scheme val="major"/>
    </font>
    <font>
      <b/>
      <sz val="8"/>
      <name val="Calibri Light"/>
      <family val="2"/>
      <charset val="204"/>
      <scheme val="major"/>
    </font>
    <font>
      <b/>
      <sz val="8"/>
      <color theme="0" tint="-0.499984740745262"/>
      <name val="Calibri Light"/>
      <family val="2"/>
      <charset val="204"/>
      <scheme val="major"/>
    </font>
    <font>
      <sz val="12"/>
      <name val="Times New Roman"/>
      <family val="1"/>
      <charset val="204"/>
    </font>
    <font>
      <sz val="12"/>
      <color theme="9" tint="-0.499984740745262"/>
      <name val="Times New Roman"/>
      <family val="2"/>
      <charset val="204"/>
    </font>
    <font>
      <sz val="12"/>
      <color rgb="FFC00000"/>
      <name val="Times New Roman"/>
      <family val="2"/>
      <charset val="204"/>
    </font>
    <font>
      <sz val="12"/>
      <color theme="0" tint="-0.499984740745262"/>
      <name val="Times New Roman"/>
      <family val="1"/>
      <charset val="204"/>
    </font>
    <font>
      <sz val="12"/>
      <color theme="9" tint="-0.499984740745262"/>
      <name val="Times New Roman"/>
      <family val="1"/>
      <charset val="204"/>
    </font>
    <font>
      <b/>
      <sz val="10"/>
      <name val="Arial"/>
      <family val="2"/>
      <charset val="204"/>
    </font>
    <font>
      <sz val="10"/>
      <name val="Arial"/>
      <family val="2"/>
    </font>
    <font>
      <sz val="11"/>
      <name val="Times New Roman"/>
      <family val="1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color theme="9" tint="-0.499984740745262"/>
      <name val="Arial"/>
      <family val="2"/>
      <charset val="204"/>
    </font>
    <font>
      <sz val="12"/>
      <color rgb="FF0000FF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color theme="9" tint="-0.499984740745262"/>
      <name val="Calibri Light"/>
      <family val="2"/>
      <charset val="204"/>
      <scheme val="major"/>
    </font>
    <font>
      <b/>
      <sz val="12"/>
      <color rgb="FF00863D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color rgb="FFC00000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sz val="10"/>
      <color theme="6" tint="-0.499984740745262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6" tint="-0.499984740745262"/>
      <name val="Arial"/>
      <family val="2"/>
      <charset val="204"/>
    </font>
    <font>
      <sz val="10"/>
      <color theme="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863D"/>
        <bgColor indexed="64"/>
      </patternFill>
    </fill>
    <fill>
      <patternFill patternType="darkUp">
        <fgColor theme="0"/>
        <bgColor theme="0" tint="-0.499984740745262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D661"/>
        <bgColor indexed="64"/>
      </patternFill>
    </fill>
    <fill>
      <patternFill patternType="solid">
        <fgColor rgb="FFCDFFE4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E5FF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0" fillId="0" borderId="0"/>
    <xf numFmtId="169" fontId="9" fillId="0" borderId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43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8" fillId="0" borderId="0"/>
    <xf numFmtId="0" fontId="47" fillId="0" borderId="0"/>
    <xf numFmtId="0" fontId="32" fillId="0" borderId="0">
      <alignment vertical="justify"/>
    </xf>
    <xf numFmtId="0" fontId="8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</cellStyleXfs>
  <cellXfs count="401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vertical="center"/>
    </xf>
    <xf numFmtId="3" fontId="0" fillId="3" borderId="1" xfId="0" applyNumberForma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3" fontId="2" fillId="0" borderId="3" xfId="0" applyNumberFormat="1" applyFont="1" applyBorder="1" applyAlignment="1">
      <alignment horizontal="right"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6" fillId="0" borderId="1" xfId="1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164" fontId="5" fillId="0" borderId="0" xfId="1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6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15" fillId="0" borderId="0" xfId="2" applyFont="1"/>
    <xf numFmtId="169" fontId="16" fillId="0" borderId="0" xfId="7" applyFont="1" applyFill="1" applyBorder="1" applyAlignment="1" applyProtection="1">
      <alignment horizontal="left" vertical="center" indent="3"/>
    </xf>
    <xf numFmtId="169" fontId="14" fillId="0" borderId="0" xfId="7" applyFont="1" applyFill="1" applyBorder="1" applyAlignment="1" applyProtection="1">
      <alignment horizontal="left" vertical="center" indent="2"/>
    </xf>
    <xf numFmtId="169" fontId="16" fillId="0" borderId="0" xfId="7" applyFont="1" applyFill="1" applyBorder="1" applyAlignment="1" applyProtection="1">
      <alignment horizontal="center" vertical="center"/>
    </xf>
    <xf numFmtId="169" fontId="14" fillId="0" borderId="0" xfId="7" applyFont="1" applyFill="1" applyBorder="1" applyAlignment="1" applyProtection="1">
      <alignment horizontal="center" vertical="center"/>
    </xf>
    <xf numFmtId="169" fontId="14" fillId="0" borderId="0" xfId="7" applyFont="1" applyFill="1" applyBorder="1" applyAlignment="1">
      <alignment horizontal="left" vertical="center" wrapText="1" indent="2"/>
    </xf>
    <xf numFmtId="169" fontId="14" fillId="0" borderId="0" xfId="7" applyFont="1" applyFill="1" applyBorder="1" applyAlignment="1">
      <alignment horizontal="center" vertical="center" wrapText="1"/>
    </xf>
    <xf numFmtId="164" fontId="16" fillId="0" borderId="0" xfId="7" applyNumberFormat="1" applyFont="1" applyFill="1" applyBorder="1" applyAlignment="1" applyProtection="1">
      <alignment horizontal="right" vertical="center"/>
    </xf>
    <xf numFmtId="1" fontId="15" fillId="0" borderId="0" xfId="2" applyNumberFormat="1" applyFont="1"/>
    <xf numFmtId="0" fontId="18" fillId="0" borderId="0" xfId="2" applyFont="1" applyAlignment="1">
      <alignment vertical="center"/>
    </xf>
    <xf numFmtId="0" fontId="18" fillId="11" borderId="0" xfId="2" applyFont="1" applyFill="1" applyAlignment="1">
      <alignment vertical="center"/>
    </xf>
    <xf numFmtId="0" fontId="12" fillId="0" borderId="0" xfId="2" applyFont="1" applyAlignment="1">
      <alignment vertical="center"/>
    </xf>
    <xf numFmtId="0" fontId="20" fillId="0" borderId="0" xfId="2" applyFont="1"/>
    <xf numFmtId="0" fontId="21" fillId="0" borderId="0" xfId="2" applyFont="1"/>
    <xf numFmtId="0" fontId="18" fillId="0" borderId="0" xfId="2" applyFont="1"/>
    <xf numFmtId="0" fontId="12" fillId="0" borderId="0" xfId="2" applyFont="1"/>
    <xf numFmtId="0" fontId="22" fillId="11" borderId="0" xfId="2" applyFont="1" applyFill="1" applyAlignment="1">
      <alignment vertical="center"/>
    </xf>
    <xf numFmtId="0" fontId="22" fillId="11" borderId="0" xfId="2" applyFont="1" applyFill="1" applyAlignment="1">
      <alignment horizontal="center" vertical="center"/>
    </xf>
    <xf numFmtId="0" fontId="22" fillId="11" borderId="0" xfId="2" applyFont="1" applyFill="1" applyAlignment="1">
      <alignment horizontal="right" vertical="center"/>
    </xf>
    <xf numFmtId="169" fontId="23" fillId="7" borderId="4" xfId="7" applyFont="1" applyFill="1" applyBorder="1" applyAlignment="1" applyProtection="1">
      <alignment horizontal="left" vertical="center" indent="1"/>
    </xf>
    <xf numFmtId="169" fontId="23" fillId="7" borderId="4" xfId="7" applyFont="1" applyFill="1" applyBorder="1" applyAlignment="1" applyProtection="1">
      <alignment horizontal="center" vertical="center"/>
    </xf>
    <xf numFmtId="169" fontId="24" fillId="7" borderId="4" xfId="7" applyFont="1" applyFill="1" applyBorder="1" applyAlignment="1" applyProtection="1">
      <alignment horizontal="center"/>
    </xf>
    <xf numFmtId="169" fontId="14" fillId="7" borderId="4" xfId="7" applyFont="1" applyFill="1" applyBorder="1" applyAlignment="1" applyProtection="1">
      <alignment horizontal="center"/>
    </xf>
    <xf numFmtId="169" fontId="25" fillId="7" borderId="4" xfId="7" applyFont="1" applyFill="1" applyBorder="1" applyAlignment="1" applyProtection="1">
      <alignment horizontal="center"/>
    </xf>
    <xf numFmtId="169" fontId="13" fillId="7" borderId="4" xfId="7" applyFont="1" applyFill="1" applyBorder="1" applyAlignment="1" applyProtection="1">
      <alignment horizontal="center"/>
    </xf>
    <xf numFmtId="169" fontId="24" fillId="0" borderId="5" xfId="7" applyFont="1" applyFill="1" applyBorder="1" applyAlignment="1" applyProtection="1">
      <alignment horizontal="left" vertical="center" indent="1"/>
    </xf>
    <xf numFmtId="169" fontId="24" fillId="0" borderId="5" xfId="7" applyFont="1" applyFill="1" applyBorder="1" applyAlignment="1" applyProtection="1">
      <alignment horizontal="center" vertical="center"/>
    </xf>
    <xf numFmtId="3" fontId="24" fillId="0" borderId="5" xfId="7" applyNumberFormat="1" applyFont="1" applyFill="1" applyBorder="1" applyAlignment="1" applyProtection="1">
      <alignment horizontal="right" vertical="center"/>
    </xf>
    <xf numFmtId="169" fontId="17" fillId="0" borderId="0" xfId="7" applyFont="1" applyFill="1" applyBorder="1" applyAlignment="1" applyProtection="1">
      <alignment horizontal="left" indent="2"/>
    </xf>
    <xf numFmtId="169" fontId="17" fillId="0" borderId="0" xfId="7" applyFont="1" applyFill="1" applyBorder="1" applyAlignment="1" applyProtection="1">
      <alignment horizontal="center" vertical="center"/>
    </xf>
    <xf numFmtId="170" fontId="14" fillId="0" borderId="0" xfId="7" applyNumberFormat="1" applyFont="1" applyFill="1" applyBorder="1" applyAlignment="1" applyProtection="1">
      <alignment horizontal="right" vertical="center"/>
    </xf>
    <xf numFmtId="170" fontId="24" fillId="0" borderId="5" xfId="7" applyNumberFormat="1" applyFont="1" applyFill="1" applyBorder="1" applyAlignment="1" applyProtection="1">
      <alignment horizontal="right" vertical="center"/>
    </xf>
    <xf numFmtId="169" fontId="24" fillId="0" borderId="0" xfId="7" applyFont="1" applyFill="1" applyBorder="1" applyAlignment="1" applyProtection="1">
      <alignment horizontal="center" vertical="center"/>
    </xf>
    <xf numFmtId="170" fontId="24" fillId="0" borderId="0" xfId="7" applyNumberFormat="1" applyFont="1" applyFill="1" applyBorder="1" applyAlignment="1" applyProtection="1">
      <alignment horizontal="right" vertical="center"/>
    </xf>
    <xf numFmtId="169" fontId="14" fillId="0" borderId="6" xfId="7" applyFont="1" applyFill="1" applyBorder="1" applyAlignment="1" applyProtection="1">
      <alignment horizontal="left" vertical="center" indent="1"/>
    </xf>
    <xf numFmtId="169" fontId="14" fillId="0" borderId="6" xfId="7" applyFont="1" applyFill="1" applyBorder="1" applyAlignment="1" applyProtection="1">
      <alignment horizontal="center" vertical="center"/>
    </xf>
    <xf numFmtId="170" fontId="14" fillId="0" borderId="6" xfId="7" applyNumberFormat="1" applyFont="1" applyFill="1" applyBorder="1" applyAlignment="1" applyProtection="1">
      <alignment horizontal="right" vertical="center"/>
    </xf>
    <xf numFmtId="169" fontId="24" fillId="0" borderId="0" xfId="7" applyFont="1" applyFill="1" applyBorder="1" applyAlignment="1" applyProtection="1">
      <alignment horizontal="left" vertical="center" indent="1"/>
    </xf>
    <xf numFmtId="169" fontId="24" fillId="0" borderId="7" xfId="7" applyFont="1" applyFill="1" applyBorder="1" applyAlignment="1" applyProtection="1">
      <alignment horizontal="left" vertical="center" indent="1"/>
    </xf>
    <xf numFmtId="169" fontId="24" fillId="0" borderId="7" xfId="7" applyFont="1" applyFill="1" applyBorder="1" applyAlignment="1" applyProtection="1">
      <alignment horizontal="center" vertical="center"/>
    </xf>
    <xf numFmtId="170" fontId="24" fillId="0" borderId="7" xfId="7" applyNumberFormat="1" applyFont="1" applyFill="1" applyBorder="1" applyAlignment="1" applyProtection="1">
      <alignment horizontal="right" vertical="center"/>
    </xf>
    <xf numFmtId="169" fontId="14" fillId="0" borderId="0" xfId="7" applyFont="1" applyFill="1" applyBorder="1" applyAlignment="1" applyProtection="1">
      <alignment horizontal="left" vertical="center" indent="1"/>
    </xf>
    <xf numFmtId="168" fontId="14" fillId="0" borderId="0" xfId="7" applyNumberFormat="1" applyFont="1" applyFill="1" applyBorder="1" applyAlignment="1" applyProtection="1">
      <alignment horizontal="right" vertical="center"/>
    </xf>
    <xf numFmtId="3" fontId="27" fillId="12" borderId="1" xfId="0" applyNumberFormat="1" applyFont="1" applyFill="1" applyBorder="1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171" fontId="14" fillId="0" borderId="0" xfId="7" applyNumberFormat="1" applyFont="1" applyFill="1" applyBorder="1" applyAlignment="1" applyProtection="1">
      <alignment horizontal="right" vertical="center"/>
    </xf>
    <xf numFmtId="172" fontId="14" fillId="0" borderId="0" xfId="7" applyNumberFormat="1" applyFont="1" applyFill="1" applyBorder="1" applyAlignment="1" applyProtection="1">
      <alignment horizontal="right" vertical="center"/>
    </xf>
    <xf numFmtId="0" fontId="2" fillId="0" borderId="0" xfId="0" applyFont="1"/>
    <xf numFmtId="0" fontId="3" fillId="13" borderId="0" xfId="0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65" fontId="28" fillId="0" borderId="0" xfId="0" applyNumberFormat="1" applyFont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2" fillId="0" borderId="1" xfId="1" applyNumberFormat="1" applyFont="1" applyFill="1" applyBorder="1" applyAlignment="1">
      <alignment horizontal="right" vertical="center"/>
    </xf>
    <xf numFmtId="3" fontId="30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0" fillId="5" borderId="1" xfId="1" applyNumberFormat="1" applyFont="1" applyFill="1" applyBorder="1" applyAlignment="1">
      <alignment horizontal="center" vertical="center"/>
    </xf>
    <xf numFmtId="164" fontId="0" fillId="7" borderId="1" xfId="1" applyNumberFormat="1" applyFont="1" applyFill="1" applyBorder="1" applyAlignment="1">
      <alignment horizontal="right" vertical="center"/>
    </xf>
    <xf numFmtId="3" fontId="0" fillId="15" borderId="1" xfId="0" applyNumberFormat="1" applyFill="1" applyBorder="1" applyAlignment="1">
      <alignment horizontal="right" vertical="center"/>
    </xf>
    <xf numFmtId="3" fontId="30" fillId="9" borderId="2" xfId="1" applyNumberFormat="1" applyFont="1" applyFill="1" applyBorder="1" applyAlignment="1">
      <alignment horizontal="center" vertical="center"/>
    </xf>
    <xf numFmtId="0" fontId="0" fillId="14" borderId="0" xfId="0" applyFill="1" applyAlignment="1">
      <alignment vertical="center"/>
    </xf>
    <xf numFmtId="3" fontId="0" fillId="16" borderId="1" xfId="0" applyNumberFormat="1" applyFill="1" applyBorder="1" applyAlignment="1">
      <alignment horizontal="right" vertical="center"/>
    </xf>
    <xf numFmtId="0" fontId="31" fillId="0" borderId="0" xfId="2" applyFont="1" applyAlignment="1">
      <alignment horizontal="center" vertical="top"/>
    </xf>
    <xf numFmtId="0" fontId="31" fillId="0" borderId="0" xfId="2" applyFont="1" applyAlignment="1">
      <alignment horizontal="center" vertical="center"/>
    </xf>
    <xf numFmtId="0" fontId="31" fillId="0" borderId="0" xfId="2" applyFont="1" applyAlignment="1">
      <alignment horizontal="left" vertical="center"/>
    </xf>
    <xf numFmtId="0" fontId="31" fillId="0" borderId="0" xfId="2" applyFont="1" applyAlignment="1">
      <alignment horizontal="center"/>
    </xf>
    <xf numFmtId="0" fontId="31" fillId="0" borderId="0" xfId="2" applyFont="1" applyAlignment="1">
      <alignment horizontal="left"/>
    </xf>
    <xf numFmtId="164" fontId="9" fillId="0" borderId="0" xfId="2" applyNumberFormat="1" applyFont="1"/>
    <xf numFmtId="164" fontId="9" fillId="0" borderId="0" xfId="2" applyNumberFormat="1" applyFont="1" applyAlignment="1">
      <alignment horizontal="right"/>
    </xf>
    <xf numFmtId="0" fontId="9" fillId="0" borderId="0" xfId="2" applyFont="1"/>
    <xf numFmtId="10" fontId="9" fillId="0" borderId="0" xfId="2" applyNumberFormat="1" applyFont="1"/>
    <xf numFmtId="2" fontId="9" fillId="0" borderId="0" xfId="2" applyNumberFormat="1" applyFont="1"/>
    <xf numFmtId="174" fontId="9" fillId="0" borderId="0" xfId="2" applyNumberFormat="1" applyFont="1"/>
    <xf numFmtId="175" fontId="9" fillId="0" borderId="0" xfId="2" applyNumberFormat="1" applyFont="1"/>
    <xf numFmtId="10" fontId="9" fillId="0" borderId="0" xfId="3" applyNumberFormat="1" applyFont="1" applyFill="1" applyBorder="1" applyAlignment="1"/>
    <xf numFmtId="178" fontId="9" fillId="0" borderId="0" xfId="2" applyNumberFormat="1" applyFont="1"/>
    <xf numFmtId="177" fontId="9" fillId="0" borderId="0" xfId="2" applyNumberFormat="1" applyFont="1"/>
    <xf numFmtId="1" fontId="9" fillId="0" borderId="0" xfId="2" applyNumberFormat="1" applyFont="1" applyAlignment="1">
      <alignment horizontal="right" vertical="center"/>
    </xf>
    <xf numFmtId="1" fontId="9" fillId="0" borderId="0" xfId="2" applyNumberFormat="1" applyFont="1" applyAlignment="1">
      <alignment horizontal="right"/>
    </xf>
    <xf numFmtId="1" fontId="9" fillId="0" borderId="0" xfId="2" applyNumberFormat="1" applyFont="1"/>
    <xf numFmtId="179" fontId="9" fillId="0" borderId="0" xfId="2" applyNumberFormat="1" applyFont="1"/>
    <xf numFmtId="174" fontId="9" fillId="0" borderId="0" xfId="2" applyNumberFormat="1" applyFont="1" applyAlignment="1">
      <alignment horizontal="right"/>
    </xf>
    <xf numFmtId="180" fontId="9" fillId="0" borderId="0" xfId="2" applyNumberFormat="1" applyFont="1"/>
    <xf numFmtId="164" fontId="9" fillId="0" borderId="0" xfId="3" applyNumberFormat="1" applyFont="1" applyFill="1" applyBorder="1" applyAlignment="1"/>
    <xf numFmtId="9" fontId="9" fillId="0" borderId="0" xfId="3" applyFont="1" applyFill="1" applyBorder="1" applyAlignment="1"/>
    <xf numFmtId="174" fontId="32" fillId="0" borderId="0" xfId="2" applyNumberFormat="1" applyFont="1"/>
    <xf numFmtId="1" fontId="32" fillId="0" borderId="0" xfId="2" applyNumberFormat="1" applyFont="1"/>
    <xf numFmtId="3" fontId="32" fillId="0" borderId="0" xfId="2" applyNumberFormat="1" applyFont="1"/>
    <xf numFmtId="3" fontId="9" fillId="0" borderId="0" xfId="2" applyNumberFormat="1" applyFont="1"/>
    <xf numFmtId="3" fontId="9" fillId="0" borderId="0" xfId="2" applyNumberFormat="1" applyFont="1" applyAlignment="1">
      <alignment horizontal="right"/>
    </xf>
    <xf numFmtId="174" fontId="9" fillId="0" borderId="0" xfId="3" applyNumberFormat="1" applyFont="1" applyFill="1" applyBorder="1" applyAlignment="1"/>
    <xf numFmtId="9" fontId="9" fillId="0" borderId="0" xfId="2" applyNumberFormat="1" applyFont="1"/>
    <xf numFmtId="3" fontId="33" fillId="0" borderId="0" xfId="6" applyNumberFormat="1" applyFont="1"/>
    <xf numFmtId="165" fontId="9" fillId="0" borderId="0" xfId="2" applyNumberFormat="1" applyFont="1"/>
    <xf numFmtId="184" fontId="9" fillId="0" borderId="0" xfId="2" applyNumberFormat="1" applyFont="1"/>
    <xf numFmtId="185" fontId="9" fillId="0" borderId="0" xfId="3" applyNumberFormat="1" applyFont="1" applyFill="1" applyBorder="1" applyAlignment="1"/>
    <xf numFmtId="10" fontId="9" fillId="0" borderId="8" xfId="2" applyNumberFormat="1" applyFont="1" applyBorder="1"/>
    <xf numFmtId="10" fontId="9" fillId="0" borderId="9" xfId="2" applyNumberFormat="1" applyFont="1" applyBorder="1"/>
    <xf numFmtId="164" fontId="9" fillId="0" borderId="8" xfId="2" applyNumberFormat="1" applyFont="1" applyBorder="1"/>
    <xf numFmtId="164" fontId="9" fillId="0" borderId="9" xfId="2" applyNumberFormat="1" applyFont="1" applyBorder="1"/>
    <xf numFmtId="4" fontId="9" fillId="0" borderId="0" xfId="2" applyNumberFormat="1" applyFont="1"/>
    <xf numFmtId="0" fontId="31" fillId="0" borderId="0" xfId="2" applyFont="1" applyAlignment="1">
      <alignment horizontal="left" vertical="top"/>
    </xf>
    <xf numFmtId="0" fontId="9" fillId="0" borderId="0" xfId="2" applyFont="1" applyAlignment="1">
      <alignment vertical="top"/>
    </xf>
    <xf numFmtId="167" fontId="9" fillId="0" borderId="0" xfId="2" applyNumberFormat="1" applyFont="1"/>
    <xf numFmtId="2" fontId="9" fillId="0" borderId="0" xfId="2" applyNumberFormat="1" applyFont="1" applyAlignment="1">
      <alignment horizontal="right"/>
    </xf>
    <xf numFmtId="165" fontId="9" fillId="0" borderId="0" xfId="2" applyNumberFormat="1" applyFont="1" applyAlignment="1">
      <alignment horizontal="right"/>
    </xf>
    <xf numFmtId="4" fontId="9" fillId="0" borderId="0" xfId="2" applyNumberFormat="1" applyFont="1" applyAlignment="1">
      <alignment horizontal="right"/>
    </xf>
    <xf numFmtId="2" fontId="9" fillId="0" borderId="0" xfId="3" applyNumberFormat="1" applyFont="1" applyFill="1" applyBorder="1" applyAlignment="1"/>
    <xf numFmtId="10" fontId="9" fillId="0" borderId="0" xfId="2" applyNumberFormat="1" applyFont="1" applyAlignment="1">
      <alignment horizontal="right"/>
    </xf>
    <xf numFmtId="176" fontId="9" fillId="0" borderId="0" xfId="3" applyNumberFormat="1" applyFont="1" applyFill="1" applyBorder="1" applyAlignment="1"/>
    <xf numFmtId="1" fontId="36" fillId="0" borderId="0" xfId="2" applyNumberFormat="1" applyFont="1"/>
    <xf numFmtId="181" fontId="9" fillId="0" borderId="0" xfId="2" applyNumberFormat="1" applyFont="1"/>
    <xf numFmtId="4" fontId="9" fillId="0" borderId="0" xfId="4" applyNumberFormat="1" applyFont="1" applyFill="1" applyBorder="1" applyAlignment="1">
      <alignment horizontal="right"/>
    </xf>
    <xf numFmtId="1" fontId="9" fillId="0" borderId="0" xfId="5" applyNumberFormat="1" applyFont="1" applyFill="1" applyBorder="1" applyAlignment="1">
      <alignment horizontal="right"/>
    </xf>
    <xf numFmtId="1" fontId="9" fillId="0" borderId="0" xfId="3" applyNumberFormat="1" applyFont="1" applyFill="1" applyBorder="1" applyAlignment="1"/>
    <xf numFmtId="182" fontId="9" fillId="0" borderId="0" xfId="2" applyNumberFormat="1" applyFont="1"/>
    <xf numFmtId="183" fontId="9" fillId="0" borderId="0" xfId="2" applyNumberFormat="1" applyFont="1"/>
    <xf numFmtId="3" fontId="33" fillId="0" borderId="0" xfId="2" applyNumberFormat="1" applyFont="1"/>
    <xf numFmtId="164" fontId="37" fillId="0" borderId="0" xfId="2" applyNumberFormat="1" applyFont="1"/>
    <xf numFmtId="176" fontId="9" fillId="0" borderId="0" xfId="2" applyNumberFormat="1" applyFont="1"/>
    <xf numFmtId="1" fontId="9" fillId="0" borderId="0" xfId="9" applyNumberFormat="1" applyFont="1" applyFill="1" applyBorder="1" applyAlignment="1">
      <alignment horizontal="right"/>
    </xf>
    <xf numFmtId="0" fontId="36" fillId="0" borderId="0" xfId="2" applyFont="1"/>
    <xf numFmtId="174" fontId="36" fillId="0" borderId="0" xfId="2" applyNumberFormat="1" applyFont="1"/>
    <xf numFmtId="164" fontId="4" fillId="0" borderId="0" xfId="3" applyNumberFormat="1" applyFont="1" applyFill="1" applyBorder="1"/>
    <xf numFmtId="9" fontId="33" fillId="0" borderId="0" xfId="3" applyFont="1" applyFill="1" applyBorder="1"/>
    <xf numFmtId="0" fontId="9" fillId="0" borderId="0" xfId="2" applyFont="1" applyAlignment="1">
      <alignment horizontal="left" vertical="top" wrapText="1"/>
    </xf>
    <xf numFmtId="0" fontId="9" fillId="0" borderId="0" xfId="2" applyFont="1" applyAlignment="1">
      <alignment vertical="top" wrapText="1"/>
    </xf>
    <xf numFmtId="0" fontId="9" fillId="0" borderId="0" xfId="2" applyFont="1" applyAlignment="1">
      <alignment horizontal="left" wrapText="1"/>
    </xf>
    <xf numFmtId="0" fontId="9" fillId="0" borderId="0" xfId="2" applyFont="1" applyAlignment="1">
      <alignment horizontal="left"/>
    </xf>
    <xf numFmtId="0" fontId="9" fillId="0" borderId="0" xfId="2" quotePrefix="1" applyFont="1" applyAlignment="1">
      <alignment horizontal="left"/>
    </xf>
    <xf numFmtId="0" fontId="9" fillId="0" borderId="0" xfId="2" applyFont="1" applyAlignment="1">
      <alignment horizontal="left" vertical="top"/>
    </xf>
    <xf numFmtId="0" fontId="31" fillId="0" borderId="0" xfId="2" applyFont="1" applyAlignment="1">
      <alignment horizontal="left" vertical="top" wrapText="1"/>
    </xf>
    <xf numFmtId="14" fontId="9" fillId="0" borderId="0" xfId="2" applyNumberFormat="1" applyFont="1" applyAlignment="1">
      <alignment horizontal="left" wrapText="1"/>
    </xf>
    <xf numFmtId="14" fontId="9" fillId="0" borderId="0" xfId="2" applyNumberFormat="1" applyFont="1" applyAlignment="1">
      <alignment horizontal="left"/>
    </xf>
    <xf numFmtId="14" fontId="9" fillId="0" borderId="0" xfId="2" applyNumberFormat="1" applyFont="1"/>
    <xf numFmtId="0" fontId="9" fillId="0" borderId="0" xfId="2" quotePrefix="1" applyFont="1"/>
    <xf numFmtId="0" fontId="31" fillId="0" borderId="0" xfId="2" applyFont="1"/>
    <xf numFmtId="9" fontId="31" fillId="0" borderId="0" xfId="3" applyFont="1" applyFill="1" applyBorder="1" applyAlignment="1">
      <alignment horizontal="left" vertical="top"/>
    </xf>
    <xf numFmtId="9" fontId="9" fillId="0" borderId="0" xfId="3" applyFont="1" applyFill="1" applyBorder="1" applyAlignment="1">
      <alignment vertical="top"/>
    </xf>
    <xf numFmtId="9" fontId="9" fillId="0" borderId="0" xfId="3" applyFont="1" applyFill="1" applyBorder="1" applyAlignment="1">
      <alignment horizontal="left" vertical="top"/>
    </xf>
    <xf numFmtId="9" fontId="9" fillId="0" borderId="0" xfId="3" applyFont="1" applyFill="1" applyBorder="1" applyAlignment="1">
      <alignment horizontal="left"/>
    </xf>
    <xf numFmtId="167" fontId="4" fillId="0" borderId="0" xfId="5" applyFont="1" applyFill="1"/>
    <xf numFmtId="1" fontId="36" fillId="0" borderId="0" xfId="2" applyNumberFormat="1" applyFont="1" applyAlignment="1">
      <alignment horizontal="right"/>
    </xf>
    <xf numFmtId="3" fontId="36" fillId="0" borderId="0" xfId="2" applyNumberFormat="1" applyFont="1"/>
    <xf numFmtId="9" fontId="4" fillId="0" borderId="0" xfId="3" applyFont="1" applyFill="1" applyBorder="1"/>
    <xf numFmtId="164" fontId="36" fillId="0" borderId="0" xfId="2" applyNumberFormat="1" applyFont="1"/>
    <xf numFmtId="3" fontId="38" fillId="12" borderId="0" xfId="2" applyNumberFormat="1" applyFont="1" applyFill="1"/>
    <xf numFmtId="3" fontId="38" fillId="12" borderId="0" xfId="2" applyNumberFormat="1" applyFont="1" applyFill="1" applyAlignment="1">
      <alignment horizontal="right"/>
    </xf>
    <xf numFmtId="174" fontId="38" fillId="12" borderId="0" xfId="2" applyNumberFormat="1" applyFont="1" applyFill="1"/>
    <xf numFmtId="1" fontId="38" fillId="12" borderId="0" xfId="2" applyNumberFormat="1" applyFont="1" applyFill="1"/>
    <xf numFmtId="164" fontId="0" fillId="0" borderId="1" xfId="1" applyNumberFormat="1" applyFont="1" applyFill="1" applyBorder="1" applyAlignment="1">
      <alignment horizontal="right" vertical="center"/>
    </xf>
    <xf numFmtId="164" fontId="0" fillId="17" borderId="1" xfId="1" applyNumberFormat="1" applyFont="1" applyFill="1" applyBorder="1" applyAlignment="1">
      <alignment horizontal="right" vertical="center"/>
    </xf>
    <xf numFmtId="3" fontId="38" fillId="18" borderId="0" xfId="2" applyNumberFormat="1" applyFont="1" applyFill="1"/>
    <xf numFmtId="3" fontId="27" fillId="18" borderId="1" xfId="0" applyNumberFormat="1" applyFont="1" applyFill="1" applyBorder="1" applyAlignment="1">
      <alignment horizontal="right" vertical="center"/>
    </xf>
    <xf numFmtId="164" fontId="27" fillId="12" borderId="1" xfId="1" applyNumberFormat="1" applyFont="1" applyFill="1" applyBorder="1" applyAlignment="1">
      <alignment horizontal="right" vertical="center"/>
    </xf>
    <xf numFmtId="164" fontId="27" fillId="18" borderId="1" xfId="1" applyNumberFormat="1" applyFont="1" applyFill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3" fontId="6" fillId="15" borderId="1" xfId="0" applyNumberFormat="1" applyFont="1" applyFill="1" applyBorder="1" applyAlignment="1">
      <alignment horizontal="right" vertical="center"/>
    </xf>
    <xf numFmtId="3" fontId="6" fillId="16" borderId="1" xfId="0" applyNumberFormat="1" applyFont="1" applyFill="1" applyBorder="1" applyAlignment="1">
      <alignment horizontal="right" vertical="center"/>
    </xf>
    <xf numFmtId="164" fontId="6" fillId="7" borderId="1" xfId="1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2"/>
    </xf>
    <xf numFmtId="4" fontId="2" fillId="0" borderId="0" xfId="0" applyNumberFormat="1" applyFont="1" applyAlignment="1">
      <alignment horizontal="right" vertical="center"/>
    </xf>
    <xf numFmtId="0" fontId="3" fillId="13" borderId="0" xfId="0" applyFont="1" applyFill="1" applyAlignment="1">
      <alignment vertical="center"/>
    </xf>
    <xf numFmtId="0" fontId="3" fillId="13" borderId="0" xfId="0" applyFont="1" applyFill="1" applyAlignment="1">
      <alignment horizontal="center" vertical="center"/>
    </xf>
    <xf numFmtId="3" fontId="3" fillId="13" borderId="0" xfId="0" applyNumberFormat="1" applyFont="1" applyFill="1" applyAlignment="1">
      <alignment vertical="center"/>
    </xf>
    <xf numFmtId="16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5" fontId="3" fillId="8" borderId="0" xfId="0" applyNumberFormat="1" applyFont="1" applyFill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86" fontId="6" fillId="3" borderId="1" xfId="0" applyNumberFormat="1" applyFont="1" applyFill="1" applyBorder="1" applyAlignment="1">
      <alignment horizontal="right" vertical="center"/>
    </xf>
    <xf numFmtId="3" fontId="39" fillId="0" borderId="1" xfId="0" applyNumberFormat="1" applyFont="1" applyBorder="1" applyAlignment="1">
      <alignment horizontal="right" vertical="center"/>
    </xf>
    <xf numFmtId="3" fontId="6" fillId="17" borderId="1" xfId="0" applyNumberFormat="1" applyFont="1" applyFill="1" applyBorder="1" applyAlignment="1">
      <alignment horizontal="right" vertical="center"/>
    </xf>
    <xf numFmtId="0" fontId="3" fillId="10" borderId="0" xfId="0" applyFont="1" applyFill="1" applyAlignment="1">
      <alignment horizontal="right" vertical="center"/>
    </xf>
    <xf numFmtId="9" fontId="0" fillId="0" borderId="0" xfId="1" applyFont="1" applyAlignment="1">
      <alignment horizontal="right" vertical="center"/>
    </xf>
    <xf numFmtId="4" fontId="40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9" fontId="6" fillId="0" borderId="0" xfId="1" applyFont="1" applyAlignment="1">
      <alignment horizontal="right" vertical="center"/>
    </xf>
    <xf numFmtId="10" fontId="6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2"/>
    </xf>
    <xf numFmtId="3" fontId="26" fillId="0" borderId="1" xfId="0" applyNumberFormat="1" applyFont="1" applyBorder="1" applyAlignment="1">
      <alignment horizontal="right" vertical="center"/>
    </xf>
    <xf numFmtId="187" fontId="6" fillId="3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187" fontId="29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3" fontId="41" fillId="0" borderId="1" xfId="0" applyNumberFormat="1" applyFont="1" applyBorder="1" applyAlignment="1">
      <alignment horizontal="right" vertical="center"/>
    </xf>
    <xf numFmtId="3" fontId="41" fillId="0" borderId="0" xfId="0" applyNumberFormat="1" applyFont="1" applyAlignment="1">
      <alignment horizontal="right" vertical="center"/>
    </xf>
    <xf numFmtId="0" fontId="3" fillId="19" borderId="0" xfId="0" applyFont="1" applyFill="1" applyAlignment="1">
      <alignment horizontal="right" vertical="center"/>
    </xf>
    <xf numFmtId="0" fontId="22" fillId="13" borderId="0" xfId="2" applyFont="1" applyFill="1" applyAlignment="1">
      <alignment horizontal="right" vertical="center"/>
    </xf>
    <xf numFmtId="3" fontId="2" fillId="7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4" fontId="40" fillId="0" borderId="0" xfId="0" applyNumberFormat="1" applyFont="1" applyAlignment="1">
      <alignment horizontal="right" vertical="center"/>
    </xf>
    <xf numFmtId="164" fontId="14" fillId="0" borderId="0" xfId="1" applyNumberFormat="1" applyFont="1" applyFill="1" applyBorder="1" applyAlignment="1" applyProtection="1">
      <alignment horizontal="right" vertical="center"/>
    </xf>
    <xf numFmtId="3" fontId="14" fillId="0" borderId="0" xfId="7" applyNumberFormat="1" applyFont="1" applyFill="1" applyBorder="1" applyAlignment="1" applyProtection="1">
      <alignment horizontal="right" vertical="center"/>
    </xf>
    <xf numFmtId="3" fontId="24" fillId="0" borderId="0" xfId="7" applyNumberFormat="1" applyFont="1" applyFill="1" applyBorder="1" applyAlignment="1" applyProtection="1">
      <alignment horizontal="right" vertical="center"/>
    </xf>
    <xf numFmtId="169" fontId="14" fillId="0" borderId="7" xfId="7" applyFont="1" applyFill="1" applyBorder="1" applyAlignment="1" applyProtection="1">
      <alignment horizontal="left" vertical="center" indent="1"/>
    </xf>
    <xf numFmtId="169" fontId="14" fillId="0" borderId="7" xfId="7" applyFont="1" applyFill="1" applyBorder="1" applyAlignment="1" applyProtection="1">
      <alignment horizontal="center" vertical="center"/>
    </xf>
    <xf numFmtId="170" fontId="14" fillId="0" borderId="7" xfId="7" applyNumberFormat="1" applyFont="1" applyFill="1" applyBorder="1" applyAlignment="1" applyProtection="1">
      <alignment horizontal="right" vertical="center"/>
    </xf>
    <xf numFmtId="164" fontId="14" fillId="0" borderId="7" xfId="1" applyNumberFormat="1" applyFont="1" applyFill="1" applyBorder="1" applyAlignment="1" applyProtection="1">
      <alignment horizontal="right" vertical="center"/>
    </xf>
    <xf numFmtId="1" fontId="43" fillId="20" borderId="0" xfId="2" applyNumberFormat="1" applyFont="1" applyFill="1" applyAlignment="1">
      <alignment horizontal="center"/>
    </xf>
    <xf numFmtId="1" fontId="11" fillId="9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1" xfId="0" applyFont="1" applyFill="1" applyBorder="1" applyAlignment="1">
      <alignment vertical="center"/>
    </xf>
    <xf numFmtId="164" fontId="2" fillId="3" borderId="0" xfId="1" applyNumberFormat="1" applyFont="1" applyFill="1" applyAlignment="1">
      <alignment vertical="center"/>
    </xf>
    <xf numFmtId="164" fontId="2" fillId="3" borderId="12" xfId="1" applyNumberFormat="1" applyFont="1" applyFill="1" applyBorder="1" applyAlignment="1">
      <alignment vertical="center"/>
    </xf>
    <xf numFmtId="165" fontId="39" fillId="0" borderId="0" xfId="0" applyNumberFormat="1" applyFont="1" applyAlignment="1">
      <alignment vertical="center"/>
    </xf>
    <xf numFmtId="165" fontId="44" fillId="21" borderId="10" xfId="0" applyNumberFormat="1" applyFont="1" applyFill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26" fillId="7" borderId="1" xfId="0" applyNumberFormat="1" applyFont="1" applyFill="1" applyBorder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164" fontId="4" fillId="0" borderId="0" xfId="1" applyNumberFormat="1" applyFont="1" applyFill="1" applyAlignment="1">
      <alignment vertical="center"/>
    </xf>
    <xf numFmtId="164" fontId="4" fillId="0" borderId="11" xfId="1" applyNumberFormat="1" applyFont="1" applyFill="1" applyBorder="1" applyAlignment="1">
      <alignment vertical="center"/>
    </xf>
    <xf numFmtId="164" fontId="4" fillId="0" borderId="12" xfId="1" applyNumberFormat="1" applyFont="1" applyFill="1" applyBorder="1" applyAlignment="1">
      <alignment vertical="center"/>
    </xf>
    <xf numFmtId="164" fontId="26" fillId="0" borderId="10" xfId="1" applyNumberFormat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horizontal="right" vertical="center"/>
    </xf>
    <xf numFmtId="165" fontId="27" fillId="18" borderId="1" xfId="1" applyNumberFormat="1" applyFont="1" applyFill="1" applyBorder="1" applyAlignment="1">
      <alignment horizontal="right" vertical="center"/>
    </xf>
    <xf numFmtId="165" fontId="27" fillId="12" borderId="1" xfId="1" applyNumberFormat="1" applyFont="1" applyFill="1" applyBorder="1" applyAlignment="1">
      <alignment horizontal="right" vertical="center"/>
    </xf>
    <xf numFmtId="165" fontId="15" fillId="0" borderId="0" xfId="2" applyNumberFormat="1" applyFont="1"/>
    <xf numFmtId="164" fontId="9" fillId="0" borderId="0" xfId="1" applyNumberFormat="1" applyFont="1" applyFill="1" applyBorder="1" applyAlignment="1"/>
    <xf numFmtId="164" fontId="9" fillId="0" borderId="13" xfId="1" applyNumberFormat="1" applyFont="1" applyFill="1" applyBorder="1" applyAlignment="1"/>
    <xf numFmtId="164" fontId="9" fillId="0" borderId="14" xfId="1" applyNumberFormat="1" applyFont="1" applyFill="1" applyBorder="1" applyAlignment="1"/>
    <xf numFmtId="164" fontId="9" fillId="0" borderId="15" xfId="1" applyNumberFormat="1" applyFont="1" applyFill="1" applyBorder="1" applyAlignment="1"/>
    <xf numFmtId="164" fontId="9" fillId="0" borderId="16" xfId="1" applyNumberFormat="1" applyFont="1" applyFill="1" applyBorder="1" applyAlignment="1"/>
    <xf numFmtId="164" fontId="9" fillId="0" borderId="17" xfId="1" applyNumberFormat="1" applyFont="1" applyFill="1" applyBorder="1" applyAlignment="1"/>
    <xf numFmtId="164" fontId="9" fillId="0" borderId="18" xfId="1" applyNumberFormat="1" applyFont="1" applyFill="1" applyBorder="1" applyAlignment="1"/>
    <xf numFmtId="164" fontId="9" fillId="0" borderId="19" xfId="1" applyNumberFormat="1" applyFont="1" applyFill="1" applyBorder="1" applyAlignment="1"/>
    <xf numFmtId="164" fontId="9" fillId="0" borderId="20" xfId="1" applyNumberFormat="1" applyFont="1" applyFill="1" applyBorder="1" applyAlignment="1"/>
    <xf numFmtId="4" fontId="9" fillId="22" borderId="0" xfId="2" applyNumberFormat="1" applyFont="1" applyFill="1" applyAlignment="1">
      <alignment horizontal="center"/>
    </xf>
    <xf numFmtId="164" fontId="9" fillId="3" borderId="0" xfId="1" applyNumberFormat="1" applyFont="1" applyFill="1" applyBorder="1" applyAlignment="1">
      <alignment horizontal="right"/>
    </xf>
    <xf numFmtId="164" fontId="9" fillId="0" borderId="0" xfId="1" applyNumberFormat="1" applyFont="1" applyFill="1" applyBorder="1" applyAlignment="1">
      <alignment horizontal="right"/>
    </xf>
    <xf numFmtId="3" fontId="2" fillId="17" borderId="1" xfId="0" applyNumberFormat="1" applyFont="1" applyFill="1" applyBorder="1" applyAlignment="1">
      <alignment horizontal="right" vertical="center"/>
    </xf>
    <xf numFmtId="3" fontId="15" fillId="0" borderId="0" xfId="2" applyNumberFormat="1" applyFont="1"/>
    <xf numFmtId="164" fontId="15" fillId="0" borderId="0" xfId="1" applyNumberFormat="1" applyFont="1"/>
    <xf numFmtId="0" fontId="3" fillId="10" borderId="0" xfId="0" applyFont="1" applyFill="1" applyAlignment="1">
      <alignment horizontal="center" vertical="center"/>
    </xf>
    <xf numFmtId="169" fontId="24" fillId="0" borderId="13" xfId="7" applyFont="1" applyFill="1" applyBorder="1" applyAlignment="1" applyProtection="1">
      <alignment horizontal="left" vertical="center" indent="1"/>
    </xf>
    <xf numFmtId="169" fontId="24" fillId="0" borderId="13" xfId="7" applyFont="1" applyFill="1" applyBorder="1" applyAlignment="1" applyProtection="1">
      <alignment horizontal="center" vertical="center"/>
    </xf>
    <xf numFmtId="165" fontId="24" fillId="0" borderId="13" xfId="7" applyNumberFormat="1" applyFont="1" applyFill="1" applyBorder="1" applyAlignment="1" applyProtection="1">
      <alignment horizontal="right" vertical="center"/>
    </xf>
    <xf numFmtId="0" fontId="15" fillId="0" borderId="13" xfId="2" applyFont="1" applyBorder="1"/>
    <xf numFmtId="0" fontId="31" fillId="0" borderId="0" xfId="11" applyFont="1" applyAlignment="1">
      <alignment vertical="top"/>
    </xf>
    <xf numFmtId="0" fontId="45" fillId="23" borderId="21" xfId="11" applyFont="1" applyFill="1" applyBorder="1" applyAlignment="1">
      <alignment horizontal="center" vertical="top" wrapText="1"/>
    </xf>
    <xf numFmtId="0" fontId="46" fillId="24" borderId="21" xfId="11" applyFont="1" applyFill="1" applyBorder="1" applyAlignment="1">
      <alignment horizontal="center" vertical="top" wrapText="1"/>
    </xf>
    <xf numFmtId="0" fontId="46" fillId="24" borderId="21" xfId="11" applyFont="1" applyFill="1" applyBorder="1" applyAlignment="1">
      <alignment horizontal="left" vertical="top" wrapText="1"/>
    </xf>
    <xf numFmtId="0" fontId="46" fillId="24" borderId="22" xfId="11" applyFont="1" applyFill="1" applyBorder="1" applyAlignment="1">
      <alignment horizontal="left" vertical="top" wrapText="1"/>
    </xf>
    <xf numFmtId="0" fontId="46" fillId="24" borderId="0" xfId="11" applyFont="1" applyFill="1" applyAlignment="1">
      <alignment vertical="top"/>
    </xf>
    <xf numFmtId="1" fontId="31" fillId="24" borderId="23" xfId="12" applyNumberFormat="1" applyFont="1" applyFill="1" applyBorder="1" applyAlignment="1">
      <alignment horizontal="left" vertical="top"/>
    </xf>
    <xf numFmtId="0" fontId="45" fillId="0" borderId="0" xfId="11" applyFont="1" applyAlignment="1">
      <alignment vertical="top" wrapText="1"/>
    </xf>
    <xf numFmtId="0" fontId="45" fillId="23" borderId="0" xfId="11" applyFont="1" applyFill="1" applyAlignment="1">
      <alignment horizontal="center" vertical="top" wrapText="1"/>
    </xf>
    <xf numFmtId="0" fontId="45" fillId="0" borderId="24" xfId="11" applyFont="1" applyBorder="1" applyAlignment="1">
      <alignment horizontal="center" vertical="top" wrapText="1"/>
    </xf>
    <xf numFmtId="0" fontId="45" fillId="0" borderId="0" xfId="11" applyFont="1" applyAlignment="1">
      <alignment horizontal="left" vertical="top" wrapText="1"/>
    </xf>
    <xf numFmtId="0" fontId="46" fillId="0" borderId="24" xfId="11" applyFont="1" applyBorder="1" applyAlignment="1">
      <alignment vertical="top" wrapText="1"/>
    </xf>
    <xf numFmtId="0" fontId="45" fillId="0" borderId="24" xfId="11" applyFont="1" applyBorder="1" applyAlignment="1">
      <alignment horizontal="left" vertical="top" wrapText="1"/>
    </xf>
    <xf numFmtId="3" fontId="48" fillId="0" borderId="1" xfId="11" applyNumberFormat="1" applyFont="1" applyBorder="1" applyAlignment="1">
      <alignment vertical="top" wrapText="1"/>
    </xf>
    <xf numFmtId="188" fontId="31" fillId="25" borderId="25" xfId="13" applyNumberFormat="1" applyFont="1" applyFill="1" applyBorder="1" applyProtection="1">
      <alignment vertical="justify"/>
      <protection locked="0"/>
    </xf>
    <xf numFmtId="0" fontId="9" fillId="0" borderId="0" xfId="11" applyFont="1" applyAlignment="1">
      <alignment vertical="top"/>
    </xf>
    <xf numFmtId="0" fontId="45" fillId="0" borderId="0" xfId="11" applyFont="1" applyAlignment="1">
      <alignment horizontal="center" vertical="top" wrapText="1"/>
    </xf>
    <xf numFmtId="0" fontId="45" fillId="0" borderId="0" xfId="11" applyFont="1" applyAlignment="1">
      <alignment horizontal="left" vertical="top" wrapText="1" indent="1"/>
    </xf>
    <xf numFmtId="0" fontId="49" fillId="0" borderId="0" xfId="11" applyFont="1" applyAlignment="1">
      <alignment vertical="top"/>
    </xf>
    <xf numFmtId="188" fontId="50" fillId="23" borderId="1" xfId="6" applyNumberFormat="1" applyFont="1" applyFill="1" applyBorder="1" applyAlignment="1" applyProtection="1">
      <alignment horizontal="right" vertical="top" wrapText="1"/>
      <protection locked="0"/>
    </xf>
    <xf numFmtId="0" fontId="45" fillId="0" borderId="0" xfId="14" applyFont="1" applyAlignment="1" applyProtection="1">
      <alignment vertical="top" wrapText="1"/>
      <protection locked="0"/>
    </xf>
    <xf numFmtId="0" fontId="45" fillId="23" borderId="0" xfId="14" applyFont="1" applyFill="1" applyAlignment="1" applyProtection="1">
      <alignment horizontal="center" vertical="top" wrapText="1"/>
      <protection locked="0"/>
    </xf>
    <xf numFmtId="0" fontId="9" fillId="0" borderId="0" xfId="14" applyFont="1" applyAlignment="1" applyProtection="1">
      <alignment horizontal="center" vertical="top" wrapText="1"/>
      <protection locked="0"/>
    </xf>
    <xf numFmtId="0" fontId="9" fillId="0" borderId="0" xfId="14" applyFont="1" applyAlignment="1" applyProtection="1">
      <alignment horizontal="left" vertical="top" wrapText="1"/>
      <protection locked="0"/>
    </xf>
    <xf numFmtId="0" fontId="9" fillId="0" borderId="0" xfId="14" applyFont="1" applyAlignment="1" applyProtection="1">
      <alignment horizontal="left" vertical="top" wrapText="1" indent="1"/>
      <protection locked="0"/>
    </xf>
    <xf numFmtId="0" fontId="45" fillId="0" borderId="0" xfId="14" applyFont="1" applyAlignment="1" applyProtection="1">
      <alignment horizontal="left" vertical="top" wrapText="1"/>
      <protection locked="0"/>
    </xf>
    <xf numFmtId="0" fontId="49" fillId="0" borderId="0" xfId="14" applyFont="1" applyAlignment="1" applyProtection="1">
      <alignment vertical="top"/>
      <protection locked="0"/>
    </xf>
    <xf numFmtId="188" fontId="50" fillId="23" borderId="0" xfId="14" applyNumberFormat="1" applyFont="1" applyFill="1" applyAlignment="1" applyProtection="1">
      <alignment horizontal="right" vertical="top" wrapText="1"/>
      <protection locked="0"/>
    </xf>
    <xf numFmtId="0" fontId="9" fillId="0" borderId="0" xfId="12" applyFont="1" applyAlignment="1" applyProtection="1">
      <alignment vertical="top"/>
      <protection locked="0"/>
    </xf>
    <xf numFmtId="0" fontId="31" fillId="23" borderId="0" xfId="11" applyFont="1" applyFill="1" applyAlignment="1">
      <alignment horizontal="center" vertical="top"/>
    </xf>
    <xf numFmtId="0" fontId="46" fillId="0" borderId="0" xfId="11" applyFont="1" applyAlignment="1">
      <alignment horizontal="left" vertical="top" wrapText="1"/>
    </xf>
    <xf numFmtId="188" fontId="31" fillId="0" borderId="25" xfId="13" applyNumberFormat="1" applyFont="1" applyBorder="1" applyProtection="1">
      <alignment vertical="justify"/>
      <protection locked="0"/>
    </xf>
    <xf numFmtId="0" fontId="51" fillId="0" borderId="0" xfId="11" applyFont="1" applyAlignment="1">
      <alignment vertical="top" wrapText="1"/>
    </xf>
    <xf numFmtId="0" fontId="45" fillId="0" borderId="0" xfId="11" applyFont="1" applyAlignment="1">
      <alignment vertical="top"/>
    </xf>
    <xf numFmtId="0" fontId="45" fillId="0" borderId="0" xfId="11" applyFont="1" applyAlignment="1">
      <alignment horizontal="left" vertical="top"/>
    </xf>
    <xf numFmtId="0" fontId="46" fillId="0" borderId="0" xfId="11" applyFont="1" applyAlignment="1">
      <alignment vertical="top" wrapText="1"/>
    </xf>
    <xf numFmtId="0" fontId="51" fillId="0" borderId="0" xfId="11" applyFont="1" applyAlignment="1">
      <alignment horizontal="left" vertical="top" wrapText="1"/>
    </xf>
    <xf numFmtId="188" fontId="52" fillId="0" borderId="26" xfId="6" applyNumberFormat="1" applyFont="1" applyBorder="1" applyAlignment="1" applyProtection="1">
      <alignment horizontal="right" vertical="top" wrapText="1"/>
      <protection locked="0"/>
    </xf>
    <xf numFmtId="0" fontId="46" fillId="0" borderId="0" xfId="11" applyFont="1" applyAlignment="1">
      <alignment horizontal="left" vertical="top"/>
    </xf>
    <xf numFmtId="188" fontId="50" fillId="23" borderId="1" xfId="11" applyNumberFormat="1" applyFont="1" applyFill="1" applyBorder="1" applyAlignment="1" applyProtection="1">
      <alignment horizontal="right" vertical="top" wrapText="1"/>
      <protection locked="0"/>
    </xf>
    <xf numFmtId="188" fontId="45" fillId="0" borderId="26" xfId="6" applyNumberFormat="1" applyFont="1" applyBorder="1" applyAlignment="1" applyProtection="1">
      <alignment horizontal="right" vertical="top" wrapText="1"/>
      <protection locked="0"/>
    </xf>
    <xf numFmtId="0" fontId="31" fillId="0" borderId="0" xfId="12" applyFont="1" applyAlignment="1">
      <alignment vertical="top"/>
    </xf>
    <xf numFmtId="0" fontId="31" fillId="23" borderId="0" xfId="12" applyFont="1" applyFill="1" applyAlignment="1">
      <alignment horizontal="center" vertical="top"/>
    </xf>
    <xf numFmtId="0" fontId="9" fillId="0" borderId="0" xfId="6" applyFont="1" applyAlignment="1">
      <alignment horizontal="center" vertical="top" wrapText="1"/>
    </xf>
    <xf numFmtId="0" fontId="9" fillId="0" borderId="0" xfId="6" applyFont="1" applyAlignment="1">
      <alignment horizontal="left" vertical="top" wrapText="1"/>
    </xf>
    <xf numFmtId="0" fontId="9" fillId="0" borderId="0" xfId="6" applyFont="1" applyAlignment="1">
      <alignment horizontal="left" vertical="top" wrapText="1" indent="1"/>
    </xf>
    <xf numFmtId="0" fontId="45" fillId="0" borderId="0" xfId="6" applyFont="1" applyAlignment="1">
      <alignment horizontal="left" vertical="top" wrapText="1"/>
    </xf>
    <xf numFmtId="0" fontId="45" fillId="0" borderId="0" xfId="11" applyFont="1" applyAlignment="1" applyProtection="1">
      <alignment vertical="top" wrapText="1"/>
      <protection locked="0"/>
    </xf>
    <xf numFmtId="0" fontId="31" fillId="23" borderId="0" xfId="12" applyFont="1" applyFill="1" applyAlignment="1" applyProtection="1">
      <alignment horizontal="center" vertical="top"/>
      <protection locked="0"/>
    </xf>
    <xf numFmtId="0" fontId="49" fillId="0" borderId="0" xfId="11" applyFont="1" applyAlignment="1" applyProtection="1">
      <alignment vertical="top"/>
      <protection locked="0"/>
    </xf>
    <xf numFmtId="188" fontId="31" fillId="12" borderId="0" xfId="13" applyNumberFormat="1" applyFont="1" applyFill="1" applyProtection="1">
      <alignment vertical="justify"/>
      <protection locked="0"/>
    </xf>
    <xf numFmtId="188" fontId="53" fillId="23" borderId="1" xfId="6" applyNumberFormat="1" applyFont="1" applyFill="1" applyBorder="1" applyAlignment="1" applyProtection="1">
      <alignment horizontal="right" vertical="top" wrapText="1"/>
      <protection locked="0"/>
    </xf>
    <xf numFmtId="0" fontId="9" fillId="0" borderId="0" xfId="11" applyFont="1" applyAlignment="1" applyProtection="1">
      <alignment vertical="top"/>
      <protection locked="0"/>
    </xf>
    <xf numFmtId="0" fontId="9" fillId="23" borderId="0" xfId="11" applyFont="1" applyFill="1" applyAlignment="1" applyProtection="1">
      <alignment horizontal="center" vertical="top"/>
      <protection locked="0"/>
    </xf>
    <xf numFmtId="0" fontId="45" fillId="0" borderId="0" xfId="11" applyFont="1" applyAlignment="1" applyProtection="1">
      <alignment horizontal="center" vertical="top"/>
      <protection locked="0"/>
    </xf>
    <xf numFmtId="0" fontId="45" fillId="0" borderId="0" xfId="11" applyFont="1" applyAlignment="1" applyProtection="1">
      <alignment horizontal="left" vertical="top" wrapText="1"/>
      <protection locked="0"/>
    </xf>
    <xf numFmtId="0" fontId="45" fillId="0" borderId="0" xfId="11" applyFont="1" applyAlignment="1" applyProtection="1">
      <alignment horizontal="left" vertical="top" wrapText="1" indent="1"/>
      <protection locked="0"/>
    </xf>
    <xf numFmtId="0" fontId="45" fillId="0" borderId="0" xfId="11" applyFont="1" applyAlignment="1">
      <alignment horizontal="left" vertical="top" wrapText="1" indent="2"/>
    </xf>
    <xf numFmtId="0" fontId="45" fillId="0" borderId="0" xfId="6" applyFont="1" applyAlignment="1">
      <alignment vertical="top" wrapText="1"/>
    </xf>
    <xf numFmtId="0" fontId="46" fillId="0" borderId="0" xfId="11" quotePrefix="1" applyFont="1" applyAlignment="1">
      <alignment horizontal="left" vertical="top" wrapText="1"/>
    </xf>
    <xf numFmtId="0" fontId="46" fillId="0" borderId="0" xfId="11" quotePrefix="1" applyFont="1" applyAlignment="1">
      <alignment horizontal="left" vertical="top"/>
    </xf>
    <xf numFmtId="0" fontId="31" fillId="0" borderId="0" xfId="11" applyFont="1" applyAlignment="1" applyProtection="1">
      <alignment vertical="top"/>
      <protection locked="0"/>
    </xf>
    <xf numFmtId="0" fontId="31" fillId="23" borderId="0" xfId="11" applyFont="1" applyFill="1" applyAlignment="1" applyProtection="1">
      <alignment horizontal="center" vertical="top"/>
      <protection locked="0"/>
    </xf>
    <xf numFmtId="0" fontId="45" fillId="0" borderId="0" xfId="11" applyFont="1" applyAlignment="1" applyProtection="1">
      <alignment horizontal="center" vertical="top" wrapText="1"/>
      <protection locked="0"/>
    </xf>
    <xf numFmtId="0" fontId="46" fillId="0" borderId="0" xfId="11" applyFont="1" applyAlignment="1" applyProtection="1">
      <alignment horizontal="left" vertical="top" wrapText="1"/>
      <protection locked="0"/>
    </xf>
    <xf numFmtId="0" fontId="31" fillId="0" borderId="0" xfId="12" applyFont="1" applyAlignment="1" applyProtection="1">
      <alignment vertical="top"/>
      <protection locked="0"/>
    </xf>
    <xf numFmtId="188" fontId="31" fillId="0" borderId="0" xfId="13" applyNumberFormat="1" applyFont="1" applyProtection="1">
      <alignment vertical="justify"/>
      <protection locked="0"/>
    </xf>
    <xf numFmtId="0" fontId="45" fillId="0" borderId="0" xfId="11" applyFont="1" applyAlignment="1">
      <alignment horizontal="center" vertical="top"/>
    </xf>
    <xf numFmtId="0" fontId="9" fillId="23" borderId="0" xfId="11" applyFont="1" applyFill="1" applyAlignment="1">
      <alignment horizontal="center" vertical="top"/>
    </xf>
    <xf numFmtId="0" fontId="9" fillId="0" borderId="0" xfId="12" applyFont="1" applyAlignment="1">
      <alignment vertical="top"/>
    </xf>
    <xf numFmtId="0" fontId="9" fillId="23" borderId="0" xfId="12" applyFont="1" applyFill="1" applyAlignment="1">
      <alignment horizontal="center" vertical="top"/>
    </xf>
    <xf numFmtId="0" fontId="9" fillId="0" borderId="0" xfId="6" applyFont="1" applyAlignment="1">
      <alignment horizontal="center" vertical="top"/>
    </xf>
    <xf numFmtId="0" fontId="45" fillId="0" borderId="0" xfId="6" applyFont="1" applyAlignment="1">
      <alignment horizontal="left" vertical="top" wrapText="1" indent="1"/>
    </xf>
    <xf numFmtId="0" fontId="46" fillId="0" borderId="0" xfId="11" applyFont="1" applyAlignment="1">
      <alignment vertical="top"/>
    </xf>
    <xf numFmtId="188" fontId="9" fillId="23" borderId="1" xfId="6" applyNumberFormat="1" applyFont="1" applyFill="1" applyBorder="1" applyAlignment="1" applyProtection="1">
      <alignment horizontal="right" vertical="top" wrapText="1"/>
      <protection locked="0"/>
    </xf>
    <xf numFmtId="188" fontId="9" fillId="23" borderId="27" xfId="6" applyNumberFormat="1" applyFont="1" applyFill="1" applyBorder="1" applyAlignment="1" applyProtection="1">
      <alignment horizontal="right" vertical="top" wrapText="1"/>
      <protection locked="0"/>
    </xf>
    <xf numFmtId="0" fontId="31" fillId="0" borderId="0" xfId="6" applyFont="1" applyAlignment="1">
      <alignment horizontal="left" vertical="top" wrapText="1"/>
    </xf>
    <xf numFmtId="0" fontId="49" fillId="0" borderId="0" xfId="6" applyFont="1" applyAlignment="1">
      <alignment vertical="top"/>
    </xf>
    <xf numFmtId="0" fontId="9" fillId="0" borderId="0" xfId="6" applyFont="1" applyAlignment="1" applyProtection="1">
      <alignment horizontal="center" vertical="top" wrapText="1"/>
      <protection locked="0"/>
    </xf>
    <xf numFmtId="0" fontId="9" fillId="0" borderId="0" xfId="6" applyFont="1" applyAlignment="1" applyProtection="1">
      <alignment horizontal="left" vertical="top" wrapText="1"/>
      <protection locked="0"/>
    </xf>
    <xf numFmtId="0" fontId="31" fillId="0" borderId="0" xfId="6" applyFont="1" applyAlignment="1" applyProtection="1">
      <alignment horizontal="left" vertical="top" wrapText="1"/>
      <protection locked="0"/>
    </xf>
    <xf numFmtId="0" fontId="45" fillId="0" borderId="0" xfId="6" applyFont="1" applyAlignment="1" applyProtection="1">
      <alignment horizontal="left" vertical="top" wrapText="1"/>
      <protection locked="0"/>
    </xf>
    <xf numFmtId="0" fontId="45" fillId="0" borderId="0" xfId="6" applyFont="1" applyAlignment="1" applyProtection="1">
      <alignment vertical="top"/>
      <protection locked="0"/>
    </xf>
    <xf numFmtId="0" fontId="46" fillId="0" borderId="0" xfId="6" applyFont="1" applyAlignment="1">
      <alignment vertical="top"/>
    </xf>
    <xf numFmtId="0" fontId="46" fillId="0" borderId="0" xfId="6" applyFont="1" applyAlignment="1" applyProtection="1">
      <alignment vertical="top"/>
      <protection locked="0"/>
    </xf>
    <xf numFmtId="0" fontId="31" fillId="0" borderId="0" xfId="14" applyFont="1" applyAlignment="1" applyProtection="1">
      <alignment horizontal="left" vertical="top" wrapText="1"/>
      <protection locked="0"/>
    </xf>
    <xf numFmtId="188" fontId="31" fillId="23" borderId="0" xfId="13" applyNumberFormat="1" applyFont="1" applyFill="1" applyProtection="1">
      <alignment vertical="justify"/>
      <protection locked="0"/>
    </xf>
    <xf numFmtId="188" fontId="9" fillId="0" borderId="26" xfId="12" applyNumberFormat="1" applyFont="1" applyBorder="1" applyAlignment="1" applyProtection="1">
      <alignment horizontal="right" vertical="top"/>
      <protection locked="0"/>
    </xf>
    <xf numFmtId="0" fontId="9" fillId="0" borderId="0" xfId="15" applyFont="1" applyAlignment="1" applyProtection="1">
      <alignment horizontal="left" vertical="top" wrapText="1"/>
      <protection locked="0"/>
    </xf>
    <xf numFmtId="0" fontId="45" fillId="23" borderId="0" xfId="11" applyFont="1" applyFill="1" applyAlignment="1" applyProtection="1">
      <alignment horizontal="center" vertical="top" wrapText="1"/>
      <protection locked="0"/>
    </xf>
    <xf numFmtId="0" fontId="45" fillId="0" borderId="0" xfId="11" applyFont="1" applyAlignment="1" applyProtection="1">
      <alignment vertical="top"/>
      <protection locked="0"/>
    </xf>
    <xf numFmtId="188" fontId="9" fillId="23" borderId="1" xfId="16" applyNumberFormat="1" applyFont="1" applyFill="1" applyBorder="1" applyAlignment="1" applyProtection="1">
      <alignment horizontal="right" vertical="top" wrapText="1"/>
      <protection locked="0"/>
    </xf>
    <xf numFmtId="188" fontId="50" fillId="0" borderId="26" xfId="6" applyNumberFormat="1" applyFont="1" applyBorder="1" applyAlignment="1" applyProtection="1">
      <alignment horizontal="right" vertical="top" wrapText="1"/>
      <protection locked="0"/>
    </xf>
    <xf numFmtId="0" fontId="45" fillId="0" borderId="0" xfId="15" applyFont="1" applyAlignment="1" applyProtection="1">
      <alignment horizontal="left" vertical="top" wrapText="1"/>
      <protection locked="0"/>
    </xf>
    <xf numFmtId="167" fontId="9" fillId="25" borderId="25" xfId="17" applyFont="1" applyFill="1" applyBorder="1" applyAlignment="1" applyProtection="1">
      <alignment vertical="justify"/>
      <protection locked="0"/>
    </xf>
    <xf numFmtId="0" fontId="9" fillId="0" borderId="0" xfId="15" applyFont="1" applyAlignment="1" applyProtection="1">
      <alignment vertical="top"/>
      <protection locked="0"/>
    </xf>
    <xf numFmtId="0" fontId="9" fillId="23" borderId="0" xfId="15" applyFont="1" applyFill="1" applyAlignment="1" applyProtection="1">
      <alignment horizontal="center" vertical="top"/>
      <protection locked="0"/>
    </xf>
    <xf numFmtId="0" fontId="45" fillId="0" borderId="0" xfId="15" applyFont="1" applyAlignment="1" applyProtection="1">
      <alignment horizontal="center" vertical="top" wrapText="1"/>
      <protection locked="0"/>
    </xf>
    <xf numFmtId="0" fontId="45" fillId="0" borderId="0" xfId="14" applyFont="1" applyAlignment="1" applyProtection="1">
      <alignment horizontal="center" vertical="top" wrapText="1"/>
      <protection locked="0"/>
    </xf>
    <xf numFmtId="188" fontId="9" fillId="25" borderId="25" xfId="13" applyNumberFormat="1" applyFont="1" applyFill="1" applyBorder="1" applyProtection="1">
      <alignment vertical="justify"/>
      <protection locked="0"/>
    </xf>
    <xf numFmtId="188" fontId="9" fillId="0" borderId="25" xfId="13" applyNumberFormat="1" applyFont="1" applyBorder="1" applyProtection="1">
      <alignment vertical="justify"/>
      <protection locked="0"/>
    </xf>
    <xf numFmtId="0" fontId="45" fillId="0" borderId="0" xfId="11" quotePrefix="1" applyFont="1" applyAlignment="1">
      <alignment horizontal="left" vertical="top"/>
    </xf>
    <xf numFmtId="0" fontId="45" fillId="0" borderId="0" xfId="11" quotePrefix="1" applyFont="1" applyAlignment="1">
      <alignment horizontal="left" vertical="top" wrapText="1"/>
    </xf>
    <xf numFmtId="189" fontId="9" fillId="25" borderId="25" xfId="17" applyNumberFormat="1" applyFont="1" applyFill="1" applyBorder="1" applyAlignment="1" applyProtection="1">
      <alignment vertical="justify"/>
      <protection locked="0"/>
    </xf>
    <xf numFmtId="0" fontId="9" fillId="0" borderId="0" xfId="11" applyFont="1" applyAlignment="1">
      <alignment horizontal="center" vertical="top"/>
    </xf>
    <xf numFmtId="0" fontId="9" fillId="0" borderId="0" xfId="11" applyFont="1" applyAlignment="1">
      <alignment horizontal="left" vertical="top" wrapText="1"/>
    </xf>
    <xf numFmtId="0" fontId="9" fillId="0" borderId="0" xfId="11" applyFont="1" applyAlignment="1">
      <alignment horizontal="left" vertical="top"/>
    </xf>
    <xf numFmtId="188" fontId="54" fillId="0" borderId="0" xfId="12" applyNumberFormat="1" applyFont="1" applyAlignment="1" applyProtection="1">
      <alignment horizontal="right" vertical="top"/>
      <protection locked="0"/>
    </xf>
    <xf numFmtId="0" fontId="9" fillId="0" borderId="0" xfId="11" quotePrefix="1" applyFont="1" applyAlignment="1">
      <alignment horizontal="left" vertical="top" wrapText="1"/>
    </xf>
    <xf numFmtId="0" fontId="9" fillId="0" borderId="0" xfId="12" applyFont="1" applyAlignment="1" applyProtection="1">
      <alignment horizontal="right" vertical="top"/>
      <protection locked="0"/>
    </xf>
    <xf numFmtId="9" fontId="50" fillId="23" borderId="1" xfId="6" applyNumberFormat="1" applyFont="1" applyFill="1" applyBorder="1" applyAlignment="1" applyProtection="1">
      <alignment horizontal="right" vertical="top" wrapText="1"/>
      <protection locked="0"/>
    </xf>
    <xf numFmtId="190" fontId="9" fillId="23" borderId="1" xfId="6" applyNumberFormat="1" applyFont="1" applyFill="1" applyBorder="1" applyAlignment="1" applyProtection="1">
      <alignment horizontal="right" vertical="top" wrapText="1"/>
      <protection locked="0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</cellXfs>
  <cellStyles count="18">
    <cellStyle name="Comma 2" xfId="4" xr:uid="{00000000-0005-0000-0000-000000000000}"/>
    <cellStyle name="Comma 3" xfId="17" xr:uid="{00000000-0005-0000-0000-000001000000}"/>
    <cellStyle name="Normal" xfId="0" builtinId="0"/>
    <cellStyle name="Normal 2" xfId="11" xr:uid="{00000000-0005-0000-0000-000003000000}"/>
    <cellStyle name="Per cent" xfId="1" builtinId="5"/>
    <cellStyle name="Денежный [0] 2" xfId="10" xr:uid="{00000000-0005-0000-0000-000005000000}"/>
    <cellStyle name="Обычный 2" xfId="2" xr:uid="{00000000-0005-0000-0000-000006000000}"/>
    <cellStyle name="Обычный 2 10" xfId="14" xr:uid="{00000000-0005-0000-0000-000007000000}"/>
    <cellStyle name="Обычный 2 2" xfId="6" xr:uid="{00000000-0005-0000-0000-000008000000}"/>
    <cellStyle name="Обычный 2 3" xfId="15" xr:uid="{00000000-0005-0000-0000-000009000000}"/>
    <cellStyle name="Обычный 2 4" xfId="16" xr:uid="{00000000-0005-0000-0000-00000A000000}"/>
    <cellStyle name="Обычный 3" xfId="13" xr:uid="{00000000-0005-0000-0000-00000B000000}"/>
    <cellStyle name="Обычный 4 2" xfId="7" xr:uid="{00000000-0005-0000-0000-00000C000000}"/>
    <cellStyle name="Обычный 5" xfId="12" xr:uid="{00000000-0005-0000-0000-00000D000000}"/>
    <cellStyle name="Процентный 2" xfId="3" xr:uid="{00000000-0005-0000-0000-00000E000000}"/>
    <cellStyle name="Процентный 3" xfId="8" xr:uid="{00000000-0005-0000-0000-00000F000000}"/>
    <cellStyle name="Финансовый 2" xfId="5" xr:uid="{00000000-0005-0000-0000-000010000000}"/>
    <cellStyle name="Финансовый 3" xfId="9" xr:uid="{00000000-0005-0000-0000-000011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63D"/>
      <color rgb="FFFFFFCC"/>
      <color rgb="FF0000FF"/>
      <color rgb="FFE5FFF1"/>
      <color rgb="FFA3FFCD"/>
      <color rgb="FF00FE73"/>
      <color rgb="FFCDFFE4"/>
      <color rgb="FFF7D5D5"/>
      <color rgb="FF00D66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Inputs!$F$259</c:f>
              <c:strCache>
                <c:ptCount val="1"/>
                <c:pt idx="0">
                  <c:v>Цена на природный газ на хабе Henry Hub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Inputs!$X$1:$AM$1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Inputs!$X$259:$AM$259</c:f>
              <c:numCache>
                <c:formatCode>0.0%</c:formatCode>
                <c:ptCount val="16"/>
                <c:pt idx="0">
                  <c:v>1</c:v>
                </c:pt>
                <c:pt idx="1">
                  <c:v>0.95501703610122135</c:v>
                </c:pt>
                <c:pt idx="2">
                  <c:v>1.1342980743463114</c:v>
                </c:pt>
                <c:pt idx="3">
                  <c:v>1.2063473833314193</c:v>
                </c:pt>
                <c:pt idx="4">
                  <c:v>0.9810114467286859</c:v>
                </c:pt>
                <c:pt idx="5">
                  <c:v>0.77271838515211988</c:v>
                </c:pt>
                <c:pt idx="6">
                  <c:v>1.4744508764629287</c:v>
                </c:pt>
                <c:pt idx="7">
                  <c:v>2.4849873380366088</c:v>
                </c:pt>
                <c:pt idx="8">
                  <c:v>1.1555571981148585</c:v>
                </c:pt>
                <c:pt idx="9">
                  <c:v>1.4952970804624517</c:v>
                </c:pt>
                <c:pt idx="10">
                  <c:v>1.6176869853445905</c:v>
                </c:pt>
                <c:pt idx="11">
                  <c:v>1.6104895998319098</c:v>
                </c:pt>
                <c:pt idx="12">
                  <c:v>1.588050646232249</c:v>
                </c:pt>
                <c:pt idx="13">
                  <c:v>1.594402848817178</c:v>
                </c:pt>
                <c:pt idx="14">
                  <c:v>1.6007804602124467</c:v>
                </c:pt>
                <c:pt idx="15">
                  <c:v>1.6071835820532965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0-4816-8A69-2DE625B1D048}"/>
            </c:ext>
          </c:extLst>
        </c:ser>
        <c:ser>
          <c:idx val="1"/>
          <c:order val="1"/>
          <c:tx>
            <c:strRef>
              <c:f>Inputs!$F$260</c:f>
              <c:strCache>
                <c:ptCount val="1"/>
                <c:pt idx="0">
                  <c:v>Цена на природный газ на хабе TTF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Inputs!$X$1:$AM$1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Inputs!$X$260:$AM$260</c:f>
              <c:numCache>
                <c:formatCode>0.0%</c:formatCode>
                <c:ptCount val="16"/>
                <c:pt idx="0">
                  <c:v>1</c:v>
                </c:pt>
                <c:pt idx="1">
                  <c:v>0.70383135192874158</c:v>
                </c:pt>
                <c:pt idx="2">
                  <c:v>0.89050626703170077</c:v>
                </c:pt>
                <c:pt idx="3">
                  <c:v>1.2279893423000039</c:v>
                </c:pt>
                <c:pt idx="4">
                  <c:v>0.68989181417073941</c:v>
                </c:pt>
                <c:pt idx="5">
                  <c:v>0.492545712332709</c:v>
                </c:pt>
                <c:pt idx="6">
                  <c:v>2.4718619834890361</c:v>
                </c:pt>
                <c:pt idx="7">
                  <c:v>6.3795793354782102</c:v>
                </c:pt>
                <c:pt idx="8">
                  <c:v>2.1086030643032765</c:v>
                </c:pt>
                <c:pt idx="9">
                  <c:v>2.329777636197031</c:v>
                </c:pt>
                <c:pt idx="10">
                  <c:v>2.1247675344253474</c:v>
                </c:pt>
                <c:pt idx="11">
                  <c:v>1.7464649731236852</c:v>
                </c:pt>
                <c:pt idx="12">
                  <c:v>1.6998826666193041</c:v>
                </c:pt>
                <c:pt idx="13">
                  <c:v>1.7066821972857813</c:v>
                </c:pt>
                <c:pt idx="14">
                  <c:v>1.7135089260749243</c:v>
                </c:pt>
                <c:pt idx="15">
                  <c:v>1.720362961779224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0-4816-8A69-2DE625B1D048}"/>
            </c:ext>
          </c:extLst>
        </c:ser>
        <c:ser>
          <c:idx val="2"/>
          <c:order val="2"/>
          <c:tx>
            <c:strRef>
              <c:f>Inputs!$F$261</c:f>
              <c:strCache>
                <c:ptCount val="1"/>
                <c:pt idx="0">
                  <c:v>Метанол на хабе FOB Rotterdam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Inputs!$X$1:$AM$1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Inputs!$X$261:$AM$261</c:f>
              <c:numCache>
                <c:formatCode>0.0%</c:formatCode>
                <c:ptCount val="16"/>
                <c:pt idx="0">
                  <c:v>1</c:v>
                </c:pt>
                <c:pt idx="1">
                  <c:v>0.73786407766990292</c:v>
                </c:pt>
                <c:pt idx="2">
                  <c:v>1.087378640776699</c:v>
                </c:pt>
                <c:pt idx="3">
                  <c:v>1.3074433656957927</c:v>
                </c:pt>
                <c:pt idx="4">
                  <c:v>0.86877022653721669</c:v>
                </c:pt>
                <c:pt idx="5">
                  <c:v>0.78318743257820922</c:v>
                </c:pt>
                <c:pt idx="6">
                  <c:v>1.1326860841423947</c:v>
                </c:pt>
                <c:pt idx="7">
                  <c:v>1.229434121569241</c:v>
                </c:pt>
                <c:pt idx="8">
                  <c:v>0.97683194065200829</c:v>
                </c:pt>
                <c:pt idx="9">
                  <c:v>1.1688799934266147</c:v>
                </c:pt>
                <c:pt idx="10">
                  <c:v>1.2960742100473259</c:v>
                </c:pt>
                <c:pt idx="11">
                  <c:v>1.2514588156858317</c:v>
                </c:pt>
                <c:pt idx="12">
                  <c:v>1.2500470763806899</c:v>
                </c:pt>
                <c:pt idx="13">
                  <c:v>1.2550472646862127</c:v>
                </c:pt>
                <c:pt idx="14">
                  <c:v>1.2600674537449577</c:v>
                </c:pt>
                <c:pt idx="15">
                  <c:v>1.2651077235599375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00-4816-8A69-2DE625B1D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139272"/>
        <c:axId val="1106141896"/>
      </c:lineChart>
      <c:catAx>
        <c:axId val="110613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41896"/>
        <c:crosses val="autoZero"/>
        <c:auto val="1"/>
        <c:lblAlgn val="ctr"/>
        <c:lblOffset val="100"/>
        <c:noMultiLvlLbl val="0"/>
      </c:catAx>
      <c:valAx>
        <c:axId val="11061418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10613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1179798268460114E-2"/>
          <c:y val="2.4193548387096774E-2"/>
          <c:w val="0.90367574806574802"/>
          <c:h val="0.13004127508255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'Inputs sber (2)'!$F$259</c:f>
              <c:strCache>
                <c:ptCount val="1"/>
                <c:pt idx="0">
                  <c:v>Цена на природный газ на хабе Henry Hub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57-46D1-A08A-59994ADAEDF4}"/>
                </c:ext>
              </c:extLst>
            </c:dLbl>
            <c:dLbl>
              <c:idx val="1"/>
              <c:layout>
                <c:manualLayout>
                  <c:x val="-5.7709190962505564E-3"/>
                  <c:y val="3.0949926175873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57-46D1-A08A-59994ADAED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'Inputs sber (2)'!$AE$1:$AM$1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'Inputs sber (2)'!$AE$259:$AM$259</c:f>
              <c:numCache>
                <c:formatCode>0.0%</c:formatCode>
                <c:ptCount val="9"/>
                <c:pt idx="0">
                  <c:v>1</c:v>
                </c:pt>
                <c:pt idx="1">
                  <c:v>0.46501532640720233</c:v>
                </c:pt>
                <c:pt idx="2">
                  <c:v>0.60173227347061153</c:v>
                </c:pt>
                <c:pt idx="3">
                  <c:v>0.650983995203262</c:v>
                </c:pt>
                <c:pt idx="4">
                  <c:v>0.64808764824707688</c:v>
                </c:pt>
                <c:pt idx="5">
                  <c:v>0.63905784223712359</c:v>
                </c:pt>
                <c:pt idx="6">
                  <c:v>0.64161407360607203</c:v>
                </c:pt>
                <c:pt idx="7">
                  <c:v>0.64418052990049635</c:v>
                </c:pt>
                <c:pt idx="8">
                  <c:v>0.64675725202009837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7-46D1-A08A-59994ADAEDF4}"/>
            </c:ext>
          </c:extLst>
        </c:ser>
        <c:ser>
          <c:idx val="1"/>
          <c:order val="1"/>
          <c:tx>
            <c:strRef>
              <c:f>'Inputs sber (2)'!$F$260</c:f>
              <c:strCache>
                <c:ptCount val="1"/>
                <c:pt idx="0">
                  <c:v>Цена на природный газ на хабе TTF</c:v>
                </c:pt>
              </c:strCache>
            </c:strRef>
          </c:tx>
          <c:spPr>
            <a:ln w="28575" cap="rnd">
              <a:solidFill>
                <a:srgbClr val="00863D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rgbClr val="00863D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57-46D1-A08A-59994ADAED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863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'Inputs sber (2)'!$AE$1:$AM$1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'Inputs sber (2)'!$AE$260:$AM$260</c:f>
              <c:numCache>
                <c:formatCode>0.0%</c:formatCode>
                <c:ptCount val="9"/>
                <c:pt idx="0">
                  <c:v>1</c:v>
                </c:pt>
                <c:pt idx="1">
                  <c:v>0.33052384074556174</c:v>
                </c:pt>
                <c:pt idx="2">
                  <c:v>0.36519298744991502</c:v>
                </c:pt>
                <c:pt idx="3">
                  <c:v>0.33305762381683368</c:v>
                </c:pt>
                <c:pt idx="4">
                  <c:v>0.27375864164134128</c:v>
                </c:pt>
                <c:pt idx="5">
                  <c:v>0.26645685823920895</c:v>
                </c:pt>
                <c:pt idx="6">
                  <c:v>0.26752268567216581</c:v>
                </c:pt>
                <c:pt idx="7">
                  <c:v>0.26859277641485446</c:v>
                </c:pt>
                <c:pt idx="8">
                  <c:v>0.26966714752051391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57-46D1-A08A-59994ADAEDF4}"/>
            </c:ext>
          </c:extLst>
        </c:ser>
        <c:ser>
          <c:idx val="2"/>
          <c:order val="2"/>
          <c:tx>
            <c:strRef>
              <c:f>'Inputs sber (2)'!$F$261</c:f>
              <c:strCache>
                <c:ptCount val="1"/>
                <c:pt idx="0">
                  <c:v>Метанол на хабе FOB Rotterdam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57-46D1-A08A-59994ADAED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'Inputs sber (2)'!$AE$1:$AM$1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'Inputs sber (2)'!$AE$261:$AM$261</c:f>
              <c:numCache>
                <c:formatCode>0.0%</c:formatCode>
                <c:ptCount val="9"/>
                <c:pt idx="0">
                  <c:v>1</c:v>
                </c:pt>
                <c:pt idx="1">
                  <c:v>0.79453784754663137</c:v>
                </c:pt>
                <c:pt idx="2">
                  <c:v>0.9507463416865839</c:v>
                </c:pt>
                <c:pt idx="3">
                  <c:v>0.91669901822518496</c:v>
                </c:pt>
                <c:pt idx="4">
                  <c:v>0.88514304103509978</c:v>
                </c:pt>
                <c:pt idx="5">
                  <c:v>0.88414453336865495</c:v>
                </c:pt>
                <c:pt idx="6">
                  <c:v>0.88768111150212958</c:v>
                </c:pt>
                <c:pt idx="7">
                  <c:v>0.89123183594813815</c:v>
                </c:pt>
                <c:pt idx="8">
                  <c:v>0.8947967632919307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57-46D1-A08A-59994ADAE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139272"/>
        <c:axId val="1106141896"/>
      </c:lineChart>
      <c:catAx>
        <c:axId val="110613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41896"/>
        <c:crosses val="autoZero"/>
        <c:auto val="1"/>
        <c:lblAlgn val="ctr"/>
        <c:lblOffset val="100"/>
        <c:noMultiLvlLbl val="0"/>
      </c:catAx>
      <c:valAx>
        <c:axId val="11061418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10613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1179798268460114E-2"/>
          <c:y val="2.4193548387096774E-2"/>
          <c:w val="0.90367574806574802"/>
          <c:h val="8.00510692331256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59084</xdr:colOff>
      <xdr:row>261</xdr:row>
      <xdr:rowOff>87881</xdr:rowOff>
    </xdr:from>
    <xdr:to>
      <xdr:col>38</xdr:col>
      <xdr:colOff>497133</xdr:colOff>
      <xdr:row>286</xdr:row>
      <xdr:rowOff>97796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513722</xdr:colOff>
      <xdr:row>262</xdr:row>
      <xdr:rowOff>64935</xdr:rowOff>
    </xdr:from>
    <xdr:to>
      <xdr:col>42</xdr:col>
      <xdr:colOff>298629</xdr:colOff>
      <xdr:row>287</xdr:row>
      <xdr:rowOff>74849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07"/>
  <sheetViews>
    <sheetView showGridLines="0" topLeftCell="D1" zoomScale="70" zoomScaleNormal="70" workbookViewId="0">
      <pane ySplit="1" topLeftCell="A2" activePane="bottomLeft" state="frozen"/>
      <selection activeCell="CM29" sqref="CM29"/>
      <selection pane="bottomLeft" activeCell="O28" sqref="O28"/>
    </sheetView>
  </sheetViews>
  <sheetFormatPr baseColWidth="10" defaultColWidth="8" defaultRowHeight="15" customHeight="1" outlineLevelCol="1"/>
  <cols>
    <col min="1" max="2" width="2.6640625" style="287" customWidth="1" outlineLevel="1"/>
    <col min="3" max="3" width="22.6640625" style="391" customWidth="1" outlineLevel="1"/>
    <col min="4" max="4" width="48.1640625" style="392" customWidth="1"/>
    <col min="5" max="5" width="61.33203125" style="393" customWidth="1"/>
    <col min="6" max="6" width="37.83203125" style="393" customWidth="1"/>
    <col min="7" max="7" width="26.83203125" style="302" customWidth="1"/>
    <col min="8" max="23" width="10.1640625" style="396" customWidth="1"/>
    <col min="24" max="24" width="8.83203125" style="396" customWidth="1"/>
    <col min="25" max="25" width="8.6640625" style="396" customWidth="1"/>
    <col min="26" max="28" width="8.1640625" style="396" customWidth="1"/>
    <col min="29" max="29" width="9" style="396" customWidth="1"/>
    <col min="30" max="30" width="8.6640625" style="396" customWidth="1"/>
    <col min="31" max="16384" width="8" style="302"/>
  </cols>
  <sheetData>
    <row r="1" spans="1:30" s="287" customFormat="1" ht="15" customHeight="1">
      <c r="B1" s="288" t="s">
        <v>872</v>
      </c>
      <c r="C1" s="289" t="s">
        <v>873</v>
      </c>
      <c r="D1" s="290" t="s">
        <v>874</v>
      </c>
      <c r="E1" s="290" t="s">
        <v>82</v>
      </c>
      <c r="F1" s="291" t="s">
        <v>875</v>
      </c>
      <c r="G1" s="292" t="s">
        <v>83</v>
      </c>
      <c r="H1" s="293">
        <v>2018</v>
      </c>
      <c r="I1" s="293">
        <v>2019</v>
      </c>
      <c r="J1" s="293">
        <v>2020</v>
      </c>
      <c r="K1" s="293">
        <v>2021</v>
      </c>
      <c r="L1" s="293">
        <v>2022</v>
      </c>
      <c r="M1" s="293">
        <v>2023</v>
      </c>
      <c r="N1" s="293">
        <v>2024</v>
      </c>
      <c r="O1" s="293">
        <v>2025</v>
      </c>
      <c r="P1" s="293">
        <v>2026</v>
      </c>
      <c r="Q1" s="293">
        <v>2027</v>
      </c>
      <c r="R1" s="293">
        <v>2028</v>
      </c>
      <c r="S1" s="293">
        <v>2029</v>
      </c>
      <c r="T1" s="293">
        <v>2030</v>
      </c>
      <c r="U1" s="293">
        <v>2031</v>
      </c>
      <c r="V1" s="293">
        <v>2032</v>
      </c>
      <c r="W1" s="293">
        <v>2033</v>
      </c>
      <c r="X1" s="293">
        <v>2034</v>
      </c>
      <c r="Y1" s="293">
        <v>2035</v>
      </c>
      <c r="Z1" s="293">
        <v>2036</v>
      </c>
      <c r="AA1" s="293">
        <v>2037</v>
      </c>
      <c r="AB1" s="293">
        <v>2038</v>
      </c>
      <c r="AC1" s="293">
        <v>2039</v>
      </c>
      <c r="AD1" s="293">
        <v>2040</v>
      </c>
    </row>
    <row r="2" spans="1:30" ht="15" customHeight="1">
      <c r="A2" s="294"/>
      <c r="B2" s="295" t="s">
        <v>876</v>
      </c>
      <c r="C2" s="296" t="s">
        <v>877</v>
      </c>
      <c r="D2" s="297" t="s">
        <v>878</v>
      </c>
      <c r="E2" s="298" t="s">
        <v>5</v>
      </c>
      <c r="F2" s="299" t="s">
        <v>879</v>
      </c>
      <c r="G2" s="300" t="s">
        <v>1122</v>
      </c>
      <c r="H2" s="301">
        <f>'P&amp;L'!L8</f>
        <v>3931.8470000000002</v>
      </c>
      <c r="I2" s="301">
        <f>'P&amp;L'!M8</f>
        <v>3283.5140000000001</v>
      </c>
      <c r="J2" s="301">
        <f>'P&amp;L'!N8</f>
        <v>2649.9630000000002</v>
      </c>
      <c r="K2" s="301">
        <f>'P&amp;L'!O8</f>
        <v>4414.5590000000002</v>
      </c>
      <c r="L2" s="301">
        <f>'P&amp;L'!P8</f>
        <v>4311.1880000000001</v>
      </c>
      <c r="M2" s="301">
        <f>'P&amp;L'!Q8</f>
        <v>3168.5896628280716</v>
      </c>
      <c r="N2" s="301">
        <f>'P&amp;L'!R8</f>
        <v>4407.854419176073</v>
      </c>
      <c r="O2" s="301">
        <f>'P&amp;L'!S8</f>
        <v>4887.5046766688574</v>
      </c>
      <c r="P2" s="301">
        <f>'P&amp;L'!T8</f>
        <v>4719.2597205522889</v>
      </c>
      <c r="Q2" s="301">
        <f>'P&amp;L'!U8</f>
        <v>4713.9360420139546</v>
      </c>
      <c r="R2" s="301">
        <f>'P&amp;L'!V8</f>
        <v>4732.7917861820097</v>
      </c>
      <c r="S2" s="301">
        <f>'P&amp;L'!W8</f>
        <v>4751.7229533267373</v>
      </c>
      <c r="T2" s="301">
        <f>'P&amp;L'!X8</f>
        <v>4770.7298451400447</v>
      </c>
      <c r="U2" s="301">
        <f>'P&amp;L'!Y8</f>
        <v>4789.812764520605</v>
      </c>
      <c r="V2" s="301">
        <f>'P&amp;L'!Z8</f>
        <v>4808.9720155786881</v>
      </c>
      <c r="W2" s="301"/>
      <c r="X2" s="301"/>
      <c r="Y2" s="301"/>
      <c r="Z2" s="301"/>
      <c r="AA2" s="301"/>
      <c r="AB2" s="301"/>
      <c r="AC2" s="301"/>
      <c r="AD2" s="301"/>
    </row>
    <row r="3" spans="1:30" ht="15" customHeight="1">
      <c r="A3" s="294"/>
      <c r="B3" s="295" t="s">
        <v>876</v>
      </c>
      <c r="C3" s="303" t="s">
        <v>881</v>
      </c>
      <c r="D3" s="297" t="s">
        <v>878</v>
      </c>
      <c r="E3" s="304" t="s">
        <v>882</v>
      </c>
      <c r="F3" s="297" t="s">
        <v>883</v>
      </c>
      <c r="G3" s="305" t="str">
        <f>$G$2</f>
        <v>USD млн</v>
      </c>
      <c r="H3" s="306">
        <f>H2-H6</f>
        <v>2784.9191140000003</v>
      </c>
      <c r="I3" s="306">
        <f t="shared" ref="I3:AD3" si="0">I2-I6</f>
        <v>2747.7192260000002</v>
      </c>
      <c r="J3" s="306">
        <f t="shared" si="0"/>
        <v>2325.5461370000003</v>
      </c>
      <c r="K3" s="306">
        <f t="shared" si="0"/>
        <v>3241.7674690000003</v>
      </c>
      <c r="L3" s="306">
        <f t="shared" si="0"/>
        <v>3369.1625389999999</v>
      </c>
      <c r="M3" s="306">
        <f t="shared" si="0"/>
        <v>2568.8677384865618</v>
      </c>
      <c r="N3" s="306">
        <f t="shared" si="0"/>
        <v>3458.3717956462433</v>
      </c>
      <c r="O3" s="306">
        <f t="shared" si="0"/>
        <v>3803.5376537764932</v>
      </c>
      <c r="P3" s="306">
        <f t="shared" si="0"/>
        <v>3692.3456172282295</v>
      </c>
      <c r="Q3" s="306">
        <f t="shared" si="0"/>
        <v>3695.7581134350385</v>
      </c>
      <c r="R3" s="306">
        <f t="shared" si="0"/>
        <v>3716.4129962508632</v>
      </c>
      <c r="S3" s="306">
        <f t="shared" si="0"/>
        <v>3737.2803586213931</v>
      </c>
      <c r="T3" s="306">
        <f t="shared" si="0"/>
        <v>3758.3280417886922</v>
      </c>
      <c r="U3" s="306">
        <f t="shared" si="0"/>
        <v>3779.6250662854513</v>
      </c>
      <c r="V3" s="306">
        <f t="shared" si="0"/>
        <v>3801.1429026522892</v>
      </c>
      <c r="W3" s="306">
        <f t="shared" si="0"/>
        <v>0</v>
      </c>
      <c r="X3" s="306">
        <f t="shared" si="0"/>
        <v>0</v>
      </c>
      <c r="Y3" s="306">
        <f t="shared" si="0"/>
        <v>0</v>
      </c>
      <c r="Z3" s="306">
        <f t="shared" si="0"/>
        <v>0</v>
      </c>
      <c r="AA3" s="306">
        <f t="shared" si="0"/>
        <v>0</v>
      </c>
      <c r="AB3" s="306">
        <f t="shared" si="0"/>
        <v>0</v>
      </c>
      <c r="AC3" s="306">
        <f t="shared" si="0"/>
        <v>0</v>
      </c>
      <c r="AD3" s="306">
        <f t="shared" si="0"/>
        <v>0</v>
      </c>
    </row>
    <row r="4" spans="1:30" s="315" customFormat="1" ht="15" customHeight="1">
      <c r="A4" s="307"/>
      <c r="B4" s="308"/>
      <c r="C4" s="309" t="s">
        <v>881</v>
      </c>
      <c r="D4" s="310" t="s">
        <v>878</v>
      </c>
      <c r="E4" s="311" t="s">
        <v>884</v>
      </c>
      <c r="F4" s="312" t="s">
        <v>879</v>
      </c>
      <c r="G4" s="313" t="str">
        <f>$G$2</f>
        <v>USD млн</v>
      </c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314"/>
      <c r="AD4" s="314"/>
    </row>
    <row r="5" spans="1:30" ht="15" customHeight="1">
      <c r="A5" s="294"/>
      <c r="B5" s="295" t="s">
        <v>876</v>
      </c>
      <c r="C5" s="303" t="s">
        <v>877</v>
      </c>
      <c r="D5" s="297" t="s">
        <v>878</v>
      </c>
      <c r="E5" s="304" t="s">
        <v>885</v>
      </c>
      <c r="F5" s="297" t="s">
        <v>879</v>
      </c>
      <c r="G5" s="305" t="str">
        <f>$G$2</f>
        <v>USD млн</v>
      </c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</row>
    <row r="6" spans="1:30" s="287" customFormat="1" ht="15" customHeight="1">
      <c r="B6" s="316"/>
      <c r="C6" s="303" t="s">
        <v>881</v>
      </c>
      <c r="D6" s="297" t="s">
        <v>878</v>
      </c>
      <c r="E6" s="317" t="s">
        <v>7</v>
      </c>
      <c r="F6" s="297" t="s">
        <v>886</v>
      </c>
      <c r="G6" s="305" t="str">
        <f>$G$2</f>
        <v>USD млн</v>
      </c>
      <c r="H6" s="318">
        <f>'P&amp;L'!L17</f>
        <v>1146.9278860000002</v>
      </c>
      <c r="I6" s="318">
        <f>'P&amp;L'!M17</f>
        <v>535.79477400000019</v>
      </c>
      <c r="J6" s="318">
        <f>'P&amp;L'!N17</f>
        <v>324.41686300000015</v>
      </c>
      <c r="K6" s="318">
        <f>'P&amp;L'!O17</f>
        <v>1172.7915310000001</v>
      </c>
      <c r="L6" s="318">
        <f>'P&amp;L'!P17</f>
        <v>942.02546099999995</v>
      </c>
      <c r="M6" s="318">
        <f>'P&amp;L'!Q17</f>
        <v>599.72192434150963</v>
      </c>
      <c r="N6" s="318">
        <f>'P&amp;L'!R17</f>
        <v>949.48262352982965</v>
      </c>
      <c r="O6" s="318">
        <f>'P&amp;L'!S17</f>
        <v>1083.967022892364</v>
      </c>
      <c r="P6" s="318">
        <f>'P&amp;L'!T17</f>
        <v>1026.9141033240594</v>
      </c>
      <c r="Q6" s="318">
        <f>'P&amp;L'!U17</f>
        <v>1018.1779285789163</v>
      </c>
      <c r="R6" s="318">
        <f>'P&amp;L'!V17</f>
        <v>1016.3787899311466</v>
      </c>
      <c r="S6" s="318">
        <f>'P&amp;L'!W17</f>
        <v>1014.4425947053439</v>
      </c>
      <c r="T6" s="318">
        <f>'P&amp;L'!X17</f>
        <v>1012.4018033513527</v>
      </c>
      <c r="U6" s="318">
        <f>'P&amp;L'!Y17</f>
        <v>1010.1876982351536</v>
      </c>
      <c r="V6" s="318">
        <f>'P&amp;L'!Z17</f>
        <v>1007.829112926399</v>
      </c>
      <c r="W6" s="318"/>
      <c r="X6" s="318"/>
      <c r="Y6" s="318"/>
      <c r="Z6" s="318"/>
      <c r="AA6" s="318"/>
      <c r="AB6" s="318"/>
      <c r="AC6" s="318"/>
      <c r="AD6" s="318"/>
    </row>
    <row r="7" spans="1:30" ht="15" customHeight="1">
      <c r="A7" s="294"/>
      <c r="B7" s="295"/>
      <c r="C7" s="303" t="s">
        <v>881</v>
      </c>
      <c r="D7" s="297" t="s">
        <v>878</v>
      </c>
      <c r="E7" s="319" t="s">
        <v>887</v>
      </c>
      <c r="F7" s="297" t="s">
        <v>883</v>
      </c>
      <c r="G7" s="320" t="s">
        <v>3</v>
      </c>
      <c r="H7" s="397">
        <f t="shared" ref="H7:AD7" si="1">IFERROR(H6/H2,"")</f>
        <v>0.29170206419527517</v>
      </c>
      <c r="I7" s="397">
        <f t="shared" ref="I7:V7" si="2">IFERROR(I6/I2,"")</f>
        <v>0.16317724669363376</v>
      </c>
      <c r="J7" s="397">
        <f t="shared" si="2"/>
        <v>0.12242316704044552</v>
      </c>
      <c r="K7" s="397">
        <f t="shared" si="2"/>
        <v>0.26566448222800965</v>
      </c>
      <c r="L7" s="397">
        <f t="shared" si="2"/>
        <v>0.21850716345471363</v>
      </c>
      <c r="M7" s="397">
        <f t="shared" si="2"/>
        <v>0.18927093380915655</v>
      </c>
      <c r="N7" s="397">
        <f t="shared" si="2"/>
        <v>0.2154069833611495</v>
      </c>
      <c r="O7" s="397">
        <f t="shared" si="2"/>
        <v>0.22178332187932673</v>
      </c>
      <c r="P7" s="397">
        <f t="shared" si="2"/>
        <v>0.21760067555762347</v>
      </c>
      <c r="Q7" s="397">
        <f t="shared" si="2"/>
        <v>0.21599315720539897</v>
      </c>
      <c r="R7" s="397">
        <f t="shared" si="2"/>
        <v>0.21475248349158194</v>
      </c>
      <c r="S7" s="397">
        <f t="shared" si="2"/>
        <v>0.21348942366160484</v>
      </c>
      <c r="T7" s="397">
        <f t="shared" si="2"/>
        <v>0.21221109478305275</v>
      </c>
      <c r="U7" s="397">
        <f t="shared" si="2"/>
        <v>0.21090337929655159</v>
      </c>
      <c r="V7" s="397">
        <f t="shared" si="2"/>
        <v>0.20957267159416434</v>
      </c>
      <c r="W7" s="306" t="str">
        <f t="shared" si="1"/>
        <v/>
      </c>
      <c r="X7" s="306" t="str">
        <f t="shared" si="1"/>
        <v/>
      </c>
      <c r="Y7" s="306" t="str">
        <f t="shared" si="1"/>
        <v/>
      </c>
      <c r="Z7" s="306" t="str">
        <f t="shared" si="1"/>
        <v/>
      </c>
      <c r="AA7" s="306" t="str">
        <f t="shared" si="1"/>
        <v/>
      </c>
      <c r="AB7" s="306" t="str">
        <f t="shared" si="1"/>
        <v/>
      </c>
      <c r="AC7" s="306" t="str">
        <f t="shared" si="1"/>
        <v/>
      </c>
      <c r="AD7" s="306" t="str">
        <f t="shared" si="1"/>
        <v/>
      </c>
    </row>
    <row r="8" spans="1:30" ht="15" customHeight="1">
      <c r="A8" s="294"/>
      <c r="B8" s="295" t="s">
        <v>876</v>
      </c>
      <c r="C8" s="303" t="s">
        <v>877</v>
      </c>
      <c r="D8" s="297" t="s">
        <v>878</v>
      </c>
      <c r="E8" s="304" t="s">
        <v>888</v>
      </c>
      <c r="F8" s="321" t="s">
        <v>889</v>
      </c>
      <c r="G8" s="305" t="str">
        <f>$G$2</f>
        <v>USD млн</v>
      </c>
      <c r="H8" s="301">
        <f>'P&amp;L'!L20</f>
        <v>245.303</v>
      </c>
      <c r="I8" s="301">
        <f>'P&amp;L'!M20</f>
        <v>344.12700000000001</v>
      </c>
      <c r="J8" s="301">
        <f>'P&amp;L'!N20</f>
        <v>357.12900000000002</v>
      </c>
      <c r="K8" s="301">
        <f>'P&amp;L'!O20</f>
        <v>363.084</v>
      </c>
      <c r="L8" s="301">
        <f>'P&amp;L'!P20</f>
        <v>372.42</v>
      </c>
      <c r="M8" s="301">
        <f>'P&amp;L'!Q20</f>
        <v>358.28536519964297</v>
      </c>
      <c r="N8" s="301">
        <f>'P&amp;L'!R20</f>
        <v>378.29411137562732</v>
      </c>
      <c r="O8" s="301">
        <f>'P&amp;L'!S20</f>
        <v>361.26797306213933</v>
      </c>
      <c r="P8" s="301">
        <f>'P&amp;L'!T20</f>
        <v>346.03096348980819</v>
      </c>
      <c r="Q8" s="301">
        <f>'P&amp;L'!U20</f>
        <v>332.43542805180795</v>
      </c>
      <c r="R8" s="301">
        <f>'P&amp;L'!V20</f>
        <v>320.33696803234028</v>
      </c>
      <c r="S8" s="301">
        <f>'P&amp;L'!W20</f>
        <v>309.61299577614261</v>
      </c>
      <c r="T8" s="301">
        <f>'P&amp;L'!X20</f>
        <v>300.15162355840147</v>
      </c>
      <c r="U8" s="301">
        <f>'P&amp;L'!Y20</f>
        <v>291.85074359182744</v>
      </c>
      <c r="V8" s="301">
        <f>'P&amp;L'!Z20</f>
        <v>284.61718741122354</v>
      </c>
      <c r="W8" s="301"/>
      <c r="X8" s="301"/>
      <c r="Y8" s="301"/>
      <c r="Z8" s="301"/>
      <c r="AA8" s="301"/>
      <c r="AB8" s="301"/>
      <c r="AC8" s="301"/>
      <c r="AD8" s="301"/>
    </row>
    <row r="9" spans="1:30" ht="15" customHeight="1">
      <c r="A9" s="294"/>
      <c r="B9" s="295"/>
      <c r="C9" s="303" t="s">
        <v>877</v>
      </c>
      <c r="D9" s="297" t="s">
        <v>878</v>
      </c>
      <c r="E9" s="304" t="s">
        <v>890</v>
      </c>
      <c r="F9" s="297" t="s">
        <v>883</v>
      </c>
      <c r="G9" s="305" t="str">
        <f>$G$2</f>
        <v>USD млн</v>
      </c>
      <c r="H9" s="306">
        <f t="shared" ref="H9:AD9" si="3">H6-H10-H8</f>
        <v>243.64100000000008</v>
      </c>
      <c r="I9" s="306">
        <f t="shared" si="3"/>
        <v>75.302000000000021</v>
      </c>
      <c r="J9" s="306">
        <f t="shared" si="3"/>
        <v>92.615000000000009</v>
      </c>
      <c r="K9" s="306">
        <f t="shared" si="3"/>
        <v>253.79700000000008</v>
      </c>
      <c r="L9" s="306">
        <f t="shared" si="3"/>
        <v>107.31700000000012</v>
      </c>
      <c r="M9" s="306">
        <f t="shared" si="3"/>
        <v>174.70265028223019</v>
      </c>
      <c r="N9" s="306">
        <f t="shared" si="3"/>
        <v>230.87440084190433</v>
      </c>
      <c r="O9" s="306">
        <f t="shared" si="3"/>
        <v>245.29010721830042</v>
      </c>
      <c r="P9" s="306">
        <f t="shared" si="3"/>
        <v>233.49261579502229</v>
      </c>
      <c r="Q9" s="306">
        <f t="shared" si="3"/>
        <v>224.17178892992848</v>
      </c>
      <c r="R9" s="306">
        <f t="shared" si="3"/>
        <v>203.32662923540221</v>
      </c>
      <c r="S9" s="306">
        <f t="shared" si="3"/>
        <v>203.57523933915468</v>
      </c>
      <c r="T9" s="306">
        <f t="shared" si="3"/>
        <v>176.61827713892177</v>
      </c>
      <c r="U9" s="306">
        <f t="shared" si="3"/>
        <v>176.32206287627156</v>
      </c>
      <c r="V9" s="306">
        <f t="shared" si="3"/>
        <v>175.83925966234494</v>
      </c>
      <c r="W9" s="306">
        <f t="shared" si="3"/>
        <v>0</v>
      </c>
      <c r="X9" s="306">
        <f t="shared" si="3"/>
        <v>0</v>
      </c>
      <c r="Y9" s="306">
        <f t="shared" si="3"/>
        <v>0</v>
      </c>
      <c r="Z9" s="306">
        <f t="shared" si="3"/>
        <v>0</v>
      </c>
      <c r="AA9" s="306">
        <f t="shared" si="3"/>
        <v>0</v>
      </c>
      <c r="AB9" s="306">
        <f t="shared" si="3"/>
        <v>0</v>
      </c>
      <c r="AC9" s="306">
        <f t="shared" si="3"/>
        <v>0</v>
      </c>
      <c r="AD9" s="306">
        <f t="shared" si="3"/>
        <v>0</v>
      </c>
    </row>
    <row r="10" spans="1:30" s="287" customFormat="1" ht="15" customHeight="1">
      <c r="B10" s="316"/>
      <c r="C10" s="303" t="s">
        <v>877</v>
      </c>
      <c r="D10" s="297" t="s">
        <v>878</v>
      </c>
      <c r="E10" s="322" t="s">
        <v>891</v>
      </c>
      <c r="F10" s="297" t="s">
        <v>879</v>
      </c>
      <c r="G10" s="305" t="str">
        <f>$G$2</f>
        <v>USD млн</v>
      </c>
      <c r="H10" s="301">
        <f>'P&amp;L'!L39</f>
        <v>657.9838860000001</v>
      </c>
      <c r="I10" s="301">
        <f>'P&amp;L'!M39</f>
        <v>116.36577400000017</v>
      </c>
      <c r="J10" s="301">
        <f>'P&amp;L'!N39</f>
        <v>-125.32713699999988</v>
      </c>
      <c r="K10" s="301">
        <f>'P&amp;L'!O39</f>
        <v>555.91053099999999</v>
      </c>
      <c r="L10" s="301">
        <f>'P&amp;L'!P39</f>
        <v>462.28846099999981</v>
      </c>
      <c r="M10" s="301">
        <f>'P&amp;L'!Q39</f>
        <v>66.733908859636415</v>
      </c>
      <c r="N10" s="301">
        <f>'P&amp;L'!R39</f>
        <v>340.314111312298</v>
      </c>
      <c r="O10" s="301">
        <f>'P&amp;L'!S39</f>
        <v>477.4089426119242</v>
      </c>
      <c r="P10" s="301">
        <f>'P&amp;L'!T39</f>
        <v>447.39052403922892</v>
      </c>
      <c r="Q10" s="301">
        <f>'P&amp;L'!U39</f>
        <v>461.57071159717992</v>
      </c>
      <c r="R10" s="301">
        <f>'P&amp;L'!V39</f>
        <v>492.71519266340408</v>
      </c>
      <c r="S10" s="301">
        <f>'P&amp;L'!W39</f>
        <v>501.25435959004665</v>
      </c>
      <c r="T10" s="301">
        <f>'P&amp;L'!X39</f>
        <v>535.63190265402943</v>
      </c>
      <c r="U10" s="301">
        <f>'P&amp;L'!Y39</f>
        <v>542.01489176705456</v>
      </c>
      <c r="V10" s="301">
        <f>'P&amp;L'!Z39</f>
        <v>547.37266585283055</v>
      </c>
      <c r="W10" s="301"/>
      <c r="X10" s="301"/>
      <c r="Y10" s="301"/>
      <c r="Z10" s="301"/>
      <c r="AA10" s="301"/>
      <c r="AB10" s="301"/>
      <c r="AC10" s="301"/>
      <c r="AD10" s="301"/>
    </row>
    <row r="11" spans="1:30" ht="15" customHeight="1">
      <c r="A11" s="294"/>
      <c r="B11" s="295"/>
      <c r="C11" s="303" t="s">
        <v>881</v>
      </c>
      <c r="D11" s="297" t="s">
        <v>878</v>
      </c>
      <c r="E11" s="323" t="s">
        <v>892</v>
      </c>
      <c r="F11" s="297" t="s">
        <v>883</v>
      </c>
      <c r="G11" s="320" t="s">
        <v>3</v>
      </c>
      <c r="H11" s="397">
        <f t="shared" ref="H11:AD11" si="4">IFERROR(H10/H2,"")</f>
        <v>0.16734727622921239</v>
      </c>
      <c r="I11" s="397">
        <f t="shared" ref="I11:V11" si="5">IFERROR(I10/I2,"")</f>
        <v>3.5439402420699338E-2</v>
      </c>
      <c r="J11" s="397">
        <f t="shared" si="5"/>
        <v>-4.7293919575480819E-2</v>
      </c>
      <c r="K11" s="397">
        <f t="shared" si="5"/>
        <v>0.12592662845824462</v>
      </c>
      <c r="L11" s="397">
        <f t="shared" si="5"/>
        <v>0.10722994705867613</v>
      </c>
      <c r="M11" s="397">
        <f t="shared" si="5"/>
        <v>2.1061076365462287E-2</v>
      </c>
      <c r="N11" s="397">
        <f t="shared" si="5"/>
        <v>7.7206295614434192E-2</v>
      </c>
      <c r="O11" s="397">
        <f t="shared" si="5"/>
        <v>9.7679485585128581E-2</v>
      </c>
      <c r="P11" s="397">
        <f t="shared" si="5"/>
        <v>9.4800996455196448E-2</v>
      </c>
      <c r="Q11" s="397">
        <f t="shared" si="5"/>
        <v>9.7916201552870688E-2</v>
      </c>
      <c r="R11" s="397">
        <f t="shared" si="5"/>
        <v>0.10410667000013588</v>
      </c>
      <c r="S11" s="397">
        <f t="shared" si="5"/>
        <v>0.10548896989861595</v>
      </c>
      <c r="T11" s="397">
        <f t="shared" si="5"/>
        <v>0.11227462464672551</v>
      </c>
      <c r="U11" s="397">
        <f t="shared" si="5"/>
        <v>0.11315993305247765</v>
      </c>
      <c r="V11" s="397">
        <f t="shared" si="5"/>
        <v>0.11382321711991963</v>
      </c>
      <c r="W11" s="306" t="str">
        <f t="shared" si="4"/>
        <v/>
      </c>
      <c r="X11" s="306" t="str">
        <f t="shared" si="4"/>
        <v/>
      </c>
      <c r="Y11" s="306" t="str">
        <f t="shared" si="4"/>
        <v/>
      </c>
      <c r="Z11" s="306" t="str">
        <f t="shared" si="4"/>
        <v/>
      </c>
      <c r="AA11" s="306" t="str">
        <f t="shared" si="4"/>
        <v/>
      </c>
      <c r="AB11" s="306" t="str">
        <f t="shared" si="4"/>
        <v/>
      </c>
      <c r="AC11" s="306" t="str">
        <f t="shared" si="4"/>
        <v/>
      </c>
      <c r="AD11" s="306" t="str">
        <f t="shared" si="4"/>
        <v/>
      </c>
    </row>
    <row r="12" spans="1:30" ht="15" customHeight="1">
      <c r="A12" s="294"/>
      <c r="B12" s="295"/>
      <c r="C12" s="303"/>
      <c r="D12" s="297"/>
      <c r="E12" s="323"/>
      <c r="F12" s="297"/>
      <c r="G12" s="320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  <c r="AA12" s="324"/>
      <c r="AB12" s="324"/>
      <c r="AC12" s="324"/>
      <c r="AD12" s="324"/>
    </row>
    <row r="13" spans="1:30" s="287" customFormat="1" ht="15" customHeight="1">
      <c r="B13" s="295" t="s">
        <v>876</v>
      </c>
      <c r="C13" s="303" t="s">
        <v>877</v>
      </c>
      <c r="D13" s="297" t="s">
        <v>878</v>
      </c>
      <c r="E13" s="317" t="s">
        <v>893</v>
      </c>
      <c r="G13" s="305" t="str">
        <f t="shared" ref="G13:G19" si="6">$G$2</f>
        <v>USD млн</v>
      </c>
      <c r="H13" s="318">
        <f>CFS!L32</f>
        <v>256.077</v>
      </c>
      <c r="I13" s="318">
        <f>CFS!M32</f>
        <v>416.76299999999998</v>
      </c>
      <c r="J13" s="318">
        <f>CFS!N32</f>
        <v>833.84100000000001</v>
      </c>
      <c r="K13" s="318">
        <f>CFS!O32</f>
        <v>932.06899999999996</v>
      </c>
      <c r="L13" s="318">
        <f>CFS!P32</f>
        <v>857.74699999999996</v>
      </c>
      <c r="M13" s="318">
        <f>CFS!Q32</f>
        <v>589.22299088761474</v>
      </c>
      <c r="N13" s="318">
        <f>CFS!R32</f>
        <v>552.97392166539476</v>
      </c>
      <c r="O13" s="318">
        <f>CFS!S32</f>
        <v>966.62759101745223</v>
      </c>
      <c r="P13" s="318">
        <f>CFS!T32</f>
        <v>1399.3339408563534</v>
      </c>
      <c r="Q13" s="318">
        <f>CFS!U32</f>
        <v>1124.6734170157797</v>
      </c>
      <c r="R13" s="318">
        <f>CFS!V32</f>
        <v>1549.2585611776476</v>
      </c>
      <c r="S13" s="318">
        <f>CFS!W32</f>
        <v>1270.3481349198428</v>
      </c>
      <c r="T13" s="318">
        <f>CFS!X32</f>
        <v>1699.0717533606939</v>
      </c>
      <c r="U13" s="318">
        <f>CFS!Y32</f>
        <v>2058.2536712943297</v>
      </c>
      <c r="V13" s="318">
        <f>CFS!Z32</f>
        <v>2472.067393173842</v>
      </c>
      <c r="W13" s="318"/>
      <c r="X13" s="318"/>
      <c r="Y13" s="318"/>
      <c r="Z13" s="318"/>
      <c r="AA13" s="318"/>
      <c r="AB13" s="318"/>
      <c r="AC13" s="318"/>
      <c r="AD13" s="318"/>
    </row>
    <row r="14" spans="1:30" ht="15" customHeight="1">
      <c r="A14" s="294"/>
      <c r="B14" s="295"/>
      <c r="C14" s="303" t="s">
        <v>877</v>
      </c>
      <c r="D14" s="297" t="s">
        <v>878</v>
      </c>
      <c r="E14" s="317" t="s">
        <v>894</v>
      </c>
      <c r="F14" s="325" t="s">
        <v>883</v>
      </c>
      <c r="G14" s="305" t="str">
        <f t="shared" si="6"/>
        <v>USD млн</v>
      </c>
      <c r="H14" s="306">
        <f t="shared" ref="H14:AD14" si="7">H15+H16+H17</f>
        <v>264.54900000000004</v>
      </c>
      <c r="I14" s="306">
        <f t="shared" ref="I14:V14" si="8">I15+I16+I17</f>
        <v>-60.231999999999971</v>
      </c>
      <c r="J14" s="306">
        <f t="shared" si="8"/>
        <v>-125.26900000000001</v>
      </c>
      <c r="K14" s="306">
        <f t="shared" si="8"/>
        <v>388.19299999999998</v>
      </c>
      <c r="L14" s="306">
        <f t="shared" si="8"/>
        <v>113.42700000000013</v>
      </c>
      <c r="M14" s="306">
        <f t="shared" si="8"/>
        <v>-268.52400911238516</v>
      </c>
      <c r="N14" s="306">
        <f t="shared" si="8"/>
        <v>-36.249069222219987</v>
      </c>
      <c r="O14" s="306">
        <f t="shared" si="8"/>
        <v>413.65366935205753</v>
      </c>
      <c r="P14" s="306">
        <f t="shared" si="8"/>
        <v>432.70634983890125</v>
      </c>
      <c r="Q14" s="306">
        <f t="shared" si="8"/>
        <v>-274.66052384057355</v>
      </c>
      <c r="R14" s="306">
        <f t="shared" si="8"/>
        <v>424.5851441618679</v>
      </c>
      <c r="S14" s="306">
        <f t="shared" si="8"/>
        <v>-278.91042625780483</v>
      </c>
      <c r="T14" s="306">
        <f t="shared" si="8"/>
        <v>428.72361844085117</v>
      </c>
      <c r="U14" s="306">
        <f t="shared" si="8"/>
        <v>359.18191793363576</v>
      </c>
      <c r="V14" s="306">
        <f t="shared" si="8"/>
        <v>413.81372187951206</v>
      </c>
      <c r="W14" s="306">
        <f t="shared" si="7"/>
        <v>0</v>
      </c>
      <c r="X14" s="306">
        <f t="shared" si="7"/>
        <v>0</v>
      </c>
      <c r="Y14" s="306">
        <f t="shared" si="7"/>
        <v>0</v>
      </c>
      <c r="Z14" s="306">
        <f t="shared" si="7"/>
        <v>0</v>
      </c>
      <c r="AA14" s="306">
        <f t="shared" si="7"/>
        <v>0</v>
      </c>
      <c r="AB14" s="306">
        <f t="shared" si="7"/>
        <v>0</v>
      </c>
      <c r="AC14" s="306">
        <f t="shared" si="7"/>
        <v>0</v>
      </c>
      <c r="AD14" s="306">
        <f t="shared" si="7"/>
        <v>0</v>
      </c>
    </row>
    <row r="15" spans="1:30" s="287" customFormat="1" ht="15" customHeight="1">
      <c r="B15" s="295"/>
      <c r="C15" s="303" t="s">
        <v>877</v>
      </c>
      <c r="D15" s="297" t="s">
        <v>878</v>
      </c>
      <c r="E15" s="304" t="s">
        <v>895</v>
      </c>
      <c r="F15" s="297" t="s">
        <v>896</v>
      </c>
      <c r="G15" s="305" t="str">
        <f t="shared" si="6"/>
        <v>USD млн</v>
      </c>
      <c r="H15" s="301">
        <f>CFS!L12</f>
        <v>980.20600000000002</v>
      </c>
      <c r="I15" s="301">
        <f>CFS!M12</f>
        <v>515.43100000000004</v>
      </c>
      <c r="J15" s="301">
        <f>CFS!N12</f>
        <v>461.08199999999999</v>
      </c>
      <c r="K15" s="301">
        <f>CFS!O12</f>
        <v>994.36900000000003</v>
      </c>
      <c r="L15" s="301">
        <f>CFS!P12</f>
        <v>987.34900000000005</v>
      </c>
      <c r="M15" s="301">
        <f>CFS!Q12</f>
        <v>605.80242258896487</v>
      </c>
      <c r="N15" s="301">
        <f>CFS!R12</f>
        <v>778.40912895122199</v>
      </c>
      <c r="O15" s="301">
        <f>CFS!S12</f>
        <v>939.82854873683266</v>
      </c>
      <c r="P15" s="301">
        <f>CFS!T12</f>
        <v>939.28992500693164</v>
      </c>
      <c r="Q15" s="301">
        <f>CFS!U12</f>
        <v>914.82329921694475</v>
      </c>
      <c r="R15" s="301">
        <f>CFS!V12</f>
        <v>904.09588260539431</v>
      </c>
      <c r="S15" s="301">
        <f>CFS!W12</f>
        <v>900.23726711956601</v>
      </c>
      <c r="T15" s="301">
        <f>CFS!X12</f>
        <v>890.37810834921197</v>
      </c>
      <c r="U15" s="301">
        <f>CFS!Y12</f>
        <v>886.73489307095826</v>
      </c>
      <c r="V15" s="301">
        <f>CFS!Z12</f>
        <v>883.1818056860252</v>
      </c>
      <c r="W15" s="301"/>
      <c r="X15" s="301"/>
      <c r="Y15" s="301"/>
      <c r="Z15" s="301"/>
      <c r="AA15" s="301"/>
      <c r="AB15" s="301"/>
      <c r="AC15" s="301"/>
      <c r="AD15" s="301"/>
    </row>
    <row r="16" spans="1:30" s="287" customFormat="1" ht="15" customHeight="1">
      <c r="B16" s="295"/>
      <c r="C16" s="303" t="s">
        <v>877</v>
      </c>
      <c r="D16" s="297" t="s">
        <v>878</v>
      </c>
      <c r="E16" s="304" t="s">
        <v>897</v>
      </c>
      <c r="F16" s="297" t="s">
        <v>896</v>
      </c>
      <c r="G16" s="305" t="str">
        <f t="shared" si="6"/>
        <v>USD млн</v>
      </c>
      <c r="H16" s="301">
        <f>CFS!L18</f>
        <v>-306.351</v>
      </c>
      <c r="I16" s="301">
        <f>CFS!M18</f>
        <v>-250.69200000000001</v>
      </c>
      <c r="J16" s="301">
        <f>CFS!N18</f>
        <v>-278.06299999999999</v>
      </c>
      <c r="K16" s="301">
        <f>CFS!O18</f>
        <v>-253.048</v>
      </c>
      <c r="L16" s="301">
        <f>CFS!P18</f>
        <v>-553.13699999999994</v>
      </c>
      <c r="M16" s="301">
        <f>CFS!Q18</f>
        <v>-590.34062313644097</v>
      </c>
      <c r="N16" s="301">
        <f>CFS!R18</f>
        <v>-180.83021817344971</v>
      </c>
      <c r="O16" s="301">
        <f>CFS!S18</f>
        <v>-184.55384238179408</v>
      </c>
      <c r="P16" s="301">
        <f>CFS!T18</f>
        <v>-188.35414280822317</v>
      </c>
      <c r="Q16" s="301">
        <f>CFS!U18</f>
        <v>-192.12122566438765</v>
      </c>
      <c r="R16" s="301">
        <f>CFS!V18</f>
        <v>-195.96365017767542</v>
      </c>
      <c r="S16" s="301">
        <f>CFS!W18</f>
        <v>-199.88292318122893</v>
      </c>
      <c r="T16" s="301">
        <f>CFS!X18</f>
        <v>-203.88058164485349</v>
      </c>
      <c r="U16" s="301">
        <f>CFS!Y18</f>
        <v>-207.95819327775058</v>
      </c>
      <c r="V16" s="301">
        <f>CFS!Z18</f>
        <v>-212.11735714330558</v>
      </c>
      <c r="W16" s="301"/>
      <c r="X16" s="301"/>
      <c r="Y16" s="301"/>
      <c r="Z16" s="301"/>
      <c r="AA16" s="301"/>
      <c r="AB16" s="301"/>
      <c r="AC16" s="301"/>
      <c r="AD16" s="301"/>
    </row>
    <row r="17" spans="1:30" s="287" customFormat="1" ht="15" customHeight="1">
      <c r="B17" s="295"/>
      <c r="C17" s="303" t="s">
        <v>877</v>
      </c>
      <c r="D17" s="297" t="s">
        <v>878</v>
      </c>
      <c r="E17" s="304" t="s">
        <v>898</v>
      </c>
      <c r="F17" s="297" t="s">
        <v>896</v>
      </c>
      <c r="G17" s="305" t="str">
        <f t="shared" si="6"/>
        <v>USD млн</v>
      </c>
      <c r="H17" s="301">
        <f>CFS!L21+CFS!L22+CFS!L23</f>
        <v>-409.30599999999998</v>
      </c>
      <c r="I17" s="301">
        <f>CFS!M21+CFS!M22+CFS!M23</f>
        <v>-324.971</v>
      </c>
      <c r="J17" s="301">
        <f>CFS!N21+CFS!N22+CFS!N23</f>
        <v>-308.28800000000001</v>
      </c>
      <c r="K17" s="301">
        <f>CFS!O21+CFS!O22+CFS!O23</f>
        <v>-353.12800000000004</v>
      </c>
      <c r="L17" s="301">
        <f>CFS!P21+CFS!P22+CFS!P23</f>
        <v>-320.78499999999997</v>
      </c>
      <c r="M17" s="301">
        <f>CFS!Q21+CFS!Q22+CFS!Q23</f>
        <v>-283.98580856490906</v>
      </c>
      <c r="N17" s="301">
        <f>CFS!R21+CFS!R22+CFS!R23</f>
        <v>-633.82797999999229</v>
      </c>
      <c r="O17" s="301">
        <f>CFS!S21+CFS!S22+CFS!S23</f>
        <v>-341.62103700298104</v>
      </c>
      <c r="P17" s="301">
        <f>CFS!T21+CFS!T22+CFS!T23</f>
        <v>-318.22943235980722</v>
      </c>
      <c r="Q17" s="301">
        <f>CFS!U21+CFS!U22+CFS!U23</f>
        <v>-997.36259739313061</v>
      </c>
      <c r="R17" s="301">
        <f>CFS!V21+CFS!V22+CFS!V23</f>
        <v>-283.54708826585102</v>
      </c>
      <c r="S17" s="301">
        <f>CFS!W21+CFS!W22+CFS!W23</f>
        <v>-979.26477019614185</v>
      </c>
      <c r="T17" s="301">
        <f>CFS!X21+CFS!X22+CFS!X23</f>
        <v>-257.77390826350734</v>
      </c>
      <c r="U17" s="301">
        <f>CFS!Y21+CFS!Y22+CFS!Y23</f>
        <v>-319.59478185957187</v>
      </c>
      <c r="V17" s="301">
        <f>CFS!Z21+CFS!Z22+CFS!Z23</f>
        <v>-257.25072666320762</v>
      </c>
      <c r="W17" s="301"/>
      <c r="X17" s="301"/>
      <c r="Y17" s="301"/>
      <c r="Z17" s="301"/>
      <c r="AA17" s="301"/>
      <c r="AB17" s="301"/>
      <c r="AC17" s="301"/>
      <c r="AD17" s="301"/>
    </row>
    <row r="18" spans="1:30" ht="15" customHeight="1">
      <c r="A18" s="294"/>
      <c r="B18" s="295"/>
      <c r="C18" s="303" t="s">
        <v>881</v>
      </c>
      <c r="D18" s="297" t="s">
        <v>878</v>
      </c>
      <c r="E18" s="317" t="s">
        <v>899</v>
      </c>
      <c r="F18" s="317" t="s">
        <v>900</v>
      </c>
      <c r="G18" s="305" t="str">
        <f t="shared" si="6"/>
        <v>USD млн</v>
      </c>
      <c r="H18" s="326">
        <f ca="1">H15-H21+H35*(1-INDIRECT("Inputs!AA34"))</f>
        <v>807.7364</v>
      </c>
      <c r="I18" s="326">
        <f t="shared" ref="I18:V18" ca="1" si="9">I15-I21+I35*(1-INDIRECT("Inputs!AA34"))</f>
        <v>399.19040000000007</v>
      </c>
      <c r="J18" s="326">
        <f t="shared" ca="1" si="9"/>
        <v>464.65599999999995</v>
      </c>
      <c r="K18" s="326">
        <f t="shared" ca="1" si="9"/>
        <v>1022.9312</v>
      </c>
      <c r="L18" s="326">
        <f t="shared" ca="1" si="9"/>
        <v>971.10080000000005</v>
      </c>
      <c r="M18" s="326">
        <f t="shared" ca="1" si="9"/>
        <v>583.04046453252386</v>
      </c>
      <c r="N18" s="326">
        <f t="shared" ca="1" si="9"/>
        <v>720.14807251530658</v>
      </c>
      <c r="O18" s="326">
        <f t="shared" ca="1" si="9"/>
        <v>864.34734743503861</v>
      </c>
      <c r="P18" s="326">
        <f t="shared" ca="1" si="9"/>
        <v>856.05082327870844</v>
      </c>
      <c r="Q18" s="326">
        <f t="shared" ca="1" si="9"/>
        <v>817.77160914762555</v>
      </c>
      <c r="R18" s="326">
        <f t="shared" ca="1" si="9"/>
        <v>780.83966450771891</v>
      </c>
      <c r="S18" s="326">
        <f t="shared" ca="1" si="9"/>
        <v>771.70168817724107</v>
      </c>
      <c r="T18" s="326">
        <f t="shared" ca="1" si="9"/>
        <v>730.00307278435855</v>
      </c>
      <c r="U18" s="326">
        <f t="shared" ca="1" si="9"/>
        <v>720.87994692745417</v>
      </c>
      <c r="V18" s="326">
        <f t="shared" ca="1" si="9"/>
        <v>711.80329670271965</v>
      </c>
      <c r="W18" s="326">
        <f t="shared" ref="W18:AD18" ca="1" si="10">W15-W21+W35*(1-INDIRECT("Inputs!AT34"))</f>
        <v>0</v>
      </c>
      <c r="X18" s="326">
        <f t="shared" ca="1" si="10"/>
        <v>0</v>
      </c>
      <c r="Y18" s="326">
        <f t="shared" ca="1" si="10"/>
        <v>0</v>
      </c>
      <c r="Z18" s="326">
        <f t="shared" ca="1" si="10"/>
        <v>0</v>
      </c>
      <c r="AA18" s="326">
        <f t="shared" ca="1" si="10"/>
        <v>0</v>
      </c>
      <c r="AB18" s="326">
        <f t="shared" ca="1" si="10"/>
        <v>0</v>
      </c>
      <c r="AC18" s="326">
        <f t="shared" ca="1" si="10"/>
        <v>0</v>
      </c>
      <c r="AD18" s="326">
        <f t="shared" ca="1" si="10"/>
        <v>0</v>
      </c>
    </row>
    <row r="19" spans="1:30" ht="15" customHeight="1">
      <c r="A19" s="302"/>
      <c r="B19" s="316"/>
      <c r="C19" s="303" t="s">
        <v>881</v>
      </c>
      <c r="D19" s="297" t="s">
        <v>878</v>
      </c>
      <c r="E19" s="304" t="s">
        <v>901</v>
      </c>
      <c r="F19" s="321" t="s">
        <v>883</v>
      </c>
      <c r="G19" s="305" t="str">
        <f t="shared" si="6"/>
        <v>USD млн</v>
      </c>
      <c r="H19" s="306">
        <f t="shared" ref="H19:AD19" si="11">H15+H35-H23</f>
        <v>825.73799999999994</v>
      </c>
      <c r="I19" s="306">
        <f t="shared" ref="I19:V19" si="12">I15+I35-I23</f>
        <v>422.24700000000007</v>
      </c>
      <c r="J19" s="306">
        <f t="shared" si="12"/>
        <v>497.74599999999992</v>
      </c>
      <c r="K19" s="306">
        <f t="shared" si="12"/>
        <v>1055.9430000000002</v>
      </c>
      <c r="L19" s="306">
        <f t="shared" si="12"/>
        <v>1003.4639999999999</v>
      </c>
      <c r="M19" s="306">
        <f t="shared" si="12"/>
        <v>614.93513080252387</v>
      </c>
      <c r="N19" s="306">
        <f t="shared" si="12"/>
        <v>750.79036294969012</v>
      </c>
      <c r="O19" s="306">
        <f t="shared" si="12"/>
        <v>891.61550770503868</v>
      </c>
      <c r="P19" s="306">
        <f t="shared" si="12"/>
        <v>882.32958354870846</v>
      </c>
      <c r="Q19" s="306">
        <f t="shared" si="12"/>
        <v>841.53899304639265</v>
      </c>
      <c r="R19" s="306">
        <f t="shared" si="12"/>
        <v>799.01652252771896</v>
      </c>
      <c r="S19" s="306">
        <f t="shared" si="12"/>
        <v>789.53852423696731</v>
      </c>
      <c r="T19" s="306">
        <f t="shared" si="12"/>
        <v>740.87945930435853</v>
      </c>
      <c r="U19" s="306">
        <f t="shared" si="12"/>
        <v>731.40575871101601</v>
      </c>
      <c r="V19" s="306">
        <f t="shared" si="12"/>
        <v>721.98800874271956</v>
      </c>
      <c r="W19" s="306">
        <f t="shared" si="11"/>
        <v>0</v>
      </c>
      <c r="X19" s="306">
        <f t="shared" si="11"/>
        <v>0</v>
      </c>
      <c r="Y19" s="306">
        <f t="shared" si="11"/>
        <v>0</v>
      </c>
      <c r="Z19" s="306">
        <f t="shared" si="11"/>
        <v>0</v>
      </c>
      <c r="AA19" s="306">
        <f t="shared" si="11"/>
        <v>0</v>
      </c>
      <c r="AB19" s="306">
        <f t="shared" si="11"/>
        <v>0</v>
      </c>
      <c r="AC19" s="306">
        <f t="shared" si="11"/>
        <v>0</v>
      </c>
      <c r="AD19" s="306">
        <f t="shared" si="11"/>
        <v>0</v>
      </c>
    </row>
    <row r="20" spans="1:30" ht="15" customHeight="1">
      <c r="A20" s="294"/>
      <c r="B20" s="295"/>
      <c r="C20" s="303"/>
      <c r="D20" s="297"/>
      <c r="E20" s="317"/>
      <c r="F20" s="297"/>
      <c r="G20" s="320"/>
      <c r="H20" s="327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7"/>
    </row>
    <row r="21" spans="1:30" s="287" customFormat="1" ht="15" customHeight="1">
      <c r="B21" s="316" t="s">
        <v>876</v>
      </c>
      <c r="C21" s="303" t="s">
        <v>877</v>
      </c>
      <c r="D21" s="297" t="s">
        <v>878</v>
      </c>
      <c r="E21" s="317" t="s">
        <v>902</v>
      </c>
      <c r="F21" s="325" t="s">
        <v>903</v>
      </c>
      <c r="G21" s="305" t="str">
        <f>$G$2</f>
        <v>USD млн</v>
      </c>
      <c r="H21" s="306">
        <f t="shared" ref="H21:AD21" si="13">H22+H23</f>
        <v>244.476</v>
      </c>
      <c r="I21" s="306">
        <f t="shared" ref="I21:V21" si="14">I22+I23</f>
        <v>208.46700000000001</v>
      </c>
      <c r="J21" s="306">
        <f t="shared" si="14"/>
        <v>128.786</v>
      </c>
      <c r="K21" s="306">
        <f t="shared" si="14"/>
        <v>103.485</v>
      </c>
      <c r="L21" s="306">
        <f t="shared" si="14"/>
        <v>145.70099999999999</v>
      </c>
      <c r="M21" s="306">
        <f t="shared" si="14"/>
        <v>150.340623136441</v>
      </c>
      <c r="N21" s="306">
        <f t="shared" si="14"/>
        <v>180.83021817344971</v>
      </c>
      <c r="O21" s="306">
        <f t="shared" si="14"/>
        <v>184.55384238179408</v>
      </c>
      <c r="P21" s="306">
        <f t="shared" si="14"/>
        <v>188.35414280822317</v>
      </c>
      <c r="Q21" s="306">
        <f t="shared" si="14"/>
        <v>192.12122566438765</v>
      </c>
      <c r="R21" s="306">
        <f t="shared" si="14"/>
        <v>195.96365017767542</v>
      </c>
      <c r="S21" s="306">
        <f t="shared" si="14"/>
        <v>199.88292318122893</v>
      </c>
      <c r="T21" s="306">
        <f t="shared" si="14"/>
        <v>203.88058164485349</v>
      </c>
      <c r="U21" s="306">
        <f t="shared" si="14"/>
        <v>207.95819327775058</v>
      </c>
      <c r="V21" s="306">
        <f t="shared" si="14"/>
        <v>212.11735714330558</v>
      </c>
      <c r="W21" s="306">
        <f t="shared" si="13"/>
        <v>0</v>
      </c>
      <c r="X21" s="306">
        <f t="shared" si="13"/>
        <v>0</v>
      </c>
      <c r="Y21" s="306">
        <f t="shared" si="13"/>
        <v>0</v>
      </c>
      <c r="Z21" s="306">
        <f t="shared" si="13"/>
        <v>0</v>
      </c>
      <c r="AA21" s="306">
        <f t="shared" si="13"/>
        <v>0</v>
      </c>
      <c r="AB21" s="306">
        <f t="shared" si="13"/>
        <v>0</v>
      </c>
      <c r="AC21" s="306">
        <f t="shared" si="13"/>
        <v>0</v>
      </c>
      <c r="AD21" s="306">
        <f t="shared" si="13"/>
        <v>0</v>
      </c>
    </row>
    <row r="22" spans="1:30" ht="15" customHeight="1">
      <c r="A22" s="294"/>
      <c r="B22" s="295" t="s">
        <v>876</v>
      </c>
      <c r="C22" s="303" t="s">
        <v>877</v>
      </c>
      <c r="D22" s="297" t="s">
        <v>904</v>
      </c>
      <c r="E22" s="304" t="s">
        <v>905</v>
      </c>
      <c r="F22" s="321" t="s">
        <v>906</v>
      </c>
      <c r="G22" s="305" t="str">
        <f>$G$2</f>
        <v>USD млн</v>
      </c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</row>
    <row r="23" spans="1:30" ht="15" customHeight="1">
      <c r="A23" s="294"/>
      <c r="B23" s="295" t="s">
        <v>876</v>
      </c>
      <c r="C23" s="303" t="s">
        <v>877</v>
      </c>
      <c r="D23" s="297" t="s">
        <v>878</v>
      </c>
      <c r="E23" s="304" t="s">
        <v>907</v>
      </c>
      <c r="F23" s="321" t="s">
        <v>908</v>
      </c>
      <c r="G23" s="305" t="str">
        <f>$G$2</f>
        <v>USD млн</v>
      </c>
      <c r="H23" s="301">
        <f>-CFS!L15</f>
        <v>244.476</v>
      </c>
      <c r="I23" s="301">
        <f>-CFS!M15</f>
        <v>208.46700000000001</v>
      </c>
      <c r="J23" s="301">
        <f>-CFS!N15</f>
        <v>128.786</v>
      </c>
      <c r="K23" s="301">
        <f>-CFS!O15</f>
        <v>103.485</v>
      </c>
      <c r="L23" s="301">
        <f>-CFS!P15</f>
        <v>145.70099999999999</v>
      </c>
      <c r="M23" s="301">
        <f>-CFS!Q15</f>
        <v>150.340623136441</v>
      </c>
      <c r="N23" s="301">
        <f>-CFS!R15</f>
        <v>180.83021817344971</v>
      </c>
      <c r="O23" s="301">
        <f>-CFS!S15</f>
        <v>184.55384238179408</v>
      </c>
      <c r="P23" s="301">
        <f>-CFS!T15</f>
        <v>188.35414280822317</v>
      </c>
      <c r="Q23" s="301">
        <f>-CFS!U15</f>
        <v>192.12122566438765</v>
      </c>
      <c r="R23" s="301">
        <f>-CFS!V15</f>
        <v>195.96365017767542</v>
      </c>
      <c r="S23" s="301">
        <f>-CFS!W15</f>
        <v>199.88292318122893</v>
      </c>
      <c r="T23" s="301">
        <f>-CFS!X15</f>
        <v>203.88058164485349</v>
      </c>
      <c r="U23" s="301">
        <f>-CFS!Y15</f>
        <v>207.95819327775058</v>
      </c>
      <c r="V23" s="301">
        <f>-CFS!Z15</f>
        <v>212.11735714330558</v>
      </c>
      <c r="W23" s="301"/>
      <c r="X23" s="301"/>
      <c r="Y23" s="301"/>
      <c r="Z23" s="301"/>
      <c r="AA23" s="301"/>
      <c r="AB23" s="301"/>
      <c r="AC23" s="301"/>
      <c r="AD23" s="301"/>
    </row>
    <row r="24" spans="1:30" ht="15" customHeight="1">
      <c r="A24" s="294"/>
      <c r="B24" s="295"/>
      <c r="C24" s="303"/>
      <c r="D24" s="297"/>
      <c r="E24" s="317"/>
      <c r="F24" s="297"/>
      <c r="G24" s="320"/>
      <c r="H24" s="327"/>
      <c r="I24" s="327"/>
      <c r="J24" s="327"/>
      <c r="K24" s="327"/>
      <c r="L24" s="327"/>
      <c r="M24" s="327"/>
      <c r="N24" s="327"/>
      <c r="O24" s="327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  <c r="AA24" s="327"/>
      <c r="AB24" s="327"/>
      <c r="AC24" s="327"/>
      <c r="AD24" s="327"/>
    </row>
    <row r="25" spans="1:30" s="287" customFormat="1" ht="15" customHeight="1">
      <c r="B25" s="316" t="s">
        <v>876</v>
      </c>
      <c r="C25" s="303" t="s">
        <v>877</v>
      </c>
      <c r="D25" s="297" t="s">
        <v>878</v>
      </c>
      <c r="E25" s="317" t="s">
        <v>909</v>
      </c>
      <c r="F25" s="321" t="s">
        <v>886</v>
      </c>
      <c r="G25" s="305" t="str">
        <f t="shared" ref="G25:G53" si="15">$G$2</f>
        <v>USD млн</v>
      </c>
      <c r="H25" s="318">
        <f>PRINT!L25</f>
        <v>1458.2860000000001</v>
      </c>
      <c r="I25" s="318">
        <f>PRINT!M25</f>
        <v>2487.3580000000002</v>
      </c>
      <c r="J25" s="318">
        <f>PRINT!N25</f>
        <v>3085.6060000000002</v>
      </c>
      <c r="K25" s="318">
        <f>PRINT!O25</f>
        <v>2875.2930000000001</v>
      </c>
      <c r="L25" s="318">
        <f>PRINT!P25</f>
        <v>3021.6759999999999</v>
      </c>
      <c r="M25" s="318">
        <f>PRINT!Q25</f>
        <v>2913.8469999999998</v>
      </c>
      <c r="N25" s="318">
        <f>PRINT!R25</f>
        <v>2518.3090000000002</v>
      </c>
      <c r="O25" s="318">
        <f>PRINT!S25</f>
        <v>2432.3809999999999</v>
      </c>
      <c r="P25" s="318">
        <f>PRINT!T25</f>
        <v>2357.393</v>
      </c>
      <c r="Q25" s="318">
        <f>PRINT!U25</f>
        <v>1594.2600000000002</v>
      </c>
      <c r="R25" s="318">
        <f>PRINT!V25</f>
        <v>1524.7760000000001</v>
      </c>
      <c r="S25" s="318">
        <f>PRINT!W25</f>
        <v>760.00900000000013</v>
      </c>
      <c r="T25" s="318">
        <f>PRINT!X25</f>
        <v>690.52500000000009</v>
      </c>
      <c r="U25" s="318">
        <f>PRINT!Y25</f>
        <v>559.0630000000001</v>
      </c>
      <c r="V25" s="318">
        <f>PRINT!Z25</f>
        <v>489.57900000000018</v>
      </c>
      <c r="W25" s="318"/>
      <c r="X25" s="318"/>
      <c r="Y25" s="318"/>
      <c r="Z25" s="318"/>
      <c r="AA25" s="318"/>
      <c r="AB25" s="318"/>
      <c r="AC25" s="318"/>
      <c r="AD25" s="318"/>
    </row>
    <row r="26" spans="1:30" s="287" customFormat="1" ht="15" customHeight="1">
      <c r="A26" s="328"/>
      <c r="B26" s="329" t="s">
        <v>876</v>
      </c>
      <c r="C26" s="330" t="s">
        <v>877</v>
      </c>
      <c r="D26" s="331" t="s">
        <v>878</v>
      </c>
      <c r="E26" s="332" t="s">
        <v>910</v>
      </c>
      <c r="F26" s="333" t="s">
        <v>911</v>
      </c>
      <c r="G26" s="305" t="str">
        <f t="shared" si="15"/>
        <v>USD млн</v>
      </c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</row>
    <row r="27" spans="1:30" ht="15" customHeight="1">
      <c r="A27" s="294"/>
      <c r="B27" s="295" t="s">
        <v>876</v>
      </c>
      <c r="C27" s="303" t="s">
        <v>877</v>
      </c>
      <c r="D27" s="297" t="s">
        <v>878</v>
      </c>
      <c r="E27" s="304" t="s">
        <v>912</v>
      </c>
      <c r="F27" s="321" t="s">
        <v>886</v>
      </c>
      <c r="G27" s="305" t="str">
        <f t="shared" si="15"/>
        <v>USD млн</v>
      </c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</row>
    <row r="28" spans="1:30" ht="15" customHeight="1">
      <c r="A28" s="294"/>
      <c r="B28" s="295"/>
      <c r="C28" s="303" t="s">
        <v>881</v>
      </c>
      <c r="D28" s="297" t="s">
        <v>878</v>
      </c>
      <c r="E28" s="304" t="s">
        <v>913</v>
      </c>
      <c r="F28" s="321" t="s">
        <v>886</v>
      </c>
      <c r="G28" s="305" t="str">
        <f t="shared" si="15"/>
        <v>USD млн</v>
      </c>
      <c r="H28" s="318">
        <f>PRINT!L28</f>
        <v>1202.2090000000001</v>
      </c>
      <c r="I28" s="318">
        <f>PRINT!M28</f>
        <v>2070.5950000000003</v>
      </c>
      <c r="J28" s="318">
        <f>PRINT!N28</f>
        <v>2251.7650000000003</v>
      </c>
      <c r="K28" s="318">
        <f>PRINT!O28</f>
        <v>1943.2240000000002</v>
      </c>
      <c r="L28" s="318">
        <f>PRINT!P28</f>
        <v>2163.9290000000001</v>
      </c>
      <c r="M28" s="318">
        <f>PRINT!Q28</f>
        <v>2324.624009112385</v>
      </c>
      <c r="N28" s="318">
        <f>PRINT!R28</f>
        <v>1965.3350783346054</v>
      </c>
      <c r="O28" s="318">
        <f>PRINT!S28</f>
        <v>1465.7534089825476</v>
      </c>
      <c r="P28" s="318">
        <f>PRINT!T28</f>
        <v>958.05905914364666</v>
      </c>
      <c r="Q28" s="318">
        <f>PRINT!U28</f>
        <v>469.58658298422051</v>
      </c>
      <c r="R28" s="318">
        <f>PRINT!V28</f>
        <v>-24.48256117764754</v>
      </c>
      <c r="S28" s="318">
        <f>PRINT!W28</f>
        <v>-510.33913491984265</v>
      </c>
      <c r="T28" s="318">
        <f>PRINT!X28</f>
        <v>-1008.5467533606939</v>
      </c>
      <c r="U28" s="318">
        <f>PRINT!Y28</f>
        <v>-1499.1906712943296</v>
      </c>
      <c r="V28" s="318">
        <f>PRINT!Z28</f>
        <v>-1982.4883931738418</v>
      </c>
      <c r="W28" s="318"/>
      <c r="X28" s="318"/>
      <c r="Y28" s="318"/>
      <c r="Z28" s="318"/>
      <c r="AA28" s="318"/>
      <c r="AB28" s="318"/>
      <c r="AC28" s="318"/>
      <c r="AD28" s="318"/>
    </row>
    <row r="29" spans="1:30" ht="15" customHeight="1">
      <c r="A29" s="294"/>
      <c r="B29" s="295"/>
      <c r="C29" s="303" t="s">
        <v>881</v>
      </c>
      <c r="D29" s="297" t="s">
        <v>878</v>
      </c>
      <c r="E29" s="304" t="s">
        <v>914</v>
      </c>
      <c r="F29" s="297" t="s">
        <v>915</v>
      </c>
      <c r="G29" s="305" t="str">
        <f t="shared" si="15"/>
        <v>USD млн</v>
      </c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</row>
    <row r="30" spans="1:30" ht="15" customHeight="1">
      <c r="A30" s="294"/>
      <c r="B30" s="295"/>
      <c r="C30" s="303" t="s">
        <v>881</v>
      </c>
      <c r="D30" s="297" t="s">
        <v>878</v>
      </c>
      <c r="E30" s="304" t="s">
        <v>916</v>
      </c>
      <c r="F30" s="297" t="s">
        <v>915</v>
      </c>
      <c r="G30" s="305" t="str">
        <f t="shared" si="15"/>
        <v>USD млн</v>
      </c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</row>
    <row r="31" spans="1:30" ht="15" customHeight="1">
      <c r="A31" s="294"/>
      <c r="B31" s="295"/>
      <c r="C31" s="303" t="s">
        <v>881</v>
      </c>
      <c r="D31" s="297" t="s">
        <v>878</v>
      </c>
      <c r="E31" s="304" t="s">
        <v>917</v>
      </c>
      <c r="F31" s="321" t="s">
        <v>886</v>
      </c>
      <c r="G31" s="305" t="str">
        <f t="shared" si="15"/>
        <v>USD млн</v>
      </c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</row>
    <row r="32" spans="1:30" s="315" customFormat="1" ht="15" customHeight="1">
      <c r="A32" s="334"/>
      <c r="B32" s="335" t="s">
        <v>876</v>
      </c>
      <c r="C32" s="309" t="s">
        <v>877</v>
      </c>
      <c r="D32" s="310" t="s">
        <v>878</v>
      </c>
      <c r="E32" s="311" t="s">
        <v>918</v>
      </c>
      <c r="F32" s="312" t="s">
        <v>911</v>
      </c>
      <c r="G32" s="336" t="str">
        <f t="shared" si="15"/>
        <v>USD млн</v>
      </c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37"/>
      <c r="U32" s="337"/>
      <c r="V32" s="337"/>
      <c r="W32" s="337"/>
      <c r="X32" s="337"/>
      <c r="Y32" s="337"/>
      <c r="Z32" s="337"/>
      <c r="AA32" s="337"/>
      <c r="AB32" s="337"/>
      <c r="AC32" s="337"/>
      <c r="AD32" s="337"/>
    </row>
    <row r="33" spans="1:30" ht="15" customHeight="1">
      <c r="A33" s="302"/>
      <c r="B33" s="316" t="s">
        <v>876</v>
      </c>
      <c r="C33" s="303" t="s">
        <v>881</v>
      </c>
      <c r="D33" s="297" t="s">
        <v>878</v>
      </c>
      <c r="E33" s="317" t="s">
        <v>919</v>
      </c>
      <c r="F33" s="325" t="s">
        <v>883</v>
      </c>
      <c r="G33" s="305" t="str">
        <f t="shared" si="15"/>
        <v>USD млн</v>
      </c>
      <c r="H33" s="338">
        <f t="shared" ref="H33:AD33" si="16">H34+H35+H38</f>
        <v>90.007999999999996</v>
      </c>
      <c r="I33" s="338">
        <f t="shared" si="16"/>
        <v>115.283</v>
      </c>
      <c r="J33" s="338">
        <f t="shared" si="16"/>
        <v>165.45</v>
      </c>
      <c r="K33" s="338">
        <f t="shared" si="16"/>
        <v>165.059</v>
      </c>
      <c r="L33" s="338">
        <f t="shared" si="16"/>
        <v>161.816</v>
      </c>
      <c r="M33" s="338">
        <f t="shared" si="16"/>
        <v>159.47333135</v>
      </c>
      <c r="N33" s="338">
        <f t="shared" si="16"/>
        <v>153.21145217191781</v>
      </c>
      <c r="O33" s="338">
        <f t="shared" si="16"/>
        <v>136.34080134999999</v>
      </c>
      <c r="P33" s="338">
        <f t="shared" si="16"/>
        <v>131.39380134999999</v>
      </c>
      <c r="Q33" s="338">
        <f t="shared" si="16"/>
        <v>118.83691949383561</v>
      </c>
      <c r="R33" s="338">
        <f t="shared" si="16"/>
        <v>90.884290100000001</v>
      </c>
      <c r="S33" s="338">
        <f t="shared" si="16"/>
        <v>89.184180298630125</v>
      </c>
      <c r="T33" s="338">
        <f t="shared" si="16"/>
        <v>54.381932599999999</v>
      </c>
      <c r="U33" s="338">
        <f t="shared" si="16"/>
        <v>52.629058917808223</v>
      </c>
      <c r="V33" s="338">
        <f t="shared" si="16"/>
        <v>50.923560199999997</v>
      </c>
      <c r="W33" s="338">
        <f t="shared" si="16"/>
        <v>0</v>
      </c>
      <c r="X33" s="338">
        <f t="shared" si="16"/>
        <v>0</v>
      </c>
      <c r="Y33" s="338">
        <f t="shared" si="16"/>
        <v>0</v>
      </c>
      <c r="Z33" s="338">
        <f t="shared" si="16"/>
        <v>0</v>
      </c>
      <c r="AA33" s="338">
        <f t="shared" si="16"/>
        <v>0</v>
      </c>
      <c r="AB33" s="338">
        <f t="shared" si="16"/>
        <v>0</v>
      </c>
      <c r="AC33" s="338">
        <f t="shared" si="16"/>
        <v>0</v>
      </c>
      <c r="AD33" s="338">
        <f t="shared" si="16"/>
        <v>0</v>
      </c>
    </row>
    <row r="34" spans="1:30" s="287" customFormat="1" ht="15" customHeight="1">
      <c r="B34" s="316" t="s">
        <v>876</v>
      </c>
      <c r="C34" s="303" t="s">
        <v>881</v>
      </c>
      <c r="D34" s="297" t="s">
        <v>878</v>
      </c>
      <c r="E34" s="304" t="s">
        <v>920</v>
      </c>
      <c r="F34" s="321" t="s">
        <v>921</v>
      </c>
      <c r="G34" s="305" t="str">
        <f t="shared" si="15"/>
        <v>USD млн</v>
      </c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</row>
    <row r="35" spans="1:30" ht="15" customHeight="1">
      <c r="A35" s="294"/>
      <c r="B35" s="295" t="s">
        <v>876</v>
      </c>
      <c r="C35" s="303" t="s">
        <v>877</v>
      </c>
      <c r="D35" s="297" t="s">
        <v>878</v>
      </c>
      <c r="E35" s="304" t="s">
        <v>922</v>
      </c>
      <c r="F35" s="321" t="s">
        <v>921</v>
      </c>
      <c r="G35" s="305" t="str">
        <f t="shared" si="15"/>
        <v>USD млн</v>
      </c>
      <c r="H35" s="301">
        <f>-CFS!L22</f>
        <v>90.007999999999996</v>
      </c>
      <c r="I35" s="301">
        <f>-CFS!M22</f>
        <v>115.283</v>
      </c>
      <c r="J35" s="301">
        <f>-CFS!N22</f>
        <v>165.45</v>
      </c>
      <c r="K35" s="301">
        <f>-CFS!O22</f>
        <v>165.059</v>
      </c>
      <c r="L35" s="301">
        <f>-CFS!P22</f>
        <v>161.816</v>
      </c>
      <c r="M35" s="301">
        <f>-CFS!Q22</f>
        <v>159.47333135</v>
      </c>
      <c r="N35" s="301">
        <f>-CFS!R22</f>
        <v>153.21145217191781</v>
      </c>
      <c r="O35" s="301">
        <f>-CFS!S22</f>
        <v>136.34080134999999</v>
      </c>
      <c r="P35" s="301">
        <f>-CFS!T22</f>
        <v>131.39380134999999</v>
      </c>
      <c r="Q35" s="301">
        <f>-CFS!U22</f>
        <v>118.83691949383561</v>
      </c>
      <c r="R35" s="301">
        <f>-CFS!V22</f>
        <v>90.884290100000001</v>
      </c>
      <c r="S35" s="301">
        <f>-CFS!W22</f>
        <v>89.184180298630125</v>
      </c>
      <c r="T35" s="301">
        <f>-CFS!X22</f>
        <v>54.381932599999999</v>
      </c>
      <c r="U35" s="301">
        <f>-CFS!Y22</f>
        <v>52.629058917808223</v>
      </c>
      <c r="V35" s="301">
        <f>-CFS!Z22</f>
        <v>50.923560199999997</v>
      </c>
      <c r="W35" s="301"/>
      <c r="X35" s="301"/>
      <c r="Y35" s="301"/>
      <c r="Z35" s="301"/>
      <c r="AA35" s="301"/>
      <c r="AB35" s="301"/>
      <c r="AC35" s="301"/>
      <c r="AD35" s="301"/>
    </row>
    <row r="36" spans="1:30" ht="15" customHeight="1">
      <c r="A36" s="339"/>
      <c r="B36" s="340" t="s">
        <v>876</v>
      </c>
      <c r="C36" s="341" t="s">
        <v>877</v>
      </c>
      <c r="D36" s="342" t="s">
        <v>878</v>
      </c>
      <c r="E36" s="343" t="s">
        <v>923</v>
      </c>
      <c r="F36" s="342" t="s">
        <v>911</v>
      </c>
      <c r="G36" s="336" t="str">
        <f t="shared" si="15"/>
        <v>USD млн</v>
      </c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</row>
    <row r="37" spans="1:30" ht="15" customHeight="1">
      <c r="A37" s="339"/>
      <c r="B37" s="340" t="s">
        <v>876</v>
      </c>
      <c r="C37" s="341" t="s">
        <v>877</v>
      </c>
      <c r="D37" s="342" t="s">
        <v>878</v>
      </c>
      <c r="E37" s="343" t="s">
        <v>924</v>
      </c>
      <c r="F37" s="342" t="s">
        <v>911</v>
      </c>
      <c r="G37" s="336" t="str">
        <f t="shared" si="15"/>
        <v>USD млн</v>
      </c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</row>
    <row r="38" spans="1:30" ht="15" customHeight="1">
      <c r="A38" s="294"/>
      <c r="B38" s="316" t="s">
        <v>876</v>
      </c>
      <c r="C38" s="303" t="s">
        <v>877</v>
      </c>
      <c r="D38" s="297" t="s">
        <v>878</v>
      </c>
      <c r="E38" s="304" t="s">
        <v>925</v>
      </c>
      <c r="F38" s="321" t="s">
        <v>883</v>
      </c>
      <c r="G38" s="305" t="str">
        <f t="shared" si="15"/>
        <v>USD млн</v>
      </c>
      <c r="H38" s="306">
        <f t="shared" ref="H38:AD38" si="17">H39+H40</f>
        <v>0</v>
      </c>
      <c r="I38" s="306">
        <f t="shared" si="17"/>
        <v>0</v>
      </c>
      <c r="J38" s="306">
        <f t="shared" si="17"/>
        <v>0</v>
      </c>
      <c r="K38" s="306">
        <f t="shared" si="17"/>
        <v>0</v>
      </c>
      <c r="L38" s="306">
        <f t="shared" si="17"/>
        <v>0</v>
      </c>
      <c r="M38" s="306">
        <f t="shared" si="17"/>
        <v>0</v>
      </c>
      <c r="N38" s="306">
        <f t="shared" si="17"/>
        <v>0</v>
      </c>
      <c r="O38" s="306">
        <f t="shared" si="17"/>
        <v>0</v>
      </c>
      <c r="P38" s="306">
        <f t="shared" si="17"/>
        <v>0</v>
      </c>
      <c r="Q38" s="306">
        <f t="shared" si="17"/>
        <v>0</v>
      </c>
      <c r="R38" s="306">
        <f t="shared" si="17"/>
        <v>0</v>
      </c>
      <c r="S38" s="306">
        <f t="shared" si="17"/>
        <v>0</v>
      </c>
      <c r="T38" s="306">
        <f t="shared" si="17"/>
        <v>0</v>
      </c>
      <c r="U38" s="306">
        <f t="shared" si="17"/>
        <v>0</v>
      </c>
      <c r="V38" s="306">
        <f t="shared" si="17"/>
        <v>0</v>
      </c>
      <c r="W38" s="306">
        <f t="shared" si="17"/>
        <v>0</v>
      </c>
      <c r="X38" s="306">
        <f t="shared" si="17"/>
        <v>0</v>
      </c>
      <c r="Y38" s="306">
        <f t="shared" si="17"/>
        <v>0</v>
      </c>
      <c r="Z38" s="306">
        <f t="shared" si="17"/>
        <v>0</v>
      </c>
      <c r="AA38" s="306">
        <f t="shared" si="17"/>
        <v>0</v>
      </c>
      <c r="AB38" s="306">
        <f t="shared" si="17"/>
        <v>0</v>
      </c>
      <c r="AC38" s="306">
        <f t="shared" si="17"/>
        <v>0</v>
      </c>
      <c r="AD38" s="306">
        <f t="shared" si="17"/>
        <v>0</v>
      </c>
    </row>
    <row r="39" spans="1:30" ht="15" customHeight="1">
      <c r="A39" s="294"/>
      <c r="B39" s="316" t="s">
        <v>876</v>
      </c>
      <c r="C39" s="303" t="s">
        <v>877</v>
      </c>
      <c r="D39" s="297" t="s">
        <v>878</v>
      </c>
      <c r="E39" s="344" t="s">
        <v>926</v>
      </c>
      <c r="F39" s="321" t="s">
        <v>927</v>
      </c>
      <c r="G39" s="305" t="str">
        <f t="shared" si="15"/>
        <v>USD млн</v>
      </c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</row>
    <row r="40" spans="1:30" ht="15" customHeight="1">
      <c r="A40" s="294"/>
      <c r="B40" s="316" t="s">
        <v>876</v>
      </c>
      <c r="C40" s="303" t="s">
        <v>877</v>
      </c>
      <c r="D40" s="297" t="s">
        <v>878</v>
      </c>
      <c r="E40" s="344" t="s">
        <v>928</v>
      </c>
      <c r="F40" s="321" t="s">
        <v>927</v>
      </c>
      <c r="G40" s="305" t="str">
        <f t="shared" si="15"/>
        <v>USD млн</v>
      </c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</row>
    <row r="41" spans="1:30" ht="15" customHeight="1">
      <c r="A41" s="345"/>
      <c r="B41" s="329"/>
      <c r="C41" s="330" t="s">
        <v>877</v>
      </c>
      <c r="D41" s="331" t="s">
        <v>878</v>
      </c>
      <c r="E41" s="332" t="s">
        <v>929</v>
      </c>
      <c r="F41" s="333" t="s">
        <v>911</v>
      </c>
      <c r="G41" s="305" t="str">
        <f t="shared" si="15"/>
        <v>USD млн</v>
      </c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</row>
    <row r="42" spans="1:30" s="287" customFormat="1" ht="15" customHeight="1">
      <c r="B42" s="316" t="s">
        <v>876</v>
      </c>
      <c r="C42" s="303" t="s">
        <v>877</v>
      </c>
      <c r="D42" s="297" t="s">
        <v>878</v>
      </c>
      <c r="E42" s="317" t="s">
        <v>930</v>
      </c>
      <c r="F42" s="346" t="s">
        <v>931</v>
      </c>
      <c r="G42" s="305" t="str">
        <f t="shared" si="15"/>
        <v>USD млн</v>
      </c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</row>
    <row r="43" spans="1:30" s="287" customFormat="1" ht="15" customHeight="1">
      <c r="B43" s="316"/>
      <c r="C43" s="303" t="s">
        <v>877</v>
      </c>
      <c r="D43" s="297" t="s">
        <v>878</v>
      </c>
      <c r="E43" s="317" t="s">
        <v>932</v>
      </c>
      <c r="F43" s="347" t="s">
        <v>933</v>
      </c>
      <c r="G43" s="305" t="str">
        <f t="shared" si="15"/>
        <v>USD млн</v>
      </c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</row>
    <row r="44" spans="1:30" s="287" customFormat="1" ht="15" customHeight="1">
      <c r="B44" s="316" t="s">
        <v>876</v>
      </c>
      <c r="C44" s="303" t="s">
        <v>877</v>
      </c>
      <c r="D44" s="297" t="s">
        <v>878</v>
      </c>
      <c r="E44" s="317" t="s">
        <v>934</v>
      </c>
      <c r="F44" s="317" t="s">
        <v>915</v>
      </c>
      <c r="G44" s="305" t="str">
        <f t="shared" si="15"/>
        <v>USD млн</v>
      </c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</row>
    <row r="45" spans="1:30" s="287" customFormat="1" ht="15" customHeight="1">
      <c r="B45" s="316" t="s">
        <v>876</v>
      </c>
      <c r="C45" s="303" t="s">
        <v>877</v>
      </c>
      <c r="D45" s="297" t="s">
        <v>878</v>
      </c>
      <c r="E45" s="317" t="s">
        <v>935</v>
      </c>
      <c r="F45" s="317" t="s">
        <v>915</v>
      </c>
      <c r="G45" s="305" t="str">
        <f t="shared" si="15"/>
        <v>USD млн</v>
      </c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</row>
    <row r="46" spans="1:30" s="287" customFormat="1" ht="15" customHeight="1">
      <c r="B46" s="316" t="s">
        <v>876</v>
      </c>
      <c r="C46" s="303" t="s">
        <v>877</v>
      </c>
      <c r="D46" s="297" t="s">
        <v>878</v>
      </c>
      <c r="E46" s="317" t="s">
        <v>936</v>
      </c>
      <c r="F46" s="317" t="s">
        <v>915</v>
      </c>
      <c r="G46" s="305" t="str">
        <f t="shared" si="15"/>
        <v>USD млн</v>
      </c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</row>
    <row r="47" spans="1:30" s="287" customFormat="1" ht="15" customHeight="1">
      <c r="B47" s="316" t="s">
        <v>876</v>
      </c>
      <c r="C47" s="303" t="s">
        <v>877</v>
      </c>
      <c r="D47" s="297" t="s">
        <v>878</v>
      </c>
      <c r="E47" s="317" t="s">
        <v>937</v>
      </c>
      <c r="F47" s="317" t="s">
        <v>915</v>
      </c>
      <c r="G47" s="305" t="str">
        <f t="shared" si="15"/>
        <v>USD млн</v>
      </c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</row>
    <row r="48" spans="1:30" s="287" customFormat="1" ht="15" customHeight="1">
      <c r="B48" s="316" t="s">
        <v>876</v>
      </c>
      <c r="C48" s="303" t="s">
        <v>877</v>
      </c>
      <c r="D48" s="297" t="s">
        <v>878</v>
      </c>
      <c r="E48" s="317" t="s">
        <v>938</v>
      </c>
      <c r="F48" s="317" t="s">
        <v>915</v>
      </c>
      <c r="G48" s="305" t="str">
        <f t="shared" si="15"/>
        <v>USD млн</v>
      </c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</row>
    <row r="49" spans="1:30" s="287" customFormat="1" ht="15" customHeight="1">
      <c r="B49" s="316" t="s">
        <v>876</v>
      </c>
      <c r="C49" s="303" t="s">
        <v>877</v>
      </c>
      <c r="D49" s="297" t="s">
        <v>878</v>
      </c>
      <c r="E49" s="317" t="s">
        <v>939</v>
      </c>
      <c r="F49" s="317" t="s">
        <v>915</v>
      </c>
      <c r="G49" s="305" t="str">
        <f t="shared" si="15"/>
        <v>USD млн</v>
      </c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</row>
    <row r="50" spans="1:30" s="287" customFormat="1" ht="15" customHeight="1">
      <c r="B50" s="316" t="s">
        <v>876</v>
      </c>
      <c r="C50" s="303" t="s">
        <v>877</v>
      </c>
      <c r="D50" s="297" t="s">
        <v>878</v>
      </c>
      <c r="E50" s="317" t="s">
        <v>940</v>
      </c>
      <c r="F50" s="317" t="s">
        <v>915</v>
      </c>
      <c r="G50" s="305" t="str">
        <f t="shared" si="15"/>
        <v>USD млн</v>
      </c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</row>
    <row r="51" spans="1:30" s="352" customFormat="1" ht="15" customHeight="1">
      <c r="A51" s="348"/>
      <c r="B51" s="349" t="s">
        <v>876</v>
      </c>
      <c r="C51" s="350" t="s">
        <v>877</v>
      </c>
      <c r="D51" s="342" t="s">
        <v>878</v>
      </c>
      <c r="E51" s="351" t="s">
        <v>941</v>
      </c>
      <c r="F51" s="351" t="s">
        <v>915</v>
      </c>
      <c r="G51" s="336" t="str">
        <f t="shared" si="15"/>
        <v>USD млн</v>
      </c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</row>
    <row r="52" spans="1:30" s="352" customFormat="1" ht="15" customHeight="1">
      <c r="A52" s="348"/>
      <c r="B52" s="349" t="s">
        <v>876</v>
      </c>
      <c r="C52" s="350" t="s">
        <v>877</v>
      </c>
      <c r="D52" s="342" t="s">
        <v>878</v>
      </c>
      <c r="E52" s="351" t="s">
        <v>942</v>
      </c>
      <c r="F52" s="351" t="s">
        <v>879</v>
      </c>
      <c r="G52" s="336" t="str">
        <f t="shared" si="15"/>
        <v>USD млн</v>
      </c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</row>
    <row r="53" spans="1:30" s="352" customFormat="1" ht="15" customHeight="1">
      <c r="A53" s="348"/>
      <c r="B53" s="349" t="s">
        <v>876</v>
      </c>
      <c r="C53" s="350" t="s">
        <v>877</v>
      </c>
      <c r="D53" s="342" t="s">
        <v>878</v>
      </c>
      <c r="E53" s="351" t="s">
        <v>943</v>
      </c>
      <c r="F53" s="351" t="s">
        <v>879</v>
      </c>
      <c r="G53" s="336" t="str">
        <f t="shared" si="15"/>
        <v>USD млн</v>
      </c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  <c r="W53" s="337"/>
      <c r="X53" s="337"/>
      <c r="Y53" s="337"/>
      <c r="Z53" s="337"/>
      <c r="AA53" s="337"/>
      <c r="AB53" s="337"/>
      <c r="AC53" s="337"/>
      <c r="AD53" s="337"/>
    </row>
    <row r="54" spans="1:30" s="287" customFormat="1" ht="15" customHeight="1">
      <c r="B54" s="316"/>
      <c r="C54" s="303"/>
      <c r="D54" s="297"/>
      <c r="E54" s="317"/>
      <c r="F54" s="317"/>
      <c r="G54" s="305"/>
      <c r="H54" s="353"/>
      <c r="I54" s="353"/>
      <c r="J54" s="35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3"/>
      <c r="Z54" s="353"/>
      <c r="AA54" s="353"/>
      <c r="AB54" s="353"/>
      <c r="AC54" s="353"/>
      <c r="AD54" s="353"/>
    </row>
    <row r="55" spans="1:30" ht="15" customHeight="1">
      <c r="A55" s="294"/>
      <c r="B55" s="295"/>
      <c r="C55" s="303"/>
      <c r="D55" s="297"/>
      <c r="E55" s="317"/>
      <c r="F55" s="297"/>
      <c r="G55" s="320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27"/>
      <c r="X55" s="327"/>
      <c r="Y55" s="327"/>
      <c r="Z55" s="327"/>
      <c r="AA55" s="327"/>
      <c r="AB55" s="327"/>
      <c r="AC55" s="327"/>
      <c r="AD55" s="327"/>
    </row>
    <row r="56" spans="1:30" s="287" customFormat="1" ht="15" customHeight="1">
      <c r="B56" s="316" t="s">
        <v>876</v>
      </c>
      <c r="C56" s="303" t="s">
        <v>877</v>
      </c>
      <c r="D56" s="297" t="s">
        <v>878</v>
      </c>
      <c r="E56" s="317" t="s">
        <v>944</v>
      </c>
      <c r="F56" s="317" t="s">
        <v>911</v>
      </c>
      <c r="G56" s="305" t="str">
        <f t="shared" ref="G56:G67" si="18">$G$2</f>
        <v>USD млн</v>
      </c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</row>
    <row r="57" spans="1:30" s="287" customFormat="1" ht="15" customHeight="1">
      <c r="A57" s="328"/>
      <c r="B57" s="329" t="s">
        <v>876</v>
      </c>
      <c r="C57" s="330" t="s">
        <v>877</v>
      </c>
      <c r="D57" s="331" t="s">
        <v>878</v>
      </c>
      <c r="E57" s="332" t="s">
        <v>945</v>
      </c>
      <c r="F57" s="333" t="s">
        <v>911</v>
      </c>
      <c r="G57" s="305" t="str">
        <f t="shared" si="18"/>
        <v>USD млн</v>
      </c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</row>
    <row r="58" spans="1:30" s="287" customFormat="1" ht="15" customHeight="1">
      <c r="B58" s="316" t="s">
        <v>876</v>
      </c>
      <c r="C58" s="354" t="s">
        <v>877</v>
      </c>
      <c r="D58" s="297" t="s">
        <v>878</v>
      </c>
      <c r="E58" s="325" t="s">
        <v>946</v>
      </c>
      <c r="F58" s="317" t="s">
        <v>883</v>
      </c>
      <c r="G58" s="305" t="str">
        <f t="shared" si="18"/>
        <v>USD млн</v>
      </c>
      <c r="H58" s="306">
        <f t="shared" ref="H58:AD58" si="19">H59+H60+H63</f>
        <v>0</v>
      </c>
      <c r="I58" s="306">
        <f t="shared" si="19"/>
        <v>0</v>
      </c>
      <c r="J58" s="306">
        <f t="shared" si="19"/>
        <v>0</v>
      </c>
      <c r="K58" s="306">
        <f t="shared" si="19"/>
        <v>0</v>
      </c>
      <c r="L58" s="306">
        <f t="shared" si="19"/>
        <v>0</v>
      </c>
      <c r="M58" s="306">
        <f t="shared" si="19"/>
        <v>0</v>
      </c>
      <c r="N58" s="306">
        <f t="shared" si="19"/>
        <v>0</v>
      </c>
      <c r="O58" s="306">
        <f t="shared" si="19"/>
        <v>0</v>
      </c>
      <c r="P58" s="306">
        <f t="shared" si="19"/>
        <v>0</v>
      </c>
      <c r="Q58" s="306">
        <f t="shared" si="19"/>
        <v>0</v>
      </c>
      <c r="R58" s="306">
        <f t="shared" si="19"/>
        <v>0</v>
      </c>
      <c r="S58" s="306">
        <f t="shared" si="19"/>
        <v>0</v>
      </c>
      <c r="T58" s="306">
        <f t="shared" si="19"/>
        <v>0</v>
      </c>
      <c r="U58" s="306">
        <f t="shared" si="19"/>
        <v>0</v>
      </c>
      <c r="V58" s="306">
        <f t="shared" si="19"/>
        <v>0</v>
      </c>
      <c r="W58" s="306">
        <f t="shared" si="19"/>
        <v>0</v>
      </c>
      <c r="X58" s="306">
        <f t="shared" si="19"/>
        <v>0</v>
      </c>
      <c r="Y58" s="306">
        <f t="shared" si="19"/>
        <v>0</v>
      </c>
      <c r="Z58" s="306">
        <f t="shared" si="19"/>
        <v>0</v>
      </c>
      <c r="AA58" s="306">
        <f t="shared" si="19"/>
        <v>0</v>
      </c>
      <c r="AB58" s="306">
        <f t="shared" si="19"/>
        <v>0</v>
      </c>
      <c r="AC58" s="306">
        <f t="shared" si="19"/>
        <v>0</v>
      </c>
      <c r="AD58" s="306">
        <f t="shared" si="19"/>
        <v>0</v>
      </c>
    </row>
    <row r="59" spans="1:30" ht="15" customHeight="1">
      <c r="A59" s="302"/>
      <c r="B59" s="355" t="s">
        <v>876</v>
      </c>
      <c r="C59" s="354" t="s">
        <v>877</v>
      </c>
      <c r="D59" s="297" t="s">
        <v>878</v>
      </c>
      <c r="E59" s="304" t="s">
        <v>947</v>
      </c>
      <c r="F59" s="297" t="s">
        <v>911</v>
      </c>
      <c r="G59" s="305" t="str">
        <f t="shared" si="18"/>
        <v>USD млн</v>
      </c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</row>
    <row r="60" spans="1:30" ht="15" customHeight="1">
      <c r="A60" s="302"/>
      <c r="B60" s="355" t="s">
        <v>876</v>
      </c>
      <c r="C60" s="354" t="s">
        <v>877</v>
      </c>
      <c r="D60" s="297" t="s">
        <v>878</v>
      </c>
      <c r="E60" s="304" t="s">
        <v>948</v>
      </c>
      <c r="F60" s="297" t="s">
        <v>911</v>
      </c>
      <c r="G60" s="305" t="str">
        <f t="shared" si="18"/>
        <v>USD млн</v>
      </c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  <c r="AC60" s="301"/>
      <c r="AD60" s="301"/>
    </row>
    <row r="61" spans="1:30" ht="15" customHeight="1">
      <c r="A61" s="339"/>
      <c r="B61" s="340" t="s">
        <v>876</v>
      </c>
      <c r="C61" s="341" t="s">
        <v>877</v>
      </c>
      <c r="D61" s="342" t="s">
        <v>878</v>
      </c>
      <c r="E61" s="343" t="s">
        <v>949</v>
      </c>
      <c r="F61" s="342" t="s">
        <v>911</v>
      </c>
      <c r="G61" s="336" t="str">
        <f t="shared" si="18"/>
        <v>USD млн</v>
      </c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</row>
    <row r="62" spans="1:30" ht="15" customHeight="1">
      <c r="A62" s="339"/>
      <c r="B62" s="340" t="s">
        <v>876</v>
      </c>
      <c r="C62" s="341" t="s">
        <v>877</v>
      </c>
      <c r="D62" s="342" t="s">
        <v>878</v>
      </c>
      <c r="E62" s="343" t="s">
        <v>950</v>
      </c>
      <c r="F62" s="342" t="s">
        <v>911</v>
      </c>
      <c r="G62" s="336" t="str">
        <f t="shared" si="18"/>
        <v>USD млн</v>
      </c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/>
    </row>
    <row r="63" spans="1:30" ht="15" customHeight="1">
      <c r="A63" s="302"/>
      <c r="B63" s="355" t="s">
        <v>876</v>
      </c>
      <c r="C63" s="354" t="s">
        <v>877</v>
      </c>
      <c r="D63" s="297" t="s">
        <v>878</v>
      </c>
      <c r="E63" s="304" t="s">
        <v>951</v>
      </c>
      <c r="F63" s="297" t="s">
        <v>911</v>
      </c>
      <c r="G63" s="305" t="str">
        <f t="shared" si="18"/>
        <v>USD млн</v>
      </c>
      <c r="H63" s="306">
        <f t="shared" ref="H63:AD63" si="20">H64+H65</f>
        <v>0</v>
      </c>
      <c r="I63" s="306">
        <f t="shared" si="20"/>
        <v>0</v>
      </c>
      <c r="J63" s="306">
        <f t="shared" si="20"/>
        <v>0</v>
      </c>
      <c r="K63" s="306">
        <f t="shared" si="20"/>
        <v>0</v>
      </c>
      <c r="L63" s="306">
        <f t="shared" si="20"/>
        <v>0</v>
      </c>
      <c r="M63" s="306">
        <f t="shared" si="20"/>
        <v>0</v>
      </c>
      <c r="N63" s="306">
        <f t="shared" si="20"/>
        <v>0</v>
      </c>
      <c r="O63" s="306">
        <f t="shared" si="20"/>
        <v>0</v>
      </c>
      <c r="P63" s="306">
        <f t="shared" si="20"/>
        <v>0</v>
      </c>
      <c r="Q63" s="306">
        <f t="shared" si="20"/>
        <v>0</v>
      </c>
      <c r="R63" s="306">
        <f t="shared" si="20"/>
        <v>0</v>
      </c>
      <c r="S63" s="306">
        <f t="shared" si="20"/>
        <v>0</v>
      </c>
      <c r="T63" s="306">
        <f t="shared" si="20"/>
        <v>0</v>
      </c>
      <c r="U63" s="306">
        <f t="shared" si="20"/>
        <v>0</v>
      </c>
      <c r="V63" s="306">
        <f t="shared" si="20"/>
        <v>0</v>
      </c>
      <c r="W63" s="306">
        <f t="shared" si="20"/>
        <v>0</v>
      </c>
      <c r="X63" s="306">
        <f t="shared" si="20"/>
        <v>0</v>
      </c>
      <c r="Y63" s="306">
        <f t="shared" si="20"/>
        <v>0</v>
      </c>
      <c r="Z63" s="306">
        <f t="shared" si="20"/>
        <v>0</v>
      </c>
      <c r="AA63" s="306">
        <f t="shared" si="20"/>
        <v>0</v>
      </c>
      <c r="AB63" s="306">
        <f t="shared" si="20"/>
        <v>0</v>
      </c>
      <c r="AC63" s="306">
        <f t="shared" si="20"/>
        <v>0</v>
      </c>
      <c r="AD63" s="306">
        <f t="shared" si="20"/>
        <v>0</v>
      </c>
    </row>
    <row r="64" spans="1:30" ht="15" customHeight="1">
      <c r="A64" s="302"/>
      <c r="B64" s="355" t="s">
        <v>876</v>
      </c>
      <c r="C64" s="354" t="s">
        <v>877</v>
      </c>
      <c r="D64" s="297" t="s">
        <v>878</v>
      </c>
      <c r="E64" s="344" t="s">
        <v>952</v>
      </c>
      <c r="F64" s="297" t="s">
        <v>911</v>
      </c>
      <c r="G64" s="305" t="str">
        <f t="shared" si="18"/>
        <v>USD млн</v>
      </c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  <c r="AB64" s="301"/>
      <c r="AC64" s="301"/>
      <c r="AD64" s="301"/>
    </row>
    <row r="65" spans="1:30" ht="15" customHeight="1">
      <c r="A65" s="302"/>
      <c r="B65" s="355" t="s">
        <v>876</v>
      </c>
      <c r="C65" s="354" t="s">
        <v>877</v>
      </c>
      <c r="D65" s="297" t="s">
        <v>878</v>
      </c>
      <c r="E65" s="344" t="s">
        <v>953</v>
      </c>
      <c r="F65" s="297" t="s">
        <v>911</v>
      </c>
      <c r="G65" s="305" t="str">
        <f t="shared" si="18"/>
        <v>USD млн</v>
      </c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  <c r="AB65" s="301"/>
      <c r="AC65" s="301"/>
      <c r="AD65" s="301"/>
    </row>
    <row r="66" spans="1:30" ht="15" customHeight="1">
      <c r="A66" s="356"/>
      <c r="B66" s="357"/>
      <c r="C66" s="358" t="s">
        <v>877</v>
      </c>
      <c r="D66" s="331" t="s">
        <v>878</v>
      </c>
      <c r="E66" s="359" t="s">
        <v>954</v>
      </c>
      <c r="F66" s="333" t="s">
        <v>911</v>
      </c>
      <c r="G66" s="305" t="str">
        <f t="shared" si="18"/>
        <v>USD млн</v>
      </c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  <c r="AD66" s="301"/>
    </row>
    <row r="67" spans="1:30" s="287" customFormat="1" ht="15" customHeight="1">
      <c r="B67" s="316" t="s">
        <v>876</v>
      </c>
      <c r="C67" s="303" t="s">
        <v>877</v>
      </c>
      <c r="D67" s="297" t="s">
        <v>878</v>
      </c>
      <c r="E67" s="317" t="s">
        <v>955</v>
      </c>
      <c r="F67" s="317" t="s">
        <v>911</v>
      </c>
      <c r="G67" s="305" t="str">
        <f t="shared" si="18"/>
        <v>USD млн</v>
      </c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</row>
    <row r="68" spans="1:30" ht="15" customHeight="1">
      <c r="A68" s="294"/>
      <c r="B68" s="295"/>
      <c r="C68" s="303"/>
      <c r="D68" s="297"/>
      <c r="E68" s="317"/>
      <c r="F68" s="297"/>
      <c r="G68" s="320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327"/>
    </row>
    <row r="69" spans="1:30" s="287" customFormat="1" ht="15" customHeight="1">
      <c r="B69" s="316"/>
      <c r="C69" s="303" t="s">
        <v>956</v>
      </c>
      <c r="D69" s="297" t="s">
        <v>878</v>
      </c>
      <c r="E69" s="317" t="s">
        <v>957</v>
      </c>
      <c r="F69" s="317" t="s">
        <v>883</v>
      </c>
      <c r="G69" s="360" t="s">
        <v>958</v>
      </c>
      <c r="H69" s="398">
        <f t="shared" ref="H69:AD69" si="21">IFERROR(H25/H6,"")</f>
        <v>1.2714713957177251</v>
      </c>
      <c r="I69" s="398">
        <f t="shared" si="21"/>
        <v>4.6423707745981098</v>
      </c>
      <c r="J69" s="398">
        <f t="shared" si="21"/>
        <v>9.5112380147760653</v>
      </c>
      <c r="K69" s="398">
        <f t="shared" si="21"/>
        <v>2.4516658962811011</v>
      </c>
      <c r="L69" s="398">
        <f t="shared" si="21"/>
        <v>3.207637293361862</v>
      </c>
      <c r="M69" s="398">
        <f t="shared" si="21"/>
        <v>4.858663460068402</v>
      </c>
      <c r="N69" s="398">
        <f t="shared" si="21"/>
        <v>2.6522960374333624</v>
      </c>
      <c r="O69" s="398">
        <f t="shared" si="21"/>
        <v>2.2439621765518702</v>
      </c>
      <c r="P69" s="398">
        <f t="shared" si="21"/>
        <v>2.2956087489394297</v>
      </c>
      <c r="Q69" s="398">
        <f t="shared" si="21"/>
        <v>1.565797053001462</v>
      </c>
      <c r="R69" s="398">
        <f t="shared" si="21"/>
        <v>1.5002044661944336</v>
      </c>
      <c r="S69" s="398">
        <f t="shared" si="21"/>
        <v>0.74918877023371944</v>
      </c>
      <c r="T69" s="398">
        <f t="shared" si="21"/>
        <v>0.68206614973833102</v>
      </c>
      <c r="U69" s="398">
        <f t="shared" si="21"/>
        <v>0.55342487438394872</v>
      </c>
      <c r="V69" s="398">
        <f t="shared" si="21"/>
        <v>0.48577580635513329</v>
      </c>
      <c r="W69" s="361" t="str">
        <f t="shared" si="21"/>
        <v/>
      </c>
      <c r="X69" s="361" t="str">
        <f t="shared" si="21"/>
        <v/>
      </c>
      <c r="Y69" s="361" t="str">
        <f t="shared" si="21"/>
        <v/>
      </c>
      <c r="Z69" s="361" t="str">
        <f t="shared" si="21"/>
        <v/>
      </c>
      <c r="AA69" s="361" t="str">
        <f t="shared" si="21"/>
        <v/>
      </c>
      <c r="AB69" s="361" t="str">
        <f t="shared" si="21"/>
        <v/>
      </c>
      <c r="AC69" s="361" t="str">
        <f t="shared" si="21"/>
        <v/>
      </c>
      <c r="AD69" s="361" t="str">
        <f t="shared" si="21"/>
        <v/>
      </c>
    </row>
    <row r="70" spans="1:30" s="287" customFormat="1" ht="15" customHeight="1">
      <c r="B70" s="316"/>
      <c r="C70" s="303" t="s">
        <v>956</v>
      </c>
      <c r="D70" s="297" t="s">
        <v>878</v>
      </c>
      <c r="E70" s="317" t="s">
        <v>959</v>
      </c>
      <c r="F70" s="317" t="s">
        <v>883</v>
      </c>
      <c r="G70" s="360" t="s">
        <v>958</v>
      </c>
      <c r="H70" s="398">
        <f t="shared" ref="H70:AD70" si="22">IFERROR(H28/H6,"")</f>
        <v>1.0481992936738134</v>
      </c>
      <c r="I70" s="398">
        <f t="shared" si="22"/>
        <v>3.864530041123543</v>
      </c>
      <c r="J70" s="398">
        <f t="shared" si="22"/>
        <v>6.9409616355238581</v>
      </c>
      <c r="K70" s="398">
        <f t="shared" si="22"/>
        <v>1.6569219240039004</v>
      </c>
      <c r="L70" s="398">
        <f t="shared" si="22"/>
        <v>2.2971024559175901</v>
      </c>
      <c r="M70" s="398">
        <f t="shared" si="22"/>
        <v>3.8761697959680323</v>
      </c>
      <c r="N70" s="398">
        <f t="shared" si="22"/>
        <v>2.0699010488767109</v>
      </c>
      <c r="O70" s="398">
        <f>IFERROR(O28/O6,"")</f>
        <v>1.3522121780711169</v>
      </c>
      <c r="P70" s="398">
        <f t="shared" si="22"/>
        <v>0.93294955833449644</v>
      </c>
      <c r="Q70" s="398">
        <f t="shared" si="22"/>
        <v>0.46120287015023825</v>
      </c>
      <c r="R70" s="398">
        <f t="shared" si="22"/>
        <v>-2.4088028420296025E-2</v>
      </c>
      <c r="S70" s="398">
        <f t="shared" si="22"/>
        <v>-0.50307344898907391</v>
      </c>
      <c r="T70" s="398">
        <f t="shared" si="22"/>
        <v>-0.99619217391958659</v>
      </c>
      <c r="U70" s="398">
        <f t="shared" si="22"/>
        <v>-1.4840713997146151</v>
      </c>
      <c r="V70" s="398">
        <f t="shared" si="22"/>
        <v>-1.9670878403357073</v>
      </c>
      <c r="W70" s="361" t="str">
        <f t="shared" si="22"/>
        <v/>
      </c>
      <c r="X70" s="361" t="str">
        <f t="shared" si="22"/>
        <v/>
      </c>
      <c r="Y70" s="361" t="str">
        <f t="shared" si="22"/>
        <v/>
      </c>
      <c r="Z70" s="361" t="str">
        <f t="shared" si="22"/>
        <v/>
      </c>
      <c r="AA70" s="361" t="str">
        <f t="shared" si="22"/>
        <v/>
      </c>
      <c r="AB70" s="361" t="str">
        <f t="shared" si="22"/>
        <v/>
      </c>
      <c r="AC70" s="361" t="str">
        <f t="shared" si="22"/>
        <v/>
      </c>
      <c r="AD70" s="361" t="str">
        <f t="shared" si="22"/>
        <v/>
      </c>
    </row>
    <row r="71" spans="1:30" s="287" customFormat="1" ht="15" customHeight="1">
      <c r="B71" s="316"/>
      <c r="C71" s="303" t="s">
        <v>881</v>
      </c>
      <c r="D71" s="297" t="s">
        <v>878</v>
      </c>
      <c r="E71" s="317" t="s">
        <v>960</v>
      </c>
      <c r="F71" s="317" t="s">
        <v>883</v>
      </c>
      <c r="G71" s="360" t="s">
        <v>958</v>
      </c>
      <c r="H71" s="361">
        <f t="shared" ref="H71:AD71" si="23">IFERROR(H27/H6,"")</f>
        <v>0</v>
      </c>
      <c r="I71" s="361">
        <f t="shared" si="23"/>
        <v>0</v>
      </c>
      <c r="J71" s="361">
        <f t="shared" si="23"/>
        <v>0</v>
      </c>
      <c r="K71" s="361">
        <f t="shared" si="23"/>
        <v>0</v>
      </c>
      <c r="L71" s="361">
        <f t="shared" si="23"/>
        <v>0</v>
      </c>
      <c r="M71" s="361">
        <f t="shared" si="23"/>
        <v>0</v>
      </c>
      <c r="N71" s="361">
        <f t="shared" si="23"/>
        <v>0</v>
      </c>
      <c r="O71" s="361">
        <f t="shared" si="23"/>
        <v>0</v>
      </c>
      <c r="P71" s="361">
        <f t="shared" si="23"/>
        <v>0</v>
      </c>
      <c r="Q71" s="361">
        <f t="shared" si="23"/>
        <v>0</v>
      </c>
      <c r="R71" s="361">
        <f t="shared" si="23"/>
        <v>0</v>
      </c>
      <c r="S71" s="361">
        <f t="shared" si="23"/>
        <v>0</v>
      </c>
      <c r="T71" s="361">
        <f t="shared" si="23"/>
        <v>0</v>
      </c>
      <c r="U71" s="361">
        <f t="shared" si="23"/>
        <v>0</v>
      </c>
      <c r="V71" s="361">
        <f t="shared" si="23"/>
        <v>0</v>
      </c>
      <c r="W71" s="361" t="str">
        <f t="shared" si="23"/>
        <v/>
      </c>
      <c r="X71" s="361" t="str">
        <f t="shared" si="23"/>
        <v/>
      </c>
      <c r="Y71" s="361" t="str">
        <f t="shared" si="23"/>
        <v/>
      </c>
      <c r="Z71" s="361" t="str">
        <f t="shared" si="23"/>
        <v/>
      </c>
      <c r="AA71" s="361" t="str">
        <f t="shared" si="23"/>
        <v/>
      </c>
      <c r="AB71" s="361" t="str">
        <f t="shared" si="23"/>
        <v/>
      </c>
      <c r="AC71" s="361" t="str">
        <f t="shared" si="23"/>
        <v/>
      </c>
      <c r="AD71" s="361" t="str">
        <f t="shared" si="23"/>
        <v/>
      </c>
    </row>
    <row r="72" spans="1:30" s="287" customFormat="1" ht="15" customHeight="1">
      <c r="B72" s="316"/>
      <c r="C72" s="303" t="s">
        <v>881</v>
      </c>
      <c r="D72" s="297" t="s">
        <v>878</v>
      </c>
      <c r="E72" s="317" t="s">
        <v>961</v>
      </c>
      <c r="F72" s="317" t="s">
        <v>883</v>
      </c>
      <c r="G72" s="360" t="s">
        <v>958</v>
      </c>
      <c r="H72" s="361">
        <f t="shared" ref="H72:AD72" si="24">IFERROR(H6/H73,"")</f>
        <v>12.742510510176876</v>
      </c>
      <c r="I72" s="361">
        <f t="shared" si="24"/>
        <v>4.6476477364398932</v>
      </c>
      <c r="J72" s="361">
        <f t="shared" si="24"/>
        <v>1.9608151284375954</v>
      </c>
      <c r="K72" s="361">
        <f t="shared" si="24"/>
        <v>7.1052867823020867</v>
      </c>
      <c r="L72" s="361">
        <f t="shared" si="24"/>
        <v>5.8215841511346218</v>
      </c>
      <c r="M72" s="361">
        <f t="shared" si="24"/>
        <v>3.7606408498815727</v>
      </c>
      <c r="N72" s="361">
        <f t="shared" si="24"/>
        <v>6.1972039953281035</v>
      </c>
      <c r="O72" s="361">
        <f t="shared" si="24"/>
        <v>7.9504228533153185</v>
      </c>
      <c r="P72" s="361">
        <f t="shared" si="24"/>
        <v>7.8155445140720063</v>
      </c>
      <c r="Q72" s="361">
        <f t="shared" si="24"/>
        <v>8.5678586496154665</v>
      </c>
      <c r="R72" s="361">
        <f t="shared" si="24"/>
        <v>11.183217570526487</v>
      </c>
      <c r="S72" s="361">
        <f t="shared" si="24"/>
        <v>11.374692140562578</v>
      </c>
      <c r="T72" s="361">
        <f t="shared" si="24"/>
        <v>18.616510207497715</v>
      </c>
      <c r="U72" s="361">
        <f t="shared" si="24"/>
        <v>19.194485309204985</v>
      </c>
      <c r="V72" s="361">
        <f t="shared" si="24"/>
        <v>19.791018321739397</v>
      </c>
      <c r="W72" s="361" t="str">
        <f t="shared" si="24"/>
        <v/>
      </c>
      <c r="X72" s="361" t="str">
        <f t="shared" si="24"/>
        <v/>
      </c>
      <c r="Y72" s="361" t="str">
        <f t="shared" si="24"/>
        <v/>
      </c>
      <c r="Z72" s="361" t="str">
        <f t="shared" si="24"/>
        <v/>
      </c>
      <c r="AA72" s="361" t="str">
        <f t="shared" si="24"/>
        <v/>
      </c>
      <c r="AB72" s="361" t="str">
        <f t="shared" si="24"/>
        <v/>
      </c>
      <c r="AC72" s="361" t="str">
        <f t="shared" si="24"/>
        <v/>
      </c>
      <c r="AD72" s="361" t="str">
        <f t="shared" si="24"/>
        <v/>
      </c>
    </row>
    <row r="73" spans="1:30" ht="15" customHeight="1">
      <c r="A73" s="302"/>
      <c r="B73" s="355" t="s">
        <v>876</v>
      </c>
      <c r="C73" s="354" t="s">
        <v>877</v>
      </c>
      <c r="D73" s="297" t="s">
        <v>878</v>
      </c>
      <c r="E73" s="304" t="s">
        <v>962</v>
      </c>
      <c r="F73" s="297" t="s">
        <v>927</v>
      </c>
      <c r="G73" s="305" t="str">
        <f>$G$2</f>
        <v>USD млн</v>
      </c>
      <c r="H73" s="361">
        <f>H35</f>
        <v>90.007999999999996</v>
      </c>
      <c r="I73" s="361">
        <f t="shared" ref="I73:V73" si="25">I35</f>
        <v>115.283</v>
      </c>
      <c r="J73" s="361">
        <f t="shared" si="25"/>
        <v>165.45</v>
      </c>
      <c r="K73" s="361">
        <f t="shared" si="25"/>
        <v>165.059</v>
      </c>
      <c r="L73" s="361">
        <f t="shared" si="25"/>
        <v>161.816</v>
      </c>
      <c r="M73" s="361">
        <f t="shared" si="25"/>
        <v>159.47333135</v>
      </c>
      <c r="N73" s="361">
        <f t="shared" si="25"/>
        <v>153.21145217191781</v>
      </c>
      <c r="O73" s="361">
        <f t="shared" si="25"/>
        <v>136.34080134999999</v>
      </c>
      <c r="P73" s="361">
        <f t="shared" si="25"/>
        <v>131.39380134999999</v>
      </c>
      <c r="Q73" s="361">
        <f t="shared" si="25"/>
        <v>118.83691949383561</v>
      </c>
      <c r="R73" s="361">
        <f t="shared" si="25"/>
        <v>90.884290100000001</v>
      </c>
      <c r="S73" s="361">
        <f t="shared" si="25"/>
        <v>89.184180298630125</v>
      </c>
      <c r="T73" s="361">
        <f t="shared" si="25"/>
        <v>54.381932599999999</v>
      </c>
      <c r="U73" s="361">
        <f t="shared" si="25"/>
        <v>52.629058917808223</v>
      </c>
      <c r="V73" s="361">
        <f t="shared" si="25"/>
        <v>50.923560199999997</v>
      </c>
      <c r="W73" s="361"/>
      <c r="X73" s="361"/>
      <c r="Y73" s="361"/>
      <c r="Z73" s="361"/>
      <c r="AA73" s="361"/>
      <c r="AB73" s="361"/>
      <c r="AC73" s="361"/>
      <c r="AD73" s="361"/>
    </row>
    <row r="74" spans="1:30" s="287" customFormat="1" ht="15" customHeight="1">
      <c r="B74" s="316"/>
      <c r="C74" s="303" t="s">
        <v>881</v>
      </c>
      <c r="D74" s="297" t="s">
        <v>878</v>
      </c>
      <c r="E74" s="317" t="s">
        <v>963</v>
      </c>
      <c r="F74" s="317" t="s">
        <v>883</v>
      </c>
      <c r="G74" s="360" t="s">
        <v>958</v>
      </c>
      <c r="H74" s="398">
        <f t="shared" ref="H74:AD74" si="26">IFERROR((H15+H35-H23)/H35,"")</f>
        <v>9.1740511954492927</v>
      </c>
      <c r="I74" s="398">
        <f t="shared" si="26"/>
        <v>3.662699617463113</v>
      </c>
      <c r="J74" s="398">
        <f t="shared" si="26"/>
        <v>3.0084375944394073</v>
      </c>
      <c r="K74" s="398">
        <f t="shared" si="26"/>
        <v>6.3973670021022802</v>
      </c>
      <c r="L74" s="398">
        <f t="shared" si="26"/>
        <v>6.2012656350422697</v>
      </c>
      <c r="M74" s="398">
        <f t="shared" si="26"/>
        <v>3.8560374051063797</v>
      </c>
      <c r="N74" s="398">
        <f t="shared" si="26"/>
        <v>4.9003540682274327</v>
      </c>
      <c r="O74" s="398">
        <f>IFERROR((O15+O35-O23)/O35,"")</f>
        <v>6.5396088249193696</v>
      </c>
      <c r="P74" s="398">
        <f t="shared" si="26"/>
        <v>6.7151537932783043</v>
      </c>
      <c r="Q74" s="398">
        <f t="shared" si="26"/>
        <v>7.0814608509777601</v>
      </c>
      <c r="R74" s="398">
        <f t="shared" si="26"/>
        <v>8.7915801691201079</v>
      </c>
      <c r="S74" s="398">
        <f t="shared" si="26"/>
        <v>8.852898816732127</v>
      </c>
      <c r="T74" s="398">
        <f t="shared" si="26"/>
        <v>13.623632406626875</v>
      </c>
      <c r="U74" s="398">
        <f t="shared" si="26"/>
        <v>13.897374829621521</v>
      </c>
      <c r="V74" s="398">
        <f t="shared" si="26"/>
        <v>14.177877703505883</v>
      </c>
      <c r="W74" s="361" t="str">
        <f t="shared" si="26"/>
        <v/>
      </c>
      <c r="X74" s="361" t="str">
        <f t="shared" si="26"/>
        <v/>
      </c>
      <c r="Y74" s="361" t="str">
        <f t="shared" si="26"/>
        <v/>
      </c>
      <c r="Z74" s="361" t="str">
        <f t="shared" si="26"/>
        <v/>
      </c>
      <c r="AA74" s="361" t="str">
        <f t="shared" si="26"/>
        <v/>
      </c>
      <c r="AB74" s="361" t="str">
        <f t="shared" si="26"/>
        <v/>
      </c>
      <c r="AC74" s="361" t="str">
        <f t="shared" si="26"/>
        <v/>
      </c>
      <c r="AD74" s="361" t="str">
        <f t="shared" si="26"/>
        <v/>
      </c>
    </row>
    <row r="75" spans="1:30" s="287" customFormat="1" ht="15" customHeight="1">
      <c r="B75" s="316"/>
      <c r="C75" s="303" t="s">
        <v>881</v>
      </c>
      <c r="D75" s="297" t="s">
        <v>878</v>
      </c>
      <c r="E75" s="317" t="s">
        <v>964</v>
      </c>
      <c r="F75" s="317" t="s">
        <v>900</v>
      </c>
      <c r="G75" s="360" t="s">
        <v>958</v>
      </c>
      <c r="H75" s="398">
        <f t="shared" ref="H75:AD75" si="27">IFERROR((H15+H35-H21)/H33,"")</f>
        <v>9.1740511954492927</v>
      </c>
      <c r="I75" s="398">
        <f t="shared" si="27"/>
        <v>3.662699617463113</v>
      </c>
      <c r="J75" s="398">
        <f t="shared" si="27"/>
        <v>3.0084375944394073</v>
      </c>
      <c r="K75" s="398">
        <f t="shared" si="27"/>
        <v>6.3973670021022802</v>
      </c>
      <c r="L75" s="398">
        <f t="shared" si="27"/>
        <v>6.2012656350422697</v>
      </c>
      <c r="M75" s="398">
        <f t="shared" si="27"/>
        <v>3.8560374051063797</v>
      </c>
      <c r="N75" s="398">
        <f t="shared" si="27"/>
        <v>4.9003540682274327</v>
      </c>
      <c r="O75" s="398">
        <f t="shared" si="27"/>
        <v>6.5396088249193696</v>
      </c>
      <c r="P75" s="398">
        <f t="shared" si="27"/>
        <v>6.7151537932783043</v>
      </c>
      <c r="Q75" s="398">
        <f t="shared" si="27"/>
        <v>7.0814608509777601</v>
      </c>
      <c r="R75" s="398">
        <f t="shared" si="27"/>
        <v>8.7915801691201079</v>
      </c>
      <c r="S75" s="398">
        <f t="shared" si="27"/>
        <v>8.852898816732127</v>
      </c>
      <c r="T75" s="398">
        <f t="shared" si="27"/>
        <v>13.623632406626875</v>
      </c>
      <c r="U75" s="398">
        <f t="shared" si="27"/>
        <v>13.897374829621521</v>
      </c>
      <c r="V75" s="398">
        <f t="shared" si="27"/>
        <v>14.177877703505883</v>
      </c>
      <c r="W75" s="361" t="str">
        <f t="shared" si="27"/>
        <v/>
      </c>
      <c r="X75" s="361" t="str">
        <f t="shared" si="27"/>
        <v/>
      </c>
      <c r="Y75" s="361" t="str">
        <f t="shared" si="27"/>
        <v/>
      </c>
      <c r="Z75" s="361" t="str">
        <f t="shared" si="27"/>
        <v/>
      </c>
      <c r="AA75" s="361" t="str">
        <f t="shared" si="27"/>
        <v/>
      </c>
      <c r="AB75" s="361" t="str">
        <f t="shared" si="27"/>
        <v/>
      </c>
      <c r="AC75" s="361" t="str">
        <f t="shared" si="27"/>
        <v/>
      </c>
      <c r="AD75" s="361" t="str">
        <f t="shared" si="27"/>
        <v/>
      </c>
    </row>
    <row r="76" spans="1:30" s="287" customFormat="1" ht="15" customHeight="1">
      <c r="B76" s="316"/>
      <c r="C76" s="303" t="s">
        <v>881</v>
      </c>
      <c r="D76" s="297" t="s">
        <v>878</v>
      </c>
      <c r="E76" s="304" t="s">
        <v>965</v>
      </c>
      <c r="F76" s="297" t="s">
        <v>900</v>
      </c>
      <c r="G76" s="320" t="s">
        <v>958</v>
      </c>
      <c r="H76" s="361">
        <f t="shared" ref="H76:AD76" si="28">IFERROR((H15+H35-H21+H42)/H33,"")</f>
        <v>9.1740511954492927</v>
      </c>
      <c r="I76" s="361">
        <f t="shared" si="28"/>
        <v>3.662699617463113</v>
      </c>
      <c r="J76" s="361">
        <f t="shared" si="28"/>
        <v>3.0084375944394073</v>
      </c>
      <c r="K76" s="361">
        <f t="shared" si="28"/>
        <v>6.3973670021022802</v>
      </c>
      <c r="L76" s="361">
        <f t="shared" si="28"/>
        <v>6.2012656350422697</v>
      </c>
      <c r="M76" s="361">
        <f t="shared" si="28"/>
        <v>3.8560374051063797</v>
      </c>
      <c r="N76" s="361">
        <f t="shared" si="28"/>
        <v>4.9003540682274327</v>
      </c>
      <c r="O76" s="361">
        <f t="shared" si="28"/>
        <v>6.5396088249193696</v>
      </c>
      <c r="P76" s="361">
        <f t="shared" si="28"/>
        <v>6.7151537932783043</v>
      </c>
      <c r="Q76" s="361">
        <f t="shared" si="28"/>
        <v>7.0814608509777601</v>
      </c>
      <c r="R76" s="361">
        <f t="shared" si="28"/>
        <v>8.7915801691201079</v>
      </c>
      <c r="S76" s="361">
        <f t="shared" si="28"/>
        <v>8.852898816732127</v>
      </c>
      <c r="T76" s="361">
        <f t="shared" si="28"/>
        <v>13.623632406626875</v>
      </c>
      <c r="U76" s="361">
        <f t="shared" si="28"/>
        <v>13.897374829621521</v>
      </c>
      <c r="V76" s="361">
        <f t="shared" si="28"/>
        <v>14.177877703505883</v>
      </c>
      <c r="W76" s="361" t="str">
        <f t="shared" si="28"/>
        <v/>
      </c>
      <c r="X76" s="361" t="str">
        <f t="shared" si="28"/>
        <v/>
      </c>
      <c r="Y76" s="361" t="str">
        <f t="shared" si="28"/>
        <v/>
      </c>
      <c r="Z76" s="361" t="str">
        <f t="shared" si="28"/>
        <v/>
      </c>
      <c r="AA76" s="361" t="str">
        <f t="shared" si="28"/>
        <v/>
      </c>
      <c r="AB76" s="361" t="str">
        <f t="shared" si="28"/>
        <v/>
      </c>
      <c r="AC76" s="361" t="str">
        <f t="shared" si="28"/>
        <v/>
      </c>
      <c r="AD76" s="361" t="str">
        <f t="shared" si="28"/>
        <v/>
      </c>
    </row>
    <row r="77" spans="1:30" s="287" customFormat="1" ht="15" customHeight="1">
      <c r="B77" s="316"/>
      <c r="C77" s="303" t="s">
        <v>881</v>
      </c>
      <c r="D77" s="297" t="s">
        <v>878</v>
      </c>
      <c r="E77" s="304" t="s">
        <v>966</v>
      </c>
      <c r="F77" s="297" t="s">
        <v>883</v>
      </c>
      <c r="G77" s="305" t="str">
        <f>$G$2</f>
        <v>USD млн</v>
      </c>
      <c r="H77" s="361">
        <f t="shared" ref="H77:AD77" ca="1" si="29">H18-H33</f>
        <v>717.72839999999997</v>
      </c>
      <c r="I77" s="361">
        <f t="shared" ca="1" si="29"/>
        <v>283.90740000000005</v>
      </c>
      <c r="J77" s="361">
        <f t="shared" ca="1" si="29"/>
        <v>299.20599999999996</v>
      </c>
      <c r="K77" s="361">
        <f t="shared" ca="1" si="29"/>
        <v>857.87220000000002</v>
      </c>
      <c r="L77" s="361">
        <f t="shared" ca="1" si="29"/>
        <v>809.28480000000002</v>
      </c>
      <c r="M77" s="361">
        <f t="shared" ca="1" si="29"/>
        <v>423.56713318252389</v>
      </c>
      <c r="N77" s="361">
        <f t="shared" ca="1" si="29"/>
        <v>566.93662034338877</v>
      </c>
      <c r="O77" s="361">
        <f t="shared" ca="1" si="29"/>
        <v>728.00654608503862</v>
      </c>
      <c r="P77" s="361">
        <f t="shared" ca="1" si="29"/>
        <v>724.65702192870845</v>
      </c>
      <c r="Q77" s="361">
        <f t="shared" ca="1" si="29"/>
        <v>698.93468965378997</v>
      </c>
      <c r="R77" s="361">
        <f t="shared" ca="1" si="29"/>
        <v>689.95537440771886</v>
      </c>
      <c r="S77" s="361">
        <f t="shared" ca="1" si="29"/>
        <v>682.5175078786109</v>
      </c>
      <c r="T77" s="361">
        <f t="shared" ca="1" si="29"/>
        <v>675.62114018435852</v>
      </c>
      <c r="U77" s="361">
        <f t="shared" ca="1" si="29"/>
        <v>668.25088800964591</v>
      </c>
      <c r="V77" s="361">
        <f t="shared" ca="1" si="29"/>
        <v>660.87973650271965</v>
      </c>
      <c r="W77" s="361">
        <f t="shared" ca="1" si="29"/>
        <v>0</v>
      </c>
      <c r="X77" s="361">
        <f t="shared" ca="1" si="29"/>
        <v>0</v>
      </c>
      <c r="Y77" s="361">
        <f t="shared" ca="1" si="29"/>
        <v>0</v>
      </c>
      <c r="Z77" s="361">
        <f t="shared" ca="1" si="29"/>
        <v>0</v>
      </c>
      <c r="AA77" s="361">
        <f t="shared" ca="1" si="29"/>
        <v>0</v>
      </c>
      <c r="AB77" s="361">
        <f t="shared" ca="1" si="29"/>
        <v>0</v>
      </c>
      <c r="AC77" s="361">
        <f t="shared" ca="1" si="29"/>
        <v>0</v>
      </c>
      <c r="AD77" s="361">
        <f t="shared" ca="1" si="29"/>
        <v>0</v>
      </c>
    </row>
    <row r="78" spans="1:30" s="287" customFormat="1" ht="15" customHeight="1">
      <c r="B78" s="316"/>
      <c r="C78" s="303" t="s">
        <v>881</v>
      </c>
      <c r="D78" s="297" t="s">
        <v>878</v>
      </c>
      <c r="E78" s="304" t="s">
        <v>967</v>
      </c>
      <c r="F78" s="297" t="s">
        <v>883</v>
      </c>
      <c r="G78" s="320" t="s">
        <v>968</v>
      </c>
      <c r="H78" s="362">
        <f t="shared" ref="H78:AD78" si="30">IFERROR(H28/(H15-H23),"")</f>
        <v>1.6340355837059792</v>
      </c>
      <c r="I78" s="362">
        <f t="shared" si="30"/>
        <v>6.7454001120652585</v>
      </c>
      <c r="J78" s="362">
        <f t="shared" si="30"/>
        <v>6.7763831042203346</v>
      </c>
      <c r="K78" s="362">
        <f t="shared" si="30"/>
        <v>2.1812312265120939</v>
      </c>
      <c r="L78" s="362">
        <f t="shared" si="30"/>
        <v>2.5710617740433057</v>
      </c>
      <c r="M78" s="362">
        <f t="shared" si="30"/>
        <v>5.1038836010103132</v>
      </c>
      <c r="N78" s="362">
        <f t="shared" si="30"/>
        <v>3.2888293794984249</v>
      </c>
      <c r="O78" s="362">
        <f t="shared" si="30"/>
        <v>1.9406891249626042</v>
      </c>
      <c r="P78" s="362">
        <f t="shared" si="30"/>
        <v>1.2758202257168914</v>
      </c>
      <c r="Q78" s="362">
        <f t="shared" si="30"/>
        <v>0.64976509708335684</v>
      </c>
      <c r="R78" s="362">
        <f t="shared" si="30"/>
        <v>-3.4573431424965599E-2</v>
      </c>
      <c r="S78" s="362">
        <f t="shared" si="30"/>
        <v>-0.72868704154817898</v>
      </c>
      <c r="T78" s="362">
        <f t="shared" si="30"/>
        <v>-1.4691192817582086</v>
      </c>
      <c r="U78" s="362">
        <f t="shared" si="30"/>
        <v>-2.2086654885930304</v>
      </c>
      <c r="V78" s="362">
        <f t="shared" si="30"/>
        <v>-2.9542444060015458</v>
      </c>
      <c r="W78" s="362" t="str">
        <f t="shared" si="30"/>
        <v/>
      </c>
      <c r="X78" s="362" t="str">
        <f t="shared" si="30"/>
        <v/>
      </c>
      <c r="Y78" s="362" t="str">
        <f t="shared" si="30"/>
        <v/>
      </c>
      <c r="Z78" s="362" t="str">
        <f t="shared" si="30"/>
        <v/>
      </c>
      <c r="AA78" s="362" t="str">
        <f t="shared" si="30"/>
        <v/>
      </c>
      <c r="AB78" s="362" t="str">
        <f t="shared" si="30"/>
        <v/>
      </c>
      <c r="AC78" s="362" t="str">
        <f t="shared" si="30"/>
        <v/>
      </c>
      <c r="AD78" s="362" t="str">
        <f t="shared" si="30"/>
        <v/>
      </c>
    </row>
    <row r="79" spans="1:30" s="287" customFormat="1" ht="15" customHeight="1">
      <c r="B79" s="316"/>
      <c r="C79" s="303"/>
      <c r="D79" s="297"/>
      <c r="E79" s="304"/>
      <c r="F79" s="297"/>
      <c r="G79" s="320"/>
      <c r="H79" s="320"/>
      <c r="I79" s="320"/>
      <c r="J79" s="320"/>
      <c r="K79" s="320"/>
      <c r="L79" s="320"/>
      <c r="M79" s="320"/>
      <c r="N79" s="320"/>
      <c r="O79" s="320"/>
      <c r="P79" s="320"/>
      <c r="Q79" s="320"/>
      <c r="R79" s="320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  <c r="AC79" s="320"/>
      <c r="AD79" s="320"/>
    </row>
    <row r="80" spans="1:30" s="287" customFormat="1" ht="15" customHeight="1">
      <c r="A80" s="328"/>
      <c r="B80" s="329"/>
      <c r="C80" s="330" t="s">
        <v>881</v>
      </c>
      <c r="D80" s="331" t="s">
        <v>878</v>
      </c>
      <c r="E80" s="363" t="s">
        <v>969</v>
      </c>
      <c r="F80" s="333" t="s">
        <v>883</v>
      </c>
      <c r="G80" s="364" t="str">
        <f>$G$2</f>
        <v>USD млн</v>
      </c>
      <c r="H80" s="361">
        <f t="shared" ref="H80:AD80" si="31">H2</f>
        <v>3931.8470000000002</v>
      </c>
      <c r="I80" s="361">
        <f t="shared" si="31"/>
        <v>3283.5140000000001</v>
      </c>
      <c r="J80" s="361">
        <f t="shared" si="31"/>
        <v>2649.9630000000002</v>
      </c>
      <c r="K80" s="361">
        <f t="shared" si="31"/>
        <v>4414.5590000000002</v>
      </c>
      <c r="L80" s="361">
        <f t="shared" si="31"/>
        <v>4311.1880000000001</v>
      </c>
      <c r="M80" s="361">
        <f t="shared" si="31"/>
        <v>3168.5896628280716</v>
      </c>
      <c r="N80" s="361">
        <f t="shared" si="31"/>
        <v>4407.854419176073</v>
      </c>
      <c r="O80" s="361">
        <f t="shared" si="31"/>
        <v>4887.5046766688574</v>
      </c>
      <c r="P80" s="361">
        <f t="shared" si="31"/>
        <v>4719.2597205522889</v>
      </c>
      <c r="Q80" s="361">
        <f t="shared" si="31"/>
        <v>4713.9360420139546</v>
      </c>
      <c r="R80" s="361">
        <f t="shared" si="31"/>
        <v>4732.7917861820097</v>
      </c>
      <c r="S80" s="361">
        <f t="shared" si="31"/>
        <v>4751.7229533267373</v>
      </c>
      <c r="T80" s="361">
        <f t="shared" si="31"/>
        <v>4770.7298451400447</v>
      </c>
      <c r="U80" s="361">
        <f t="shared" si="31"/>
        <v>4789.812764520605</v>
      </c>
      <c r="V80" s="361">
        <f t="shared" si="31"/>
        <v>4808.9720155786881</v>
      </c>
      <c r="W80" s="361">
        <f t="shared" si="31"/>
        <v>0</v>
      </c>
      <c r="X80" s="361">
        <f t="shared" si="31"/>
        <v>0</v>
      </c>
      <c r="Y80" s="361">
        <f t="shared" si="31"/>
        <v>0</v>
      </c>
      <c r="Z80" s="361">
        <f t="shared" si="31"/>
        <v>0</v>
      </c>
      <c r="AA80" s="361">
        <f t="shared" si="31"/>
        <v>0</v>
      </c>
      <c r="AB80" s="361">
        <f t="shared" si="31"/>
        <v>0</v>
      </c>
      <c r="AC80" s="361">
        <f t="shared" si="31"/>
        <v>0</v>
      </c>
      <c r="AD80" s="361">
        <f t="shared" si="31"/>
        <v>0</v>
      </c>
    </row>
    <row r="81" spans="1:30" s="287" customFormat="1" ht="15" customHeight="1">
      <c r="A81" s="328"/>
      <c r="B81" s="329"/>
      <c r="C81" s="330" t="s">
        <v>881</v>
      </c>
      <c r="D81" s="331" t="s">
        <v>878</v>
      </c>
      <c r="E81" s="363" t="s">
        <v>970</v>
      </c>
      <c r="F81" s="333" t="s">
        <v>883</v>
      </c>
      <c r="G81" s="364" t="str">
        <f>$G$2</f>
        <v>USD млн</v>
      </c>
      <c r="H81" s="361">
        <f t="shared" ref="H81:AD82" si="32">H6</f>
        <v>1146.9278860000002</v>
      </c>
      <c r="I81" s="361">
        <f t="shared" si="32"/>
        <v>535.79477400000019</v>
      </c>
      <c r="J81" s="361">
        <f t="shared" si="32"/>
        <v>324.41686300000015</v>
      </c>
      <c r="K81" s="361">
        <f t="shared" si="32"/>
        <v>1172.7915310000001</v>
      </c>
      <c r="L81" s="361">
        <f t="shared" si="32"/>
        <v>942.02546099999995</v>
      </c>
      <c r="M81" s="361">
        <f t="shared" si="32"/>
        <v>599.72192434150963</v>
      </c>
      <c r="N81" s="361">
        <f t="shared" si="32"/>
        <v>949.48262352982965</v>
      </c>
      <c r="O81" s="361">
        <f t="shared" si="32"/>
        <v>1083.967022892364</v>
      </c>
      <c r="P81" s="361">
        <f t="shared" si="32"/>
        <v>1026.9141033240594</v>
      </c>
      <c r="Q81" s="361">
        <f t="shared" si="32"/>
        <v>1018.1779285789163</v>
      </c>
      <c r="R81" s="361">
        <f t="shared" si="32"/>
        <v>1016.3787899311466</v>
      </c>
      <c r="S81" s="361">
        <f t="shared" si="32"/>
        <v>1014.4425947053439</v>
      </c>
      <c r="T81" s="361">
        <f t="shared" si="32"/>
        <v>1012.4018033513527</v>
      </c>
      <c r="U81" s="361">
        <f t="shared" si="32"/>
        <v>1010.1876982351536</v>
      </c>
      <c r="V81" s="361">
        <f t="shared" si="32"/>
        <v>1007.829112926399</v>
      </c>
      <c r="W81" s="361">
        <f t="shared" si="32"/>
        <v>0</v>
      </c>
      <c r="X81" s="361">
        <f t="shared" si="32"/>
        <v>0</v>
      </c>
      <c r="Y81" s="361">
        <f t="shared" si="32"/>
        <v>0</v>
      </c>
      <c r="Z81" s="361">
        <f t="shared" si="32"/>
        <v>0</v>
      </c>
      <c r="AA81" s="361">
        <f t="shared" si="32"/>
        <v>0</v>
      </c>
      <c r="AB81" s="361">
        <f t="shared" si="32"/>
        <v>0</v>
      </c>
      <c r="AC81" s="361">
        <f t="shared" si="32"/>
        <v>0</v>
      </c>
      <c r="AD81" s="361">
        <f t="shared" si="32"/>
        <v>0</v>
      </c>
    </row>
    <row r="82" spans="1:30" s="352" customFormat="1" ht="15" customHeight="1">
      <c r="B82" s="335"/>
      <c r="C82" s="365" t="s">
        <v>881</v>
      </c>
      <c r="D82" s="366" t="s">
        <v>878</v>
      </c>
      <c r="E82" s="367" t="s">
        <v>971</v>
      </c>
      <c r="F82" s="368" t="s">
        <v>883</v>
      </c>
      <c r="G82" s="369" t="s">
        <v>3</v>
      </c>
      <c r="H82" s="361">
        <f t="shared" si="32"/>
        <v>0.29170206419527517</v>
      </c>
      <c r="I82" s="361">
        <f t="shared" si="32"/>
        <v>0.16317724669363376</v>
      </c>
      <c r="J82" s="361">
        <f t="shared" si="32"/>
        <v>0.12242316704044552</v>
      </c>
      <c r="K82" s="361">
        <f t="shared" si="32"/>
        <v>0.26566448222800965</v>
      </c>
      <c r="L82" s="361">
        <f t="shared" si="32"/>
        <v>0.21850716345471363</v>
      </c>
      <c r="M82" s="361">
        <f t="shared" si="32"/>
        <v>0.18927093380915655</v>
      </c>
      <c r="N82" s="361">
        <f t="shared" si="32"/>
        <v>0.2154069833611495</v>
      </c>
      <c r="O82" s="361">
        <f t="shared" si="32"/>
        <v>0.22178332187932673</v>
      </c>
      <c r="P82" s="361">
        <f t="shared" si="32"/>
        <v>0.21760067555762347</v>
      </c>
      <c r="Q82" s="361">
        <f t="shared" si="32"/>
        <v>0.21599315720539897</v>
      </c>
      <c r="R82" s="361">
        <f t="shared" si="32"/>
        <v>0.21475248349158194</v>
      </c>
      <c r="S82" s="361">
        <f t="shared" si="32"/>
        <v>0.21348942366160484</v>
      </c>
      <c r="T82" s="361">
        <f t="shared" si="32"/>
        <v>0.21221109478305275</v>
      </c>
      <c r="U82" s="361">
        <f t="shared" si="32"/>
        <v>0.21090337929655159</v>
      </c>
      <c r="V82" s="361">
        <f t="shared" si="32"/>
        <v>0.20957267159416434</v>
      </c>
      <c r="W82" s="361" t="str">
        <f t="shared" si="32"/>
        <v/>
      </c>
      <c r="X82" s="361" t="str">
        <f t="shared" si="32"/>
        <v/>
      </c>
      <c r="Y82" s="361" t="str">
        <f t="shared" si="32"/>
        <v/>
      </c>
      <c r="Z82" s="361" t="str">
        <f t="shared" si="32"/>
        <v/>
      </c>
      <c r="AA82" s="361" t="str">
        <f t="shared" si="32"/>
        <v/>
      </c>
      <c r="AB82" s="361" t="str">
        <f t="shared" si="32"/>
        <v/>
      </c>
      <c r="AC82" s="361" t="str">
        <f t="shared" si="32"/>
        <v/>
      </c>
      <c r="AD82" s="361" t="str">
        <f t="shared" si="32"/>
        <v/>
      </c>
    </row>
    <row r="83" spans="1:30" s="287" customFormat="1" ht="15" customHeight="1">
      <c r="A83" s="328"/>
      <c r="B83" s="329"/>
      <c r="C83" s="330" t="s">
        <v>881</v>
      </c>
      <c r="D83" s="331" t="s">
        <v>878</v>
      </c>
      <c r="E83" s="363" t="s">
        <v>972</v>
      </c>
      <c r="F83" s="333" t="s">
        <v>883</v>
      </c>
      <c r="G83" s="370" t="s">
        <v>958</v>
      </c>
      <c r="H83" s="361">
        <f t="shared" ref="H83:AD83" si="33">IFERROR(ROUND(H25,0)/ROUND(H81,0),"")</f>
        <v>1.2711421098517872</v>
      </c>
      <c r="I83" s="361">
        <f t="shared" si="33"/>
        <v>4.6399253731343286</v>
      </c>
      <c r="J83" s="361">
        <f t="shared" si="33"/>
        <v>9.5246913580246915</v>
      </c>
      <c r="K83" s="361">
        <f t="shared" si="33"/>
        <v>2.4509803921568629</v>
      </c>
      <c r="L83" s="361">
        <f t="shared" si="33"/>
        <v>3.2080679405520169</v>
      </c>
      <c r="M83" s="361">
        <f t="shared" si="33"/>
        <v>4.8566666666666665</v>
      </c>
      <c r="N83" s="361">
        <f t="shared" si="33"/>
        <v>2.6533192834562698</v>
      </c>
      <c r="O83" s="361">
        <f t="shared" si="33"/>
        <v>2.2435424354243541</v>
      </c>
      <c r="P83" s="361">
        <f t="shared" si="33"/>
        <v>2.2950340798442066</v>
      </c>
      <c r="Q83" s="361">
        <f t="shared" si="33"/>
        <v>1.5658153241650294</v>
      </c>
      <c r="R83" s="361">
        <f t="shared" si="33"/>
        <v>1.5009842519685039</v>
      </c>
      <c r="S83" s="361">
        <f t="shared" si="33"/>
        <v>0.74950690335305725</v>
      </c>
      <c r="T83" s="361">
        <f t="shared" si="33"/>
        <v>0.68280632411067199</v>
      </c>
      <c r="U83" s="361">
        <f t="shared" si="33"/>
        <v>0.55346534653465351</v>
      </c>
      <c r="V83" s="361">
        <f t="shared" si="33"/>
        <v>0.4861111111111111</v>
      </c>
      <c r="W83" s="361" t="str">
        <f t="shared" si="33"/>
        <v/>
      </c>
      <c r="X83" s="361" t="str">
        <f t="shared" si="33"/>
        <v/>
      </c>
      <c r="Y83" s="361" t="str">
        <f t="shared" si="33"/>
        <v/>
      </c>
      <c r="Z83" s="361" t="str">
        <f t="shared" si="33"/>
        <v/>
      </c>
      <c r="AA83" s="361" t="str">
        <f t="shared" si="33"/>
        <v/>
      </c>
      <c r="AB83" s="361" t="str">
        <f t="shared" si="33"/>
        <v/>
      </c>
      <c r="AC83" s="361" t="str">
        <f t="shared" si="33"/>
        <v/>
      </c>
      <c r="AD83" s="361" t="str">
        <f t="shared" si="33"/>
        <v/>
      </c>
    </row>
    <row r="84" spans="1:30" s="287" customFormat="1" ht="15" customHeight="1">
      <c r="A84" s="328"/>
      <c r="B84" s="329"/>
      <c r="C84" s="330" t="s">
        <v>881</v>
      </c>
      <c r="D84" s="331" t="s">
        <v>878</v>
      </c>
      <c r="E84" s="363" t="s">
        <v>973</v>
      </c>
      <c r="F84" s="333" t="s">
        <v>883</v>
      </c>
      <c r="G84" s="364" t="s">
        <v>958</v>
      </c>
      <c r="H84" s="361">
        <f t="shared" ref="H84:AD84" si="34">IFERROR(ROUND(H25,0)/ROUND(H80,0),"")</f>
        <v>0.37080366225839267</v>
      </c>
      <c r="I84" s="361">
        <f t="shared" si="34"/>
        <v>0.75730816077953711</v>
      </c>
      <c r="J84" s="361">
        <f t="shared" si="34"/>
        <v>1.1645283018867925</v>
      </c>
      <c r="K84" s="361">
        <f t="shared" si="34"/>
        <v>0.65118912797281991</v>
      </c>
      <c r="L84" s="361">
        <f t="shared" si="34"/>
        <v>0.70099744838784506</v>
      </c>
      <c r="M84" s="361">
        <f t="shared" si="34"/>
        <v>0.91953297570211423</v>
      </c>
      <c r="N84" s="361">
        <f t="shared" si="34"/>
        <v>0.57123411978221417</v>
      </c>
      <c r="O84" s="361">
        <f t="shared" si="34"/>
        <v>0.49754500818330605</v>
      </c>
      <c r="P84" s="361">
        <f t="shared" si="34"/>
        <v>0.49947022674295399</v>
      </c>
      <c r="Q84" s="361">
        <f t="shared" si="34"/>
        <v>0.33814170555791262</v>
      </c>
      <c r="R84" s="361">
        <f t="shared" si="34"/>
        <v>0.3222057891400803</v>
      </c>
      <c r="S84" s="361">
        <f t="shared" si="34"/>
        <v>0.15993265993265993</v>
      </c>
      <c r="T84" s="361">
        <f t="shared" si="34"/>
        <v>0.14483336826661078</v>
      </c>
      <c r="U84" s="361">
        <f t="shared" si="34"/>
        <v>0.11670146137787056</v>
      </c>
      <c r="V84" s="361">
        <f t="shared" si="34"/>
        <v>0.10189228529839883</v>
      </c>
      <c r="W84" s="361" t="str">
        <f t="shared" si="34"/>
        <v/>
      </c>
      <c r="X84" s="361" t="str">
        <f t="shared" si="34"/>
        <v/>
      </c>
      <c r="Y84" s="361" t="str">
        <f t="shared" si="34"/>
        <v/>
      </c>
      <c r="Z84" s="361" t="str">
        <f t="shared" si="34"/>
        <v/>
      </c>
      <c r="AA84" s="361" t="str">
        <f t="shared" si="34"/>
        <v/>
      </c>
      <c r="AB84" s="361" t="str">
        <f t="shared" si="34"/>
        <v/>
      </c>
      <c r="AC84" s="361" t="str">
        <f t="shared" si="34"/>
        <v/>
      </c>
      <c r="AD84" s="361" t="str">
        <f t="shared" si="34"/>
        <v/>
      </c>
    </row>
    <row r="85" spans="1:30" s="287" customFormat="1" ht="15" customHeight="1">
      <c r="A85" s="328"/>
      <c r="B85" s="329"/>
      <c r="C85" s="330" t="s">
        <v>881</v>
      </c>
      <c r="D85" s="331" t="s">
        <v>878</v>
      </c>
      <c r="E85" s="363" t="s">
        <v>974</v>
      </c>
      <c r="F85" s="333" t="s">
        <v>883</v>
      </c>
      <c r="G85" s="364" t="s">
        <v>958</v>
      </c>
      <c r="H85" s="361">
        <f t="shared" ref="H85:AD85" si="35">IFERROR(ROUND(H28,0)/ROUND(H81,0),"")</f>
        <v>1.0479511769834351</v>
      </c>
      <c r="I85" s="361">
        <f t="shared" si="35"/>
        <v>3.8638059701492535</v>
      </c>
      <c r="J85" s="361">
        <f t="shared" si="35"/>
        <v>6.9506172839506171</v>
      </c>
      <c r="K85" s="361">
        <f t="shared" si="35"/>
        <v>1.6564364876385336</v>
      </c>
      <c r="L85" s="361">
        <f t="shared" si="35"/>
        <v>2.2972399150743099</v>
      </c>
      <c r="M85" s="361">
        <f t="shared" si="35"/>
        <v>3.875</v>
      </c>
      <c r="N85" s="361">
        <f t="shared" si="35"/>
        <v>2.0706006322444677</v>
      </c>
      <c r="O85" s="361">
        <f t="shared" si="35"/>
        <v>1.3523985239852399</v>
      </c>
      <c r="P85" s="361">
        <f t="shared" si="35"/>
        <v>0.9328140214216164</v>
      </c>
      <c r="Q85" s="361">
        <f t="shared" si="35"/>
        <v>0.46168958742632615</v>
      </c>
      <c r="R85" s="361">
        <f t="shared" si="35"/>
        <v>-2.3622047244094488E-2</v>
      </c>
      <c r="S85" s="361">
        <f t="shared" si="35"/>
        <v>-0.50295857988165682</v>
      </c>
      <c r="T85" s="361">
        <f t="shared" si="35"/>
        <v>-0.99703557312252966</v>
      </c>
      <c r="U85" s="361">
        <f t="shared" si="35"/>
        <v>-1.4841584158415841</v>
      </c>
      <c r="V85" s="361">
        <f t="shared" si="35"/>
        <v>-1.9662698412698412</v>
      </c>
      <c r="W85" s="361" t="str">
        <f t="shared" si="35"/>
        <v/>
      </c>
      <c r="X85" s="361" t="str">
        <f t="shared" si="35"/>
        <v/>
      </c>
      <c r="Y85" s="361" t="str">
        <f t="shared" si="35"/>
        <v/>
      </c>
      <c r="Z85" s="361" t="str">
        <f t="shared" si="35"/>
        <v/>
      </c>
      <c r="AA85" s="361" t="str">
        <f t="shared" si="35"/>
        <v/>
      </c>
      <c r="AB85" s="361" t="str">
        <f t="shared" si="35"/>
        <v/>
      </c>
      <c r="AC85" s="361" t="str">
        <f t="shared" si="35"/>
        <v/>
      </c>
      <c r="AD85" s="361" t="str">
        <f t="shared" si="35"/>
        <v/>
      </c>
    </row>
    <row r="86" spans="1:30" s="287" customFormat="1" ht="15" customHeight="1">
      <c r="A86" s="328"/>
      <c r="B86" s="329"/>
      <c r="C86" s="330" t="s">
        <v>881</v>
      </c>
      <c r="D86" s="331" t="s">
        <v>878</v>
      </c>
      <c r="E86" s="363" t="s">
        <v>975</v>
      </c>
      <c r="F86" s="333" t="s">
        <v>883</v>
      </c>
      <c r="G86" s="364" t="s">
        <v>958</v>
      </c>
      <c r="H86" s="361">
        <f t="shared" ref="H86:AD86" si="36">IFERROR(H27/H80,"")</f>
        <v>0</v>
      </c>
      <c r="I86" s="361">
        <f t="shared" si="36"/>
        <v>0</v>
      </c>
      <c r="J86" s="361">
        <f t="shared" si="36"/>
        <v>0</v>
      </c>
      <c r="K86" s="361">
        <f t="shared" si="36"/>
        <v>0</v>
      </c>
      <c r="L86" s="361">
        <f t="shared" si="36"/>
        <v>0</v>
      </c>
      <c r="M86" s="361">
        <f t="shared" si="36"/>
        <v>0</v>
      </c>
      <c r="N86" s="361">
        <f t="shared" si="36"/>
        <v>0</v>
      </c>
      <c r="O86" s="361">
        <f t="shared" si="36"/>
        <v>0</v>
      </c>
      <c r="P86" s="361">
        <f t="shared" si="36"/>
        <v>0</v>
      </c>
      <c r="Q86" s="361">
        <f t="shared" si="36"/>
        <v>0</v>
      </c>
      <c r="R86" s="361">
        <f t="shared" si="36"/>
        <v>0</v>
      </c>
      <c r="S86" s="361">
        <f t="shared" si="36"/>
        <v>0</v>
      </c>
      <c r="T86" s="361">
        <f t="shared" si="36"/>
        <v>0</v>
      </c>
      <c r="U86" s="361">
        <f t="shared" si="36"/>
        <v>0</v>
      </c>
      <c r="V86" s="361">
        <f t="shared" si="36"/>
        <v>0</v>
      </c>
      <c r="W86" s="361" t="str">
        <f t="shared" si="36"/>
        <v/>
      </c>
      <c r="X86" s="361" t="str">
        <f t="shared" si="36"/>
        <v/>
      </c>
      <c r="Y86" s="361" t="str">
        <f t="shared" si="36"/>
        <v/>
      </c>
      <c r="Z86" s="361" t="str">
        <f t="shared" si="36"/>
        <v/>
      </c>
      <c r="AA86" s="361" t="str">
        <f t="shared" si="36"/>
        <v/>
      </c>
      <c r="AB86" s="361" t="str">
        <f t="shared" si="36"/>
        <v/>
      </c>
      <c r="AC86" s="361" t="str">
        <f t="shared" si="36"/>
        <v/>
      </c>
      <c r="AD86" s="361" t="str">
        <f t="shared" si="36"/>
        <v/>
      </c>
    </row>
    <row r="87" spans="1:30" s="287" customFormat="1" ht="15" customHeight="1">
      <c r="A87" s="328"/>
      <c r="B87" s="329"/>
      <c r="C87" s="330" t="s">
        <v>881</v>
      </c>
      <c r="D87" s="331" t="s">
        <v>878</v>
      </c>
      <c r="E87" s="363" t="s">
        <v>976</v>
      </c>
      <c r="F87" s="333" t="s">
        <v>883</v>
      </c>
      <c r="G87" s="364" t="s">
        <v>958</v>
      </c>
      <c r="H87" s="361">
        <f t="shared" ref="H87:AD87" si="37">IFERROR(H27/H81,"")</f>
        <v>0</v>
      </c>
      <c r="I87" s="361">
        <f t="shared" si="37"/>
        <v>0</v>
      </c>
      <c r="J87" s="361">
        <f t="shared" si="37"/>
        <v>0</v>
      </c>
      <c r="K87" s="361">
        <f t="shared" si="37"/>
        <v>0</v>
      </c>
      <c r="L87" s="361">
        <f t="shared" si="37"/>
        <v>0</v>
      </c>
      <c r="M87" s="361">
        <f t="shared" si="37"/>
        <v>0</v>
      </c>
      <c r="N87" s="361">
        <f t="shared" si="37"/>
        <v>0</v>
      </c>
      <c r="O87" s="361">
        <f t="shared" si="37"/>
        <v>0</v>
      </c>
      <c r="P87" s="361">
        <f t="shared" si="37"/>
        <v>0</v>
      </c>
      <c r="Q87" s="361">
        <f t="shared" si="37"/>
        <v>0</v>
      </c>
      <c r="R87" s="361">
        <f t="shared" si="37"/>
        <v>0</v>
      </c>
      <c r="S87" s="361">
        <f t="shared" si="37"/>
        <v>0</v>
      </c>
      <c r="T87" s="361">
        <f t="shared" si="37"/>
        <v>0</v>
      </c>
      <c r="U87" s="361">
        <f t="shared" si="37"/>
        <v>0</v>
      </c>
      <c r="V87" s="361">
        <f t="shared" si="37"/>
        <v>0</v>
      </c>
      <c r="W87" s="361" t="str">
        <f t="shared" si="37"/>
        <v/>
      </c>
      <c r="X87" s="361" t="str">
        <f t="shared" si="37"/>
        <v/>
      </c>
      <c r="Y87" s="361" t="str">
        <f t="shared" si="37"/>
        <v/>
      </c>
      <c r="Z87" s="361" t="str">
        <f t="shared" si="37"/>
        <v/>
      </c>
      <c r="AA87" s="361" t="str">
        <f t="shared" si="37"/>
        <v/>
      </c>
      <c r="AB87" s="361" t="str">
        <f t="shared" si="37"/>
        <v/>
      </c>
      <c r="AC87" s="361" t="str">
        <f t="shared" si="37"/>
        <v/>
      </c>
      <c r="AD87" s="361" t="str">
        <f t="shared" si="37"/>
        <v/>
      </c>
    </row>
    <row r="88" spans="1:30" s="352" customFormat="1" ht="15" customHeight="1">
      <c r="B88" s="335"/>
      <c r="C88" s="365" t="s">
        <v>881</v>
      </c>
      <c r="D88" s="366" t="s">
        <v>878</v>
      </c>
      <c r="E88" s="367" t="s">
        <v>977</v>
      </c>
      <c r="F88" s="368" t="s">
        <v>883</v>
      </c>
      <c r="G88" s="371" t="s">
        <v>958</v>
      </c>
      <c r="H88" s="361">
        <f t="shared" ref="H88:AD88" si="38">H72</f>
        <v>12.742510510176876</v>
      </c>
      <c r="I88" s="361">
        <f t="shared" si="38"/>
        <v>4.6476477364398932</v>
      </c>
      <c r="J88" s="361">
        <f t="shared" si="38"/>
        <v>1.9608151284375954</v>
      </c>
      <c r="K88" s="361">
        <f t="shared" si="38"/>
        <v>7.1052867823020867</v>
      </c>
      <c r="L88" s="361">
        <f t="shared" si="38"/>
        <v>5.8215841511346218</v>
      </c>
      <c r="M88" s="361">
        <f t="shared" si="38"/>
        <v>3.7606408498815727</v>
      </c>
      <c r="N88" s="361">
        <f t="shared" si="38"/>
        <v>6.1972039953281035</v>
      </c>
      <c r="O88" s="361">
        <f t="shared" si="38"/>
        <v>7.9504228533153185</v>
      </c>
      <c r="P88" s="361">
        <f t="shared" si="38"/>
        <v>7.8155445140720063</v>
      </c>
      <c r="Q88" s="361">
        <f t="shared" si="38"/>
        <v>8.5678586496154665</v>
      </c>
      <c r="R88" s="361">
        <f t="shared" si="38"/>
        <v>11.183217570526487</v>
      </c>
      <c r="S88" s="361">
        <f t="shared" si="38"/>
        <v>11.374692140562578</v>
      </c>
      <c r="T88" s="361">
        <f t="shared" si="38"/>
        <v>18.616510207497715</v>
      </c>
      <c r="U88" s="361">
        <f t="shared" si="38"/>
        <v>19.194485309204985</v>
      </c>
      <c r="V88" s="361">
        <f t="shared" si="38"/>
        <v>19.791018321739397</v>
      </c>
      <c r="W88" s="361" t="str">
        <f t="shared" si="38"/>
        <v/>
      </c>
      <c r="X88" s="361" t="str">
        <f t="shared" si="38"/>
        <v/>
      </c>
      <c r="Y88" s="361" t="str">
        <f t="shared" si="38"/>
        <v/>
      </c>
      <c r="Z88" s="361" t="str">
        <f t="shared" si="38"/>
        <v/>
      </c>
      <c r="AA88" s="361" t="str">
        <f t="shared" si="38"/>
        <v/>
      </c>
      <c r="AB88" s="361" t="str">
        <f t="shared" si="38"/>
        <v/>
      </c>
      <c r="AC88" s="361" t="str">
        <f t="shared" si="38"/>
        <v/>
      </c>
      <c r="AD88" s="361" t="str">
        <f t="shared" si="38"/>
        <v/>
      </c>
    </row>
    <row r="89" spans="1:30" s="352" customFormat="1" ht="15" customHeight="1">
      <c r="B89" s="335"/>
      <c r="C89" s="365" t="s">
        <v>881</v>
      </c>
      <c r="D89" s="366" t="s">
        <v>878</v>
      </c>
      <c r="E89" s="367" t="s">
        <v>978</v>
      </c>
      <c r="F89" s="368" t="s">
        <v>883</v>
      </c>
      <c r="G89" s="371" t="s">
        <v>958</v>
      </c>
      <c r="H89" s="361">
        <f t="shared" ref="H89:AD90" si="39">H74</f>
        <v>9.1740511954492927</v>
      </c>
      <c r="I89" s="361">
        <f t="shared" si="39"/>
        <v>3.662699617463113</v>
      </c>
      <c r="J89" s="361">
        <f t="shared" si="39"/>
        <v>3.0084375944394073</v>
      </c>
      <c r="K89" s="361">
        <f t="shared" si="39"/>
        <v>6.3973670021022802</v>
      </c>
      <c r="L89" s="361">
        <f t="shared" si="39"/>
        <v>6.2012656350422697</v>
      </c>
      <c r="M89" s="361">
        <f t="shared" si="39"/>
        <v>3.8560374051063797</v>
      </c>
      <c r="N89" s="361">
        <f t="shared" si="39"/>
        <v>4.9003540682274327</v>
      </c>
      <c r="O89" s="361">
        <f t="shared" si="39"/>
        <v>6.5396088249193696</v>
      </c>
      <c r="P89" s="361">
        <f>P74</f>
        <v>6.7151537932783043</v>
      </c>
      <c r="Q89" s="361">
        <f t="shared" si="39"/>
        <v>7.0814608509777601</v>
      </c>
      <c r="R89" s="361">
        <f t="shared" si="39"/>
        <v>8.7915801691201079</v>
      </c>
      <c r="S89" s="361">
        <f t="shared" si="39"/>
        <v>8.852898816732127</v>
      </c>
      <c r="T89" s="361">
        <f t="shared" si="39"/>
        <v>13.623632406626875</v>
      </c>
      <c r="U89" s="361">
        <f t="shared" si="39"/>
        <v>13.897374829621521</v>
      </c>
      <c r="V89" s="361">
        <f t="shared" si="39"/>
        <v>14.177877703505883</v>
      </c>
      <c r="W89" s="361" t="str">
        <f t="shared" si="39"/>
        <v/>
      </c>
      <c r="X89" s="361" t="str">
        <f t="shared" si="39"/>
        <v/>
      </c>
      <c r="Y89" s="361" t="str">
        <f t="shared" si="39"/>
        <v/>
      </c>
      <c r="Z89" s="361" t="str">
        <f t="shared" si="39"/>
        <v/>
      </c>
      <c r="AA89" s="361" t="str">
        <f t="shared" si="39"/>
        <v/>
      </c>
      <c r="AB89" s="361" t="str">
        <f t="shared" si="39"/>
        <v/>
      </c>
      <c r="AC89" s="361" t="str">
        <f t="shared" si="39"/>
        <v/>
      </c>
      <c r="AD89" s="361" t="str">
        <f t="shared" si="39"/>
        <v/>
      </c>
    </row>
    <row r="90" spans="1:30" s="352" customFormat="1" ht="15" customHeight="1">
      <c r="B90" s="335"/>
      <c r="C90" s="365" t="s">
        <v>881</v>
      </c>
      <c r="D90" s="366" t="s">
        <v>878</v>
      </c>
      <c r="E90" s="367" t="s">
        <v>979</v>
      </c>
      <c r="F90" s="368" t="s">
        <v>883</v>
      </c>
      <c r="G90" s="371" t="s">
        <v>958</v>
      </c>
      <c r="H90" s="361">
        <f t="shared" si="39"/>
        <v>9.1740511954492927</v>
      </c>
      <c r="I90" s="361">
        <f t="shared" si="39"/>
        <v>3.662699617463113</v>
      </c>
      <c r="J90" s="361">
        <f t="shared" si="39"/>
        <v>3.0084375944394073</v>
      </c>
      <c r="K90" s="361">
        <f t="shared" si="39"/>
        <v>6.3973670021022802</v>
      </c>
      <c r="L90" s="361">
        <f t="shared" si="39"/>
        <v>6.2012656350422697</v>
      </c>
      <c r="M90" s="361">
        <f t="shared" si="39"/>
        <v>3.8560374051063797</v>
      </c>
      <c r="N90" s="361">
        <f t="shared" si="39"/>
        <v>4.9003540682274327</v>
      </c>
      <c r="O90" s="361">
        <f t="shared" si="39"/>
        <v>6.5396088249193696</v>
      </c>
      <c r="P90" s="361">
        <f t="shared" si="39"/>
        <v>6.7151537932783043</v>
      </c>
      <c r="Q90" s="361">
        <f t="shared" si="39"/>
        <v>7.0814608509777601</v>
      </c>
      <c r="R90" s="361">
        <f t="shared" si="39"/>
        <v>8.7915801691201079</v>
      </c>
      <c r="S90" s="361">
        <f t="shared" si="39"/>
        <v>8.852898816732127</v>
      </c>
      <c r="T90" s="361">
        <f t="shared" si="39"/>
        <v>13.623632406626875</v>
      </c>
      <c r="U90" s="361">
        <f t="shared" si="39"/>
        <v>13.897374829621521</v>
      </c>
      <c r="V90" s="361">
        <f t="shared" si="39"/>
        <v>14.177877703505883</v>
      </c>
      <c r="W90" s="361" t="str">
        <f t="shared" si="39"/>
        <v/>
      </c>
      <c r="X90" s="361" t="str">
        <f t="shared" si="39"/>
        <v/>
      </c>
      <c r="Y90" s="361" t="str">
        <f t="shared" si="39"/>
        <v/>
      </c>
      <c r="Z90" s="361" t="str">
        <f t="shared" si="39"/>
        <v/>
      </c>
      <c r="AA90" s="361" t="str">
        <f t="shared" si="39"/>
        <v/>
      </c>
      <c r="AB90" s="361" t="str">
        <f t="shared" si="39"/>
        <v/>
      </c>
      <c r="AC90" s="361" t="str">
        <f t="shared" si="39"/>
        <v/>
      </c>
      <c r="AD90" s="361" t="str">
        <f t="shared" si="39"/>
        <v/>
      </c>
    </row>
    <row r="91" spans="1:30" s="352" customFormat="1" ht="15" customHeight="1">
      <c r="B91" s="335"/>
      <c r="C91" s="365" t="s">
        <v>881</v>
      </c>
      <c r="D91" s="366" t="s">
        <v>878</v>
      </c>
      <c r="E91" s="367" t="s">
        <v>980</v>
      </c>
      <c r="F91" s="368" t="s">
        <v>883</v>
      </c>
      <c r="G91" s="371" t="s">
        <v>958</v>
      </c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</row>
    <row r="92" spans="1:30" s="352" customFormat="1" ht="15" customHeight="1">
      <c r="B92" s="335"/>
      <c r="C92" s="365" t="s">
        <v>881</v>
      </c>
      <c r="D92" s="366" t="s">
        <v>878</v>
      </c>
      <c r="E92" s="372" t="s">
        <v>981</v>
      </c>
      <c r="F92" s="333" t="s">
        <v>883</v>
      </c>
      <c r="G92" s="364" t="s">
        <v>958</v>
      </c>
      <c r="H92" s="361">
        <f t="shared" ref="H92:AD92" si="40">H15</f>
        <v>980.20600000000002</v>
      </c>
      <c r="I92" s="361">
        <f t="shared" si="40"/>
        <v>515.43100000000004</v>
      </c>
      <c r="J92" s="361">
        <f>J15</f>
        <v>461.08199999999999</v>
      </c>
      <c r="K92" s="361">
        <f t="shared" si="40"/>
        <v>994.36900000000003</v>
      </c>
      <c r="L92" s="361">
        <f t="shared" si="40"/>
        <v>987.34900000000005</v>
      </c>
      <c r="M92" s="361">
        <f t="shared" si="40"/>
        <v>605.80242258896487</v>
      </c>
      <c r="N92" s="361">
        <f t="shared" si="40"/>
        <v>778.40912895122199</v>
      </c>
      <c r="O92" s="361">
        <f t="shared" si="40"/>
        <v>939.82854873683266</v>
      </c>
      <c r="P92" s="361">
        <f t="shared" si="40"/>
        <v>939.28992500693164</v>
      </c>
      <c r="Q92" s="361">
        <f t="shared" si="40"/>
        <v>914.82329921694475</v>
      </c>
      <c r="R92" s="361">
        <f t="shared" si="40"/>
        <v>904.09588260539431</v>
      </c>
      <c r="S92" s="361">
        <f t="shared" si="40"/>
        <v>900.23726711956601</v>
      </c>
      <c r="T92" s="361">
        <f t="shared" si="40"/>
        <v>890.37810834921197</v>
      </c>
      <c r="U92" s="361">
        <f t="shared" si="40"/>
        <v>886.73489307095826</v>
      </c>
      <c r="V92" s="361">
        <f t="shared" si="40"/>
        <v>883.1818056860252</v>
      </c>
      <c r="W92" s="361">
        <f t="shared" si="40"/>
        <v>0</v>
      </c>
      <c r="X92" s="361">
        <f t="shared" si="40"/>
        <v>0</v>
      </c>
      <c r="Y92" s="361">
        <f t="shared" si="40"/>
        <v>0</v>
      </c>
      <c r="Z92" s="361">
        <f t="shared" si="40"/>
        <v>0</v>
      </c>
      <c r="AA92" s="361">
        <f t="shared" si="40"/>
        <v>0</v>
      </c>
      <c r="AB92" s="361">
        <f t="shared" si="40"/>
        <v>0</v>
      </c>
      <c r="AC92" s="361">
        <f t="shared" si="40"/>
        <v>0</v>
      </c>
      <c r="AD92" s="361">
        <f t="shared" si="40"/>
        <v>0</v>
      </c>
    </row>
    <row r="93" spans="1:30" s="352" customFormat="1" ht="15" customHeight="1">
      <c r="B93" s="335"/>
      <c r="C93" s="365" t="s">
        <v>881</v>
      </c>
      <c r="D93" s="366" t="s">
        <v>878</v>
      </c>
      <c r="E93" s="372" t="s">
        <v>982</v>
      </c>
      <c r="F93" s="333" t="s">
        <v>883</v>
      </c>
      <c r="G93" s="364" t="s">
        <v>958</v>
      </c>
      <c r="H93" s="361">
        <f t="shared" ref="H93:AD93" si="41">H35</f>
        <v>90.007999999999996</v>
      </c>
      <c r="I93" s="361">
        <f t="shared" si="41"/>
        <v>115.283</v>
      </c>
      <c r="J93" s="361">
        <f t="shared" si="41"/>
        <v>165.45</v>
      </c>
      <c r="K93" s="361">
        <f t="shared" si="41"/>
        <v>165.059</v>
      </c>
      <c r="L93" s="361">
        <f t="shared" si="41"/>
        <v>161.816</v>
      </c>
      <c r="M93" s="361">
        <f t="shared" si="41"/>
        <v>159.47333135</v>
      </c>
      <c r="N93" s="361">
        <f t="shared" si="41"/>
        <v>153.21145217191781</v>
      </c>
      <c r="O93" s="361">
        <f t="shared" si="41"/>
        <v>136.34080134999999</v>
      </c>
      <c r="P93" s="361">
        <f t="shared" si="41"/>
        <v>131.39380134999999</v>
      </c>
      <c r="Q93" s="361">
        <f t="shared" si="41"/>
        <v>118.83691949383561</v>
      </c>
      <c r="R93" s="361">
        <f t="shared" si="41"/>
        <v>90.884290100000001</v>
      </c>
      <c r="S93" s="361">
        <f t="shared" si="41"/>
        <v>89.184180298630125</v>
      </c>
      <c r="T93" s="361">
        <f t="shared" si="41"/>
        <v>54.381932599999999</v>
      </c>
      <c r="U93" s="361">
        <f t="shared" si="41"/>
        <v>52.629058917808223</v>
      </c>
      <c r="V93" s="361">
        <f t="shared" si="41"/>
        <v>50.923560199999997</v>
      </c>
      <c r="W93" s="361">
        <f t="shared" si="41"/>
        <v>0</v>
      </c>
      <c r="X93" s="361">
        <f t="shared" si="41"/>
        <v>0</v>
      </c>
      <c r="Y93" s="361">
        <f t="shared" si="41"/>
        <v>0</v>
      </c>
      <c r="Z93" s="361">
        <f t="shared" si="41"/>
        <v>0</v>
      </c>
      <c r="AA93" s="361">
        <f t="shared" si="41"/>
        <v>0</v>
      </c>
      <c r="AB93" s="361">
        <f t="shared" si="41"/>
        <v>0</v>
      </c>
      <c r="AC93" s="361">
        <f t="shared" si="41"/>
        <v>0</v>
      </c>
      <c r="AD93" s="361">
        <f t="shared" si="41"/>
        <v>0</v>
      </c>
    </row>
    <row r="94" spans="1:30" s="352" customFormat="1" ht="15" customHeight="1">
      <c r="B94" s="335"/>
      <c r="C94" s="365" t="s">
        <v>881</v>
      </c>
      <c r="D94" s="366" t="s">
        <v>878</v>
      </c>
      <c r="E94" s="372" t="s">
        <v>983</v>
      </c>
      <c r="F94" s="368" t="s">
        <v>883</v>
      </c>
      <c r="G94" s="364" t="s">
        <v>958</v>
      </c>
      <c r="H94" s="361">
        <f>H33</f>
        <v>90.007999999999996</v>
      </c>
      <c r="I94" s="361">
        <f t="shared" ref="I94:AD94" si="42">I33</f>
        <v>115.283</v>
      </c>
      <c r="J94" s="361">
        <f t="shared" si="42"/>
        <v>165.45</v>
      </c>
      <c r="K94" s="361">
        <f t="shared" si="42"/>
        <v>165.059</v>
      </c>
      <c r="L94" s="361">
        <f t="shared" si="42"/>
        <v>161.816</v>
      </c>
      <c r="M94" s="361">
        <f t="shared" si="42"/>
        <v>159.47333135</v>
      </c>
      <c r="N94" s="361">
        <f t="shared" si="42"/>
        <v>153.21145217191781</v>
      </c>
      <c r="O94" s="361">
        <f t="shared" si="42"/>
        <v>136.34080134999999</v>
      </c>
      <c r="P94" s="361">
        <f t="shared" si="42"/>
        <v>131.39380134999999</v>
      </c>
      <c r="Q94" s="361">
        <f t="shared" si="42"/>
        <v>118.83691949383561</v>
      </c>
      <c r="R94" s="361">
        <f t="shared" si="42"/>
        <v>90.884290100000001</v>
      </c>
      <c r="S94" s="361">
        <f t="shared" si="42"/>
        <v>89.184180298630125</v>
      </c>
      <c r="T94" s="361">
        <f t="shared" si="42"/>
        <v>54.381932599999999</v>
      </c>
      <c r="U94" s="361">
        <f t="shared" si="42"/>
        <v>52.629058917808223</v>
      </c>
      <c r="V94" s="361">
        <f t="shared" si="42"/>
        <v>50.923560199999997</v>
      </c>
      <c r="W94" s="361">
        <f t="shared" si="42"/>
        <v>0</v>
      </c>
      <c r="X94" s="361">
        <f t="shared" si="42"/>
        <v>0</v>
      </c>
      <c r="Y94" s="361">
        <f t="shared" si="42"/>
        <v>0</v>
      </c>
      <c r="Z94" s="361">
        <f t="shared" si="42"/>
        <v>0</v>
      </c>
      <c r="AA94" s="361">
        <f t="shared" si="42"/>
        <v>0</v>
      </c>
      <c r="AB94" s="361">
        <f t="shared" si="42"/>
        <v>0</v>
      </c>
      <c r="AC94" s="361">
        <f t="shared" si="42"/>
        <v>0</v>
      </c>
      <c r="AD94" s="361">
        <f t="shared" si="42"/>
        <v>0</v>
      </c>
    </row>
    <row r="95" spans="1:30" s="352" customFormat="1" ht="15" customHeight="1">
      <c r="B95" s="335"/>
      <c r="C95" s="365" t="s">
        <v>881</v>
      </c>
      <c r="D95" s="366" t="s">
        <v>878</v>
      </c>
      <c r="E95" s="372" t="s">
        <v>984</v>
      </c>
      <c r="F95" s="368" t="s">
        <v>883</v>
      </c>
      <c r="G95" s="364" t="s">
        <v>958</v>
      </c>
      <c r="H95" s="361">
        <f t="shared" ref="H95:AD95" si="43">H32</f>
        <v>0</v>
      </c>
      <c r="I95" s="361">
        <f t="shared" si="43"/>
        <v>0</v>
      </c>
      <c r="J95" s="361">
        <f t="shared" si="43"/>
        <v>0</v>
      </c>
      <c r="K95" s="361">
        <f t="shared" si="43"/>
        <v>0</v>
      </c>
      <c r="L95" s="361">
        <f t="shared" si="43"/>
        <v>0</v>
      </c>
      <c r="M95" s="361">
        <f t="shared" si="43"/>
        <v>0</v>
      </c>
      <c r="N95" s="361">
        <f t="shared" si="43"/>
        <v>0</v>
      </c>
      <c r="O95" s="361">
        <f t="shared" si="43"/>
        <v>0</v>
      </c>
      <c r="P95" s="361">
        <f t="shared" si="43"/>
        <v>0</v>
      </c>
      <c r="Q95" s="361">
        <f t="shared" si="43"/>
        <v>0</v>
      </c>
      <c r="R95" s="361">
        <f t="shared" si="43"/>
        <v>0</v>
      </c>
      <c r="S95" s="361">
        <f t="shared" si="43"/>
        <v>0</v>
      </c>
      <c r="T95" s="361">
        <f t="shared" si="43"/>
        <v>0</v>
      </c>
      <c r="U95" s="361">
        <f t="shared" si="43"/>
        <v>0</v>
      </c>
      <c r="V95" s="361">
        <f t="shared" si="43"/>
        <v>0</v>
      </c>
      <c r="W95" s="361">
        <f t="shared" si="43"/>
        <v>0</v>
      </c>
      <c r="X95" s="361">
        <f t="shared" si="43"/>
        <v>0</v>
      </c>
      <c r="Y95" s="361">
        <f t="shared" si="43"/>
        <v>0</v>
      </c>
      <c r="Z95" s="361">
        <f t="shared" si="43"/>
        <v>0</v>
      </c>
      <c r="AA95" s="361">
        <f t="shared" si="43"/>
        <v>0</v>
      </c>
      <c r="AB95" s="361">
        <f t="shared" si="43"/>
        <v>0</v>
      </c>
      <c r="AC95" s="361">
        <f t="shared" si="43"/>
        <v>0</v>
      </c>
      <c r="AD95" s="361">
        <f t="shared" si="43"/>
        <v>0</v>
      </c>
    </row>
    <row r="96" spans="1:30" s="352" customFormat="1" ht="15" customHeight="1">
      <c r="B96" s="335"/>
      <c r="C96" s="365" t="s">
        <v>881</v>
      </c>
      <c r="D96" s="366" t="s">
        <v>878</v>
      </c>
      <c r="E96" s="372" t="s">
        <v>985</v>
      </c>
      <c r="F96" s="368" t="s">
        <v>883</v>
      </c>
      <c r="G96" s="364" t="s">
        <v>958</v>
      </c>
      <c r="H96" s="373">
        <f t="shared" ref="H96:AD96" si="44">IFERROR(H97+H98,"")</f>
        <v>244.476</v>
      </c>
      <c r="I96" s="373">
        <f t="shared" si="44"/>
        <v>208.46700000000001</v>
      </c>
      <c r="J96" s="373">
        <f t="shared" si="44"/>
        <v>128.786</v>
      </c>
      <c r="K96" s="373">
        <f t="shared" si="44"/>
        <v>103.485</v>
      </c>
      <c r="L96" s="373">
        <f t="shared" si="44"/>
        <v>145.70099999999999</v>
      </c>
      <c r="M96" s="373">
        <f t="shared" si="44"/>
        <v>150.340623136441</v>
      </c>
      <c r="N96" s="373">
        <f t="shared" si="44"/>
        <v>180.83021817344971</v>
      </c>
      <c r="O96" s="373">
        <f t="shared" si="44"/>
        <v>184.55384238179408</v>
      </c>
      <c r="P96" s="373">
        <f t="shared" si="44"/>
        <v>188.35414280822317</v>
      </c>
      <c r="Q96" s="373">
        <f t="shared" si="44"/>
        <v>192.12122566438765</v>
      </c>
      <c r="R96" s="373">
        <f t="shared" si="44"/>
        <v>195.96365017767542</v>
      </c>
      <c r="S96" s="373">
        <f t="shared" si="44"/>
        <v>199.88292318122893</v>
      </c>
      <c r="T96" s="373">
        <f t="shared" si="44"/>
        <v>203.88058164485349</v>
      </c>
      <c r="U96" s="373">
        <f t="shared" si="44"/>
        <v>207.95819327775058</v>
      </c>
      <c r="V96" s="373">
        <f t="shared" si="44"/>
        <v>212.11735714330558</v>
      </c>
      <c r="W96" s="373">
        <f t="shared" si="44"/>
        <v>0</v>
      </c>
      <c r="X96" s="373">
        <f t="shared" si="44"/>
        <v>0</v>
      </c>
      <c r="Y96" s="373">
        <f t="shared" si="44"/>
        <v>0</v>
      </c>
      <c r="Z96" s="373">
        <f t="shared" si="44"/>
        <v>0</v>
      </c>
      <c r="AA96" s="373">
        <f t="shared" si="44"/>
        <v>0</v>
      </c>
      <c r="AB96" s="373">
        <f t="shared" si="44"/>
        <v>0</v>
      </c>
      <c r="AC96" s="373">
        <f t="shared" si="44"/>
        <v>0</v>
      </c>
      <c r="AD96" s="373">
        <f t="shared" si="44"/>
        <v>0</v>
      </c>
    </row>
    <row r="97" spans="1:30" s="352" customFormat="1" ht="15" customHeight="1">
      <c r="B97" s="335"/>
      <c r="C97" s="365" t="s">
        <v>881</v>
      </c>
      <c r="D97" s="366" t="s">
        <v>878</v>
      </c>
      <c r="E97" s="372" t="s">
        <v>986</v>
      </c>
      <c r="F97" s="368" t="s">
        <v>883</v>
      </c>
      <c r="G97" s="364" t="s">
        <v>958</v>
      </c>
      <c r="H97" s="361">
        <f t="shared" ref="H97:AD97" si="45">H23</f>
        <v>244.476</v>
      </c>
      <c r="I97" s="361">
        <f t="shared" si="45"/>
        <v>208.46700000000001</v>
      </c>
      <c r="J97" s="361">
        <f t="shared" si="45"/>
        <v>128.786</v>
      </c>
      <c r="K97" s="361">
        <f t="shared" si="45"/>
        <v>103.485</v>
      </c>
      <c r="L97" s="361">
        <f t="shared" si="45"/>
        <v>145.70099999999999</v>
      </c>
      <c r="M97" s="361">
        <f t="shared" si="45"/>
        <v>150.340623136441</v>
      </c>
      <c r="N97" s="361">
        <f t="shared" si="45"/>
        <v>180.83021817344971</v>
      </c>
      <c r="O97" s="361">
        <f t="shared" si="45"/>
        <v>184.55384238179408</v>
      </c>
      <c r="P97" s="361">
        <f t="shared" si="45"/>
        <v>188.35414280822317</v>
      </c>
      <c r="Q97" s="361">
        <f t="shared" si="45"/>
        <v>192.12122566438765</v>
      </c>
      <c r="R97" s="361">
        <f t="shared" si="45"/>
        <v>195.96365017767542</v>
      </c>
      <c r="S97" s="361">
        <f t="shared" si="45"/>
        <v>199.88292318122893</v>
      </c>
      <c r="T97" s="361">
        <f t="shared" si="45"/>
        <v>203.88058164485349</v>
      </c>
      <c r="U97" s="361">
        <f t="shared" si="45"/>
        <v>207.95819327775058</v>
      </c>
      <c r="V97" s="361">
        <f t="shared" si="45"/>
        <v>212.11735714330558</v>
      </c>
      <c r="W97" s="361">
        <f t="shared" si="45"/>
        <v>0</v>
      </c>
      <c r="X97" s="361">
        <f t="shared" si="45"/>
        <v>0</v>
      </c>
      <c r="Y97" s="361">
        <f t="shared" si="45"/>
        <v>0</v>
      </c>
      <c r="Z97" s="361">
        <f t="shared" si="45"/>
        <v>0</v>
      </c>
      <c r="AA97" s="361">
        <f t="shared" si="45"/>
        <v>0</v>
      </c>
      <c r="AB97" s="361">
        <f t="shared" si="45"/>
        <v>0</v>
      </c>
      <c r="AC97" s="361">
        <f t="shared" si="45"/>
        <v>0</v>
      </c>
      <c r="AD97" s="361">
        <f t="shared" si="45"/>
        <v>0</v>
      </c>
    </row>
    <row r="98" spans="1:30" s="352" customFormat="1" ht="15" customHeight="1">
      <c r="B98" s="335"/>
      <c r="C98" s="365" t="s">
        <v>881</v>
      </c>
      <c r="D98" s="366" t="s">
        <v>878</v>
      </c>
      <c r="E98" s="372" t="s">
        <v>987</v>
      </c>
      <c r="F98" s="368" t="s">
        <v>883</v>
      </c>
      <c r="G98" s="364" t="s">
        <v>958</v>
      </c>
      <c r="H98" s="361">
        <f t="shared" ref="H98:AD98" si="46">H22</f>
        <v>0</v>
      </c>
      <c r="I98" s="361">
        <f t="shared" si="46"/>
        <v>0</v>
      </c>
      <c r="J98" s="361">
        <f t="shared" si="46"/>
        <v>0</v>
      </c>
      <c r="K98" s="361">
        <f t="shared" si="46"/>
        <v>0</v>
      </c>
      <c r="L98" s="361">
        <f t="shared" si="46"/>
        <v>0</v>
      </c>
      <c r="M98" s="361">
        <f t="shared" si="46"/>
        <v>0</v>
      </c>
      <c r="N98" s="361">
        <f t="shared" si="46"/>
        <v>0</v>
      </c>
      <c r="O98" s="361">
        <f t="shared" si="46"/>
        <v>0</v>
      </c>
      <c r="P98" s="361">
        <f t="shared" si="46"/>
        <v>0</v>
      </c>
      <c r="Q98" s="361">
        <f t="shared" si="46"/>
        <v>0</v>
      </c>
      <c r="R98" s="361">
        <f t="shared" si="46"/>
        <v>0</v>
      </c>
      <c r="S98" s="361">
        <f t="shared" si="46"/>
        <v>0</v>
      </c>
      <c r="T98" s="361">
        <f t="shared" si="46"/>
        <v>0</v>
      </c>
      <c r="U98" s="361">
        <f t="shared" si="46"/>
        <v>0</v>
      </c>
      <c r="V98" s="361">
        <f t="shared" si="46"/>
        <v>0</v>
      </c>
      <c r="W98" s="361">
        <f t="shared" si="46"/>
        <v>0</v>
      </c>
      <c r="X98" s="361">
        <f t="shared" si="46"/>
        <v>0</v>
      </c>
      <c r="Y98" s="361">
        <f t="shared" si="46"/>
        <v>0</v>
      </c>
      <c r="Z98" s="361">
        <f t="shared" si="46"/>
        <v>0</v>
      </c>
      <c r="AA98" s="361">
        <f t="shared" si="46"/>
        <v>0</v>
      </c>
      <c r="AB98" s="361">
        <f t="shared" si="46"/>
        <v>0</v>
      </c>
      <c r="AC98" s="361">
        <f t="shared" si="46"/>
        <v>0</v>
      </c>
      <c r="AD98" s="361">
        <f t="shared" si="46"/>
        <v>0</v>
      </c>
    </row>
    <row r="99" spans="1:30" ht="15" customHeight="1">
      <c r="A99" s="294"/>
      <c r="B99" s="295"/>
      <c r="C99" s="303"/>
      <c r="D99" s="297"/>
      <c r="E99" s="317"/>
      <c r="F99" s="297"/>
      <c r="G99" s="320"/>
      <c r="H99" s="327"/>
      <c r="I99" s="327"/>
      <c r="J99" s="327"/>
      <c r="K99" s="327"/>
      <c r="L99" s="327"/>
      <c r="M99" s="327"/>
      <c r="N99" s="327"/>
      <c r="O99" s="327"/>
      <c r="P99" s="327"/>
      <c r="Q99" s="327"/>
      <c r="R99" s="327"/>
      <c r="S99" s="327"/>
      <c r="T99" s="327"/>
      <c r="U99" s="327"/>
      <c r="V99" s="327"/>
      <c r="W99" s="327"/>
      <c r="X99" s="327"/>
      <c r="Y99" s="327"/>
      <c r="Z99" s="327"/>
      <c r="AA99" s="327"/>
      <c r="AB99" s="327"/>
      <c r="AC99" s="327"/>
      <c r="AD99" s="327"/>
    </row>
    <row r="100" spans="1:30" ht="15" customHeight="1">
      <c r="A100" s="294"/>
      <c r="B100" s="295"/>
      <c r="C100" s="303" t="s">
        <v>881</v>
      </c>
      <c r="D100" s="297" t="s">
        <v>988</v>
      </c>
      <c r="E100" s="321" t="s">
        <v>989</v>
      </c>
      <c r="F100" s="321" t="s">
        <v>990</v>
      </c>
      <c r="G100" s="320" t="s">
        <v>958</v>
      </c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  <c r="AB100" s="301"/>
      <c r="AC100" s="301"/>
      <c r="AD100" s="301"/>
    </row>
    <row r="101" spans="1:30" s="287" customFormat="1" ht="15" customHeight="1">
      <c r="B101" s="316"/>
      <c r="C101" s="303" t="s">
        <v>881</v>
      </c>
      <c r="D101" s="297" t="s">
        <v>988</v>
      </c>
      <c r="E101" s="321" t="s">
        <v>991</v>
      </c>
      <c r="F101" s="297" t="s">
        <v>886</v>
      </c>
      <c r="G101" s="320" t="s">
        <v>958</v>
      </c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1"/>
      <c r="AC101" s="301"/>
      <c r="AD101" s="301"/>
    </row>
    <row r="102" spans="1:30" ht="15" customHeight="1">
      <c r="A102" s="302"/>
      <c r="B102" s="316"/>
      <c r="C102" s="303" t="s">
        <v>881</v>
      </c>
      <c r="D102" s="297" t="s">
        <v>988</v>
      </c>
      <c r="E102" s="321" t="s">
        <v>992</v>
      </c>
      <c r="F102" s="321" t="s">
        <v>990</v>
      </c>
      <c r="G102" s="305" t="str">
        <f>$G$2</f>
        <v>USD млн</v>
      </c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  <c r="AD102" s="301"/>
    </row>
    <row r="103" spans="1:30" ht="15" customHeight="1">
      <c r="A103" s="302"/>
      <c r="B103" s="316"/>
      <c r="C103" s="303"/>
      <c r="D103" s="297"/>
      <c r="E103" s="297"/>
      <c r="F103" s="297"/>
      <c r="G103" s="320"/>
      <c r="H103" s="374"/>
      <c r="I103" s="374"/>
      <c r="J103" s="374"/>
      <c r="K103" s="374"/>
      <c r="L103" s="37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  <c r="AA103" s="374"/>
      <c r="AB103" s="374"/>
      <c r="AC103" s="374"/>
      <c r="AD103" s="374"/>
    </row>
    <row r="104" spans="1:30" ht="15" customHeight="1">
      <c r="A104" s="302"/>
      <c r="B104" s="316"/>
      <c r="C104" s="303" t="s">
        <v>881</v>
      </c>
      <c r="D104" s="297" t="s">
        <v>988</v>
      </c>
      <c r="E104" s="375" t="s">
        <v>993</v>
      </c>
      <c r="F104" s="321" t="s">
        <v>990</v>
      </c>
      <c r="G104" s="305" t="str">
        <f>$G$2</f>
        <v>USD млн</v>
      </c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</row>
    <row r="105" spans="1:30" ht="15" customHeight="1">
      <c r="A105" s="302"/>
      <c r="B105" s="316"/>
      <c r="C105" s="303" t="s">
        <v>881</v>
      </c>
      <c r="D105" s="297" t="s">
        <v>988</v>
      </c>
      <c r="E105" s="297" t="s">
        <v>994</v>
      </c>
      <c r="F105" s="297" t="s">
        <v>883</v>
      </c>
      <c r="G105" s="320" t="s">
        <v>3</v>
      </c>
      <c r="H105" s="306">
        <f t="shared" ref="H105:AD105" si="47">IFERROR(H104/H2,"")</f>
        <v>0</v>
      </c>
      <c r="I105" s="306">
        <f t="shared" si="47"/>
        <v>0</v>
      </c>
      <c r="J105" s="306">
        <f t="shared" si="47"/>
        <v>0</v>
      </c>
      <c r="K105" s="306">
        <f t="shared" si="47"/>
        <v>0</v>
      </c>
      <c r="L105" s="306">
        <f t="shared" si="47"/>
        <v>0</v>
      </c>
      <c r="M105" s="306">
        <f t="shared" si="47"/>
        <v>0</v>
      </c>
      <c r="N105" s="306">
        <f t="shared" si="47"/>
        <v>0</v>
      </c>
      <c r="O105" s="306">
        <f t="shared" si="47"/>
        <v>0</v>
      </c>
      <c r="P105" s="306">
        <f t="shared" si="47"/>
        <v>0</v>
      </c>
      <c r="Q105" s="306">
        <f t="shared" si="47"/>
        <v>0</v>
      </c>
      <c r="R105" s="306">
        <f t="shared" si="47"/>
        <v>0</v>
      </c>
      <c r="S105" s="306">
        <f t="shared" si="47"/>
        <v>0</v>
      </c>
      <c r="T105" s="306">
        <f t="shared" si="47"/>
        <v>0</v>
      </c>
      <c r="U105" s="306">
        <f t="shared" si="47"/>
        <v>0</v>
      </c>
      <c r="V105" s="306">
        <f t="shared" si="47"/>
        <v>0</v>
      </c>
      <c r="W105" s="306" t="str">
        <f t="shared" si="47"/>
        <v/>
      </c>
      <c r="X105" s="306" t="str">
        <f t="shared" si="47"/>
        <v/>
      </c>
      <c r="Y105" s="306" t="str">
        <f t="shared" si="47"/>
        <v/>
      </c>
      <c r="Z105" s="306" t="str">
        <f t="shared" si="47"/>
        <v/>
      </c>
      <c r="AA105" s="306" t="str">
        <f t="shared" si="47"/>
        <v/>
      </c>
      <c r="AB105" s="306" t="str">
        <f t="shared" si="47"/>
        <v/>
      </c>
      <c r="AC105" s="306" t="str">
        <f t="shared" si="47"/>
        <v/>
      </c>
      <c r="AD105" s="306" t="str">
        <f t="shared" si="47"/>
        <v/>
      </c>
    </row>
    <row r="106" spans="1:30" ht="15" customHeight="1">
      <c r="A106" s="302"/>
      <c r="B106" s="316"/>
      <c r="C106" s="303" t="s">
        <v>956</v>
      </c>
      <c r="D106" s="297" t="s">
        <v>988</v>
      </c>
      <c r="E106" s="297" t="s">
        <v>995</v>
      </c>
      <c r="F106" s="297" t="s">
        <v>883</v>
      </c>
      <c r="G106" s="320" t="s">
        <v>958</v>
      </c>
      <c r="H106" s="361" t="str">
        <f t="shared" ref="H106:AD106" si="48">IFERROR(H25/H104,"")</f>
        <v/>
      </c>
      <c r="I106" s="361" t="str">
        <f t="shared" si="48"/>
        <v/>
      </c>
      <c r="J106" s="361" t="str">
        <f t="shared" si="48"/>
        <v/>
      </c>
      <c r="K106" s="361" t="str">
        <f t="shared" si="48"/>
        <v/>
      </c>
      <c r="L106" s="361" t="str">
        <f t="shared" si="48"/>
        <v/>
      </c>
      <c r="M106" s="361" t="str">
        <f t="shared" si="48"/>
        <v/>
      </c>
      <c r="N106" s="361" t="str">
        <f t="shared" si="48"/>
        <v/>
      </c>
      <c r="O106" s="361" t="str">
        <f t="shared" si="48"/>
        <v/>
      </c>
      <c r="P106" s="361" t="str">
        <f t="shared" si="48"/>
        <v/>
      </c>
      <c r="Q106" s="361" t="str">
        <f t="shared" si="48"/>
        <v/>
      </c>
      <c r="R106" s="361" t="str">
        <f t="shared" si="48"/>
        <v/>
      </c>
      <c r="S106" s="361" t="str">
        <f t="shared" si="48"/>
        <v/>
      </c>
      <c r="T106" s="361" t="str">
        <f t="shared" si="48"/>
        <v/>
      </c>
      <c r="U106" s="361" t="str">
        <f t="shared" si="48"/>
        <v/>
      </c>
      <c r="V106" s="361" t="str">
        <f t="shared" si="48"/>
        <v/>
      </c>
      <c r="W106" s="361" t="str">
        <f t="shared" si="48"/>
        <v/>
      </c>
      <c r="X106" s="361" t="str">
        <f t="shared" si="48"/>
        <v/>
      </c>
      <c r="Y106" s="361" t="str">
        <f t="shared" si="48"/>
        <v/>
      </c>
      <c r="Z106" s="361" t="str">
        <f t="shared" si="48"/>
        <v/>
      </c>
      <c r="AA106" s="361" t="str">
        <f t="shared" si="48"/>
        <v/>
      </c>
      <c r="AB106" s="361" t="str">
        <f t="shared" si="48"/>
        <v/>
      </c>
      <c r="AC106" s="361" t="str">
        <f t="shared" si="48"/>
        <v/>
      </c>
      <c r="AD106" s="361" t="str">
        <f t="shared" si="48"/>
        <v/>
      </c>
    </row>
    <row r="107" spans="1:30" ht="15" customHeight="1">
      <c r="A107" s="302"/>
      <c r="B107" s="316"/>
      <c r="C107" s="303" t="s">
        <v>956</v>
      </c>
      <c r="D107" s="297" t="s">
        <v>988</v>
      </c>
      <c r="E107" s="297" t="s">
        <v>996</v>
      </c>
      <c r="F107" s="297" t="s">
        <v>883</v>
      </c>
      <c r="G107" s="320" t="s">
        <v>958</v>
      </c>
      <c r="H107" s="361" t="str">
        <f t="shared" ref="H107:AD107" si="49">IFERROR(H28/H104,"")</f>
        <v/>
      </c>
      <c r="I107" s="361" t="str">
        <f t="shared" si="49"/>
        <v/>
      </c>
      <c r="J107" s="361" t="str">
        <f t="shared" si="49"/>
        <v/>
      </c>
      <c r="K107" s="361" t="str">
        <f t="shared" si="49"/>
        <v/>
      </c>
      <c r="L107" s="361" t="str">
        <f t="shared" si="49"/>
        <v/>
      </c>
      <c r="M107" s="361" t="str">
        <f t="shared" si="49"/>
        <v/>
      </c>
      <c r="N107" s="361" t="str">
        <f t="shared" si="49"/>
        <v/>
      </c>
      <c r="O107" s="361" t="str">
        <f t="shared" si="49"/>
        <v/>
      </c>
      <c r="P107" s="361" t="str">
        <f t="shared" si="49"/>
        <v/>
      </c>
      <c r="Q107" s="361" t="str">
        <f t="shared" si="49"/>
        <v/>
      </c>
      <c r="R107" s="361" t="str">
        <f t="shared" si="49"/>
        <v/>
      </c>
      <c r="S107" s="361" t="str">
        <f t="shared" si="49"/>
        <v/>
      </c>
      <c r="T107" s="361" t="str">
        <f t="shared" si="49"/>
        <v/>
      </c>
      <c r="U107" s="361" t="str">
        <f t="shared" si="49"/>
        <v/>
      </c>
      <c r="V107" s="361" t="str">
        <f t="shared" si="49"/>
        <v/>
      </c>
      <c r="W107" s="361" t="str">
        <f t="shared" si="49"/>
        <v/>
      </c>
      <c r="X107" s="361" t="str">
        <f t="shared" si="49"/>
        <v/>
      </c>
      <c r="Y107" s="361" t="str">
        <f t="shared" si="49"/>
        <v/>
      </c>
      <c r="Z107" s="361" t="str">
        <f t="shared" si="49"/>
        <v/>
      </c>
      <c r="AA107" s="361" t="str">
        <f t="shared" si="49"/>
        <v/>
      </c>
      <c r="AB107" s="361" t="str">
        <f t="shared" si="49"/>
        <v/>
      </c>
      <c r="AC107" s="361" t="str">
        <f t="shared" si="49"/>
        <v/>
      </c>
      <c r="AD107" s="361" t="str">
        <f t="shared" si="49"/>
        <v/>
      </c>
    </row>
    <row r="108" spans="1:30" ht="15" customHeight="1">
      <c r="A108" s="294"/>
      <c r="B108" s="295"/>
      <c r="C108" s="303" t="s">
        <v>881</v>
      </c>
      <c r="D108" s="297" t="s">
        <v>988</v>
      </c>
      <c r="E108" s="297" t="s">
        <v>997</v>
      </c>
      <c r="F108" s="297" t="s">
        <v>883</v>
      </c>
      <c r="G108" s="320" t="s">
        <v>958</v>
      </c>
      <c r="H108" s="361" t="str">
        <f t="shared" ref="H108:AD108" si="50">IFERROR(H27/H104,"")</f>
        <v/>
      </c>
      <c r="I108" s="361" t="str">
        <f t="shared" si="50"/>
        <v/>
      </c>
      <c r="J108" s="361" t="str">
        <f t="shared" si="50"/>
        <v/>
      </c>
      <c r="K108" s="361" t="str">
        <f t="shared" si="50"/>
        <v/>
      </c>
      <c r="L108" s="361" t="str">
        <f t="shared" si="50"/>
        <v/>
      </c>
      <c r="M108" s="361" t="str">
        <f t="shared" si="50"/>
        <v/>
      </c>
      <c r="N108" s="361" t="str">
        <f t="shared" si="50"/>
        <v/>
      </c>
      <c r="O108" s="361" t="str">
        <f t="shared" si="50"/>
        <v/>
      </c>
      <c r="P108" s="361" t="str">
        <f t="shared" si="50"/>
        <v/>
      </c>
      <c r="Q108" s="361" t="str">
        <f t="shared" si="50"/>
        <v/>
      </c>
      <c r="R108" s="361" t="str">
        <f t="shared" si="50"/>
        <v/>
      </c>
      <c r="S108" s="361" t="str">
        <f t="shared" si="50"/>
        <v/>
      </c>
      <c r="T108" s="361" t="str">
        <f t="shared" si="50"/>
        <v/>
      </c>
      <c r="U108" s="361" t="str">
        <f t="shared" si="50"/>
        <v/>
      </c>
      <c r="V108" s="361" t="str">
        <f t="shared" si="50"/>
        <v/>
      </c>
      <c r="W108" s="361" t="str">
        <f t="shared" si="50"/>
        <v/>
      </c>
      <c r="X108" s="361" t="str">
        <f t="shared" si="50"/>
        <v/>
      </c>
      <c r="Y108" s="361" t="str">
        <f t="shared" si="50"/>
        <v/>
      </c>
      <c r="Z108" s="361" t="str">
        <f t="shared" si="50"/>
        <v/>
      </c>
      <c r="AA108" s="361" t="str">
        <f t="shared" si="50"/>
        <v/>
      </c>
      <c r="AB108" s="361" t="str">
        <f t="shared" si="50"/>
        <v/>
      </c>
      <c r="AC108" s="361" t="str">
        <f t="shared" si="50"/>
        <v/>
      </c>
      <c r="AD108" s="361" t="str">
        <f t="shared" si="50"/>
        <v/>
      </c>
    </row>
    <row r="109" spans="1:30" ht="15" customHeight="1">
      <c r="A109" s="334"/>
      <c r="B109" s="376"/>
      <c r="C109" s="350" t="s">
        <v>881</v>
      </c>
      <c r="D109" s="342" t="s">
        <v>988</v>
      </c>
      <c r="E109" s="342" t="s">
        <v>998</v>
      </c>
      <c r="F109" s="342" t="s">
        <v>883</v>
      </c>
      <c r="G109" s="377" t="s">
        <v>958</v>
      </c>
      <c r="H109" s="378">
        <f t="shared" ref="H109:AD109" si="51">IFERROR((H6-H23)/H73,"")</f>
        <v>10.026351946493648</v>
      </c>
      <c r="I109" s="378">
        <f t="shared" si="51"/>
        <v>2.8393412211687776</v>
      </c>
      <c r="J109" s="378">
        <f t="shared" si="51"/>
        <v>1.1824168207917809</v>
      </c>
      <c r="K109" s="378">
        <f t="shared" si="51"/>
        <v>6.4783291489709756</v>
      </c>
      <c r="L109" s="378">
        <f t="shared" si="51"/>
        <v>4.9211725725515398</v>
      </c>
      <c r="M109" s="378">
        <f t="shared" si="51"/>
        <v>2.8179087838755974</v>
      </c>
      <c r="N109" s="378">
        <f t="shared" si="51"/>
        <v>5.0169383192966475</v>
      </c>
      <c r="O109" s="378">
        <f t="shared" si="51"/>
        <v>6.5968013360995981</v>
      </c>
      <c r="P109" s="378">
        <f t="shared" si="51"/>
        <v>6.3820359248312153</v>
      </c>
      <c r="Q109" s="378">
        <f t="shared" si="51"/>
        <v>6.9511790311711872</v>
      </c>
      <c r="R109" s="378">
        <f t="shared" si="51"/>
        <v>9.0270291911920992</v>
      </c>
      <c r="S109" s="378">
        <f t="shared" si="51"/>
        <v>9.1334547090817022</v>
      </c>
      <c r="T109" s="378">
        <f t="shared" si="51"/>
        <v>14.867460258418607</v>
      </c>
      <c r="U109" s="378">
        <f t="shared" si="51"/>
        <v>15.243090441922201</v>
      </c>
      <c r="V109" s="378">
        <f t="shared" si="51"/>
        <v>15.62561126240921</v>
      </c>
      <c r="W109" s="378" t="str">
        <f t="shared" si="51"/>
        <v/>
      </c>
      <c r="X109" s="378" t="str">
        <f t="shared" si="51"/>
        <v/>
      </c>
      <c r="Y109" s="378" t="str">
        <f t="shared" si="51"/>
        <v/>
      </c>
      <c r="Z109" s="378" t="str">
        <f t="shared" si="51"/>
        <v/>
      </c>
      <c r="AA109" s="378" t="str">
        <f t="shared" si="51"/>
        <v/>
      </c>
      <c r="AB109" s="378" t="str">
        <f t="shared" si="51"/>
        <v/>
      </c>
      <c r="AC109" s="378" t="str">
        <f t="shared" si="51"/>
        <v/>
      </c>
      <c r="AD109" s="378" t="str">
        <f t="shared" si="51"/>
        <v/>
      </c>
    </row>
    <row r="110" spans="1:30" ht="15" customHeight="1">
      <c r="A110" s="334"/>
      <c r="B110" s="376"/>
      <c r="C110" s="350" t="s">
        <v>881</v>
      </c>
      <c r="D110" s="342" t="s">
        <v>988</v>
      </c>
      <c r="E110" s="342" t="s">
        <v>999</v>
      </c>
      <c r="F110" s="342" t="s">
        <v>883</v>
      </c>
      <c r="G110" s="377" t="s">
        <v>958</v>
      </c>
      <c r="H110" s="378">
        <f>H109</f>
        <v>10.026351946493648</v>
      </c>
      <c r="I110" s="378">
        <f t="shared" ref="I110:AD110" si="52">I109</f>
        <v>2.8393412211687776</v>
      </c>
      <c r="J110" s="378">
        <f t="shared" si="52"/>
        <v>1.1824168207917809</v>
      </c>
      <c r="K110" s="378">
        <f t="shared" si="52"/>
        <v>6.4783291489709756</v>
      </c>
      <c r="L110" s="378">
        <f t="shared" si="52"/>
        <v>4.9211725725515398</v>
      </c>
      <c r="M110" s="378">
        <f t="shared" si="52"/>
        <v>2.8179087838755974</v>
      </c>
      <c r="N110" s="378">
        <f t="shared" si="52"/>
        <v>5.0169383192966475</v>
      </c>
      <c r="O110" s="378">
        <f t="shared" si="52"/>
        <v>6.5968013360995981</v>
      </c>
      <c r="P110" s="378">
        <f t="shared" si="52"/>
        <v>6.3820359248312153</v>
      </c>
      <c r="Q110" s="378">
        <f t="shared" si="52"/>
        <v>6.9511790311711872</v>
      </c>
      <c r="R110" s="378">
        <f t="shared" si="52"/>
        <v>9.0270291911920992</v>
      </c>
      <c r="S110" s="378">
        <f t="shared" si="52"/>
        <v>9.1334547090817022</v>
      </c>
      <c r="T110" s="378">
        <f t="shared" si="52"/>
        <v>14.867460258418607</v>
      </c>
      <c r="U110" s="378">
        <f t="shared" si="52"/>
        <v>15.243090441922201</v>
      </c>
      <c r="V110" s="378">
        <f t="shared" si="52"/>
        <v>15.62561126240921</v>
      </c>
      <c r="W110" s="378" t="str">
        <f t="shared" si="52"/>
        <v/>
      </c>
      <c r="X110" s="378" t="str">
        <f t="shared" si="52"/>
        <v/>
      </c>
      <c r="Y110" s="378" t="str">
        <f t="shared" si="52"/>
        <v/>
      </c>
      <c r="Z110" s="378" t="str">
        <f t="shared" si="52"/>
        <v/>
      </c>
      <c r="AA110" s="378" t="str">
        <f t="shared" si="52"/>
        <v/>
      </c>
      <c r="AB110" s="378" t="str">
        <f t="shared" si="52"/>
        <v/>
      </c>
      <c r="AC110" s="378" t="str">
        <f t="shared" si="52"/>
        <v/>
      </c>
      <c r="AD110" s="378" t="str">
        <f t="shared" si="52"/>
        <v/>
      </c>
    </row>
    <row r="111" spans="1:30" ht="15" customHeight="1">
      <c r="A111" s="294"/>
      <c r="B111" s="295"/>
      <c r="C111" s="303"/>
      <c r="D111" s="297"/>
      <c r="E111" s="317"/>
      <c r="F111" s="317"/>
      <c r="G111" s="360"/>
      <c r="H111" s="379"/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  <c r="Z111" s="379"/>
      <c r="AA111" s="379"/>
      <c r="AB111" s="379"/>
      <c r="AC111" s="379"/>
      <c r="AD111" s="379"/>
    </row>
    <row r="112" spans="1:30" s="287" customFormat="1" ht="15" customHeight="1">
      <c r="B112" s="316"/>
      <c r="C112" s="303" t="s">
        <v>877</v>
      </c>
      <c r="D112" s="297" t="s">
        <v>1000</v>
      </c>
      <c r="E112" s="297" t="s">
        <v>1001</v>
      </c>
      <c r="F112" s="297" t="s">
        <v>883</v>
      </c>
      <c r="G112" s="320" t="s">
        <v>958</v>
      </c>
      <c r="H112" s="361">
        <f t="shared" ref="H112:AD112" si="53">IFERROR(MIN($H$75:$Y$75),"")</f>
        <v>3.0084375944394073</v>
      </c>
      <c r="I112" s="361">
        <f t="shared" si="53"/>
        <v>3.0084375944394073</v>
      </c>
      <c r="J112" s="361">
        <f t="shared" si="53"/>
        <v>3.0084375944394073</v>
      </c>
      <c r="K112" s="361">
        <f t="shared" si="53"/>
        <v>3.0084375944394073</v>
      </c>
      <c r="L112" s="361">
        <f t="shared" si="53"/>
        <v>3.0084375944394073</v>
      </c>
      <c r="M112" s="361">
        <f t="shared" si="53"/>
        <v>3.0084375944394073</v>
      </c>
      <c r="N112" s="361">
        <f t="shared" si="53"/>
        <v>3.0084375944394073</v>
      </c>
      <c r="O112" s="361">
        <f t="shared" si="53"/>
        <v>3.0084375944394073</v>
      </c>
      <c r="P112" s="361">
        <f t="shared" si="53"/>
        <v>3.0084375944394073</v>
      </c>
      <c r="Q112" s="361">
        <f t="shared" si="53"/>
        <v>3.0084375944394073</v>
      </c>
      <c r="R112" s="361">
        <f t="shared" si="53"/>
        <v>3.0084375944394073</v>
      </c>
      <c r="S112" s="361">
        <f t="shared" si="53"/>
        <v>3.0084375944394073</v>
      </c>
      <c r="T112" s="361">
        <f t="shared" si="53"/>
        <v>3.0084375944394073</v>
      </c>
      <c r="U112" s="361">
        <f t="shared" si="53"/>
        <v>3.0084375944394073</v>
      </c>
      <c r="V112" s="361">
        <f t="shared" si="53"/>
        <v>3.0084375944394073</v>
      </c>
      <c r="W112" s="361">
        <f t="shared" si="53"/>
        <v>3.0084375944394073</v>
      </c>
      <c r="X112" s="361">
        <f t="shared" si="53"/>
        <v>3.0084375944394073</v>
      </c>
      <c r="Y112" s="361">
        <f t="shared" si="53"/>
        <v>3.0084375944394073</v>
      </c>
      <c r="Z112" s="361">
        <f t="shared" si="53"/>
        <v>3.0084375944394073</v>
      </c>
      <c r="AA112" s="361">
        <f t="shared" si="53"/>
        <v>3.0084375944394073</v>
      </c>
      <c r="AB112" s="361">
        <f t="shared" si="53"/>
        <v>3.0084375944394073</v>
      </c>
      <c r="AC112" s="361">
        <f t="shared" si="53"/>
        <v>3.0084375944394073</v>
      </c>
      <c r="AD112" s="361">
        <f t="shared" si="53"/>
        <v>3.0084375944394073</v>
      </c>
    </row>
    <row r="113" spans="1:30" s="287" customFormat="1" ht="15" customHeight="1">
      <c r="B113" s="316"/>
      <c r="C113" s="303" t="s">
        <v>877</v>
      </c>
      <c r="D113" s="297" t="s">
        <v>1000</v>
      </c>
      <c r="E113" s="297" t="s">
        <v>1002</v>
      </c>
      <c r="F113" s="297" t="s">
        <v>883</v>
      </c>
      <c r="G113" s="320" t="s">
        <v>958</v>
      </c>
      <c r="H113" s="361">
        <f t="shared" ref="H113:AD113" si="54">IFERROR(MIN($H$74:$Y$74),"")</f>
        <v>3.0084375944394073</v>
      </c>
      <c r="I113" s="361">
        <f t="shared" si="54"/>
        <v>3.0084375944394073</v>
      </c>
      <c r="J113" s="361">
        <f t="shared" si="54"/>
        <v>3.0084375944394073</v>
      </c>
      <c r="K113" s="361">
        <f t="shared" si="54"/>
        <v>3.0084375944394073</v>
      </c>
      <c r="L113" s="361">
        <f t="shared" si="54"/>
        <v>3.0084375944394073</v>
      </c>
      <c r="M113" s="361">
        <f t="shared" si="54"/>
        <v>3.0084375944394073</v>
      </c>
      <c r="N113" s="361">
        <f t="shared" si="54"/>
        <v>3.0084375944394073</v>
      </c>
      <c r="O113" s="361">
        <f t="shared" si="54"/>
        <v>3.0084375944394073</v>
      </c>
      <c r="P113" s="361">
        <f t="shared" si="54"/>
        <v>3.0084375944394073</v>
      </c>
      <c r="Q113" s="361">
        <f t="shared" si="54"/>
        <v>3.0084375944394073</v>
      </c>
      <c r="R113" s="361">
        <f t="shared" si="54"/>
        <v>3.0084375944394073</v>
      </c>
      <c r="S113" s="361">
        <f t="shared" si="54"/>
        <v>3.0084375944394073</v>
      </c>
      <c r="T113" s="361">
        <f t="shared" si="54"/>
        <v>3.0084375944394073</v>
      </c>
      <c r="U113" s="361">
        <f t="shared" si="54"/>
        <v>3.0084375944394073</v>
      </c>
      <c r="V113" s="361">
        <f t="shared" si="54"/>
        <v>3.0084375944394073</v>
      </c>
      <c r="W113" s="361">
        <f t="shared" si="54"/>
        <v>3.0084375944394073</v>
      </c>
      <c r="X113" s="361">
        <f t="shared" si="54"/>
        <v>3.0084375944394073</v>
      </c>
      <c r="Y113" s="361">
        <f t="shared" si="54"/>
        <v>3.0084375944394073</v>
      </c>
      <c r="Z113" s="361">
        <f t="shared" si="54"/>
        <v>3.0084375944394073</v>
      </c>
      <c r="AA113" s="361">
        <f t="shared" si="54"/>
        <v>3.0084375944394073</v>
      </c>
      <c r="AB113" s="361">
        <f t="shared" si="54"/>
        <v>3.0084375944394073</v>
      </c>
      <c r="AC113" s="361">
        <f t="shared" si="54"/>
        <v>3.0084375944394073</v>
      </c>
      <c r="AD113" s="361">
        <f t="shared" si="54"/>
        <v>3.0084375944394073</v>
      </c>
    </row>
    <row r="114" spans="1:30" ht="15" customHeight="1">
      <c r="A114" s="302"/>
      <c r="B114" s="355"/>
      <c r="C114" s="303" t="s">
        <v>877</v>
      </c>
      <c r="D114" s="297" t="s">
        <v>1000</v>
      </c>
      <c r="E114" s="297" t="s">
        <v>1003</v>
      </c>
      <c r="F114" s="380" t="s">
        <v>886</v>
      </c>
      <c r="G114" s="320" t="s">
        <v>958</v>
      </c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  <c r="Y114" s="381"/>
      <c r="Z114" s="381"/>
      <c r="AA114" s="381"/>
      <c r="AB114" s="381"/>
      <c r="AC114" s="381"/>
      <c r="AD114" s="381"/>
    </row>
    <row r="115" spans="1:30" ht="15" customHeight="1">
      <c r="A115" s="302"/>
      <c r="B115" s="355"/>
      <c r="C115" s="303" t="s">
        <v>877</v>
      </c>
      <c r="D115" s="297" t="s">
        <v>1000</v>
      </c>
      <c r="E115" s="297" t="s">
        <v>1004</v>
      </c>
      <c r="F115" s="380" t="s">
        <v>886</v>
      </c>
      <c r="G115" s="320" t="s">
        <v>958</v>
      </c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  <c r="Y115" s="381"/>
      <c r="Z115" s="381"/>
      <c r="AA115" s="381"/>
      <c r="AB115" s="381"/>
      <c r="AC115" s="381"/>
      <c r="AD115" s="381"/>
    </row>
    <row r="116" spans="1:30" ht="15" customHeight="1">
      <c r="A116" s="302"/>
      <c r="B116" s="355"/>
      <c r="C116" s="303" t="s">
        <v>877</v>
      </c>
      <c r="D116" s="297" t="s">
        <v>1000</v>
      </c>
      <c r="E116" s="297" t="s">
        <v>1005</v>
      </c>
      <c r="F116" s="380" t="s">
        <v>886</v>
      </c>
      <c r="G116" s="320" t="s">
        <v>958</v>
      </c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  <c r="Y116" s="381"/>
      <c r="Z116" s="381"/>
      <c r="AA116" s="381"/>
      <c r="AB116" s="381"/>
      <c r="AC116" s="381"/>
      <c r="AD116" s="381"/>
    </row>
    <row r="117" spans="1:30" ht="15" customHeight="1">
      <c r="A117" s="302"/>
      <c r="B117" s="355"/>
      <c r="C117" s="303" t="s">
        <v>877</v>
      </c>
      <c r="D117" s="297" t="s">
        <v>1000</v>
      </c>
      <c r="E117" s="297" t="s">
        <v>1006</v>
      </c>
      <c r="F117" s="380" t="s">
        <v>886</v>
      </c>
      <c r="G117" s="320" t="s">
        <v>958</v>
      </c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  <c r="Y117" s="381"/>
      <c r="Z117" s="381"/>
      <c r="AA117" s="381"/>
      <c r="AB117" s="381"/>
      <c r="AC117" s="381"/>
      <c r="AD117" s="381"/>
    </row>
    <row r="118" spans="1:30" ht="15" customHeight="1">
      <c r="A118" s="302"/>
      <c r="B118" s="355"/>
      <c r="C118" s="303" t="s">
        <v>877</v>
      </c>
      <c r="D118" s="297" t="s">
        <v>1000</v>
      </c>
      <c r="E118" s="297" t="s">
        <v>1007</v>
      </c>
      <c r="F118" s="380" t="s">
        <v>886</v>
      </c>
      <c r="G118" s="320" t="s">
        <v>958</v>
      </c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  <c r="Y118" s="381"/>
      <c r="Z118" s="381"/>
      <c r="AA118" s="381"/>
      <c r="AB118" s="381"/>
      <c r="AC118" s="381"/>
      <c r="AD118" s="381"/>
    </row>
    <row r="119" spans="1:30" ht="15" customHeight="1">
      <c r="A119" s="302"/>
      <c r="B119" s="355"/>
      <c r="C119" s="303" t="s">
        <v>877</v>
      </c>
      <c r="D119" s="297" t="s">
        <v>1000</v>
      </c>
      <c r="E119" s="297" t="s">
        <v>1008</v>
      </c>
      <c r="F119" s="380" t="s">
        <v>886</v>
      </c>
      <c r="G119" s="320" t="s">
        <v>958</v>
      </c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  <c r="AA119" s="381"/>
      <c r="AB119" s="381"/>
      <c r="AC119" s="381"/>
      <c r="AD119" s="381"/>
    </row>
    <row r="120" spans="1:30" s="315" customFormat="1" ht="15" customHeight="1">
      <c r="A120" s="382"/>
      <c r="B120" s="383"/>
      <c r="C120" s="384" t="s">
        <v>877</v>
      </c>
      <c r="D120" s="297" t="s">
        <v>1000</v>
      </c>
      <c r="E120" s="380" t="s">
        <v>1009</v>
      </c>
      <c r="F120" s="380" t="s">
        <v>886</v>
      </c>
      <c r="G120" s="320" t="s">
        <v>958</v>
      </c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  <c r="Y120" s="381"/>
      <c r="Z120" s="381"/>
      <c r="AA120" s="381"/>
      <c r="AB120" s="381"/>
      <c r="AC120" s="381"/>
      <c r="AD120" s="381"/>
    </row>
    <row r="121" spans="1:30" s="315" customFormat="1" ht="15" customHeight="1">
      <c r="A121" s="382"/>
      <c r="B121" s="383"/>
      <c r="C121" s="385" t="s">
        <v>881</v>
      </c>
      <c r="D121" s="310" t="s">
        <v>878</v>
      </c>
      <c r="E121" s="380" t="s">
        <v>1010</v>
      </c>
      <c r="F121" s="380" t="s">
        <v>886</v>
      </c>
      <c r="G121" s="377" t="s">
        <v>958</v>
      </c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  <c r="Y121" s="381"/>
      <c r="Z121" s="381"/>
      <c r="AA121" s="381"/>
      <c r="AB121" s="381"/>
      <c r="AC121" s="381"/>
      <c r="AD121" s="381"/>
    </row>
    <row r="122" spans="1:30" ht="15" customHeight="1">
      <c r="A122" s="302"/>
      <c r="B122" s="316"/>
      <c r="C122" s="303" t="s">
        <v>877</v>
      </c>
      <c r="D122" s="297" t="s">
        <v>1000</v>
      </c>
      <c r="E122" s="297" t="s">
        <v>1011</v>
      </c>
      <c r="F122" s="297" t="s">
        <v>886</v>
      </c>
      <c r="G122" s="305" t="str">
        <f>$G$2</f>
        <v>USD млн</v>
      </c>
      <c r="H122" s="386"/>
      <c r="I122" s="386"/>
      <c r="J122" s="386"/>
      <c r="K122" s="386"/>
      <c r="L122" s="386"/>
      <c r="M122" s="386"/>
      <c r="N122" s="386"/>
      <c r="O122" s="386"/>
      <c r="P122" s="386"/>
      <c r="Q122" s="386"/>
      <c r="R122" s="386"/>
      <c r="S122" s="386"/>
      <c r="T122" s="386"/>
      <c r="U122" s="386"/>
      <c r="V122" s="386"/>
      <c r="W122" s="386"/>
      <c r="X122" s="386"/>
      <c r="Y122" s="386"/>
      <c r="Z122" s="386"/>
      <c r="AA122" s="386"/>
      <c r="AB122" s="386"/>
      <c r="AC122" s="386"/>
      <c r="AD122" s="386"/>
    </row>
    <row r="123" spans="1:30" ht="15" customHeight="1">
      <c r="A123" s="302"/>
      <c r="B123" s="316"/>
      <c r="C123" s="303" t="s">
        <v>877</v>
      </c>
      <c r="D123" s="297" t="s">
        <v>1000</v>
      </c>
      <c r="E123" s="297" t="s">
        <v>1012</v>
      </c>
      <c r="F123" s="297" t="s">
        <v>886</v>
      </c>
      <c r="G123" s="320" t="s">
        <v>3</v>
      </c>
      <c r="H123" s="386"/>
      <c r="I123" s="386"/>
      <c r="J123" s="386"/>
      <c r="K123" s="386"/>
      <c r="L123" s="386"/>
      <c r="M123" s="386"/>
      <c r="N123" s="386"/>
      <c r="O123" s="386"/>
      <c r="P123" s="386"/>
      <c r="Q123" s="386"/>
      <c r="R123" s="386"/>
      <c r="S123" s="386"/>
      <c r="T123" s="386"/>
      <c r="U123" s="386"/>
      <c r="V123" s="386"/>
      <c r="W123" s="386"/>
      <c r="X123" s="386"/>
      <c r="Y123" s="386"/>
      <c r="Z123" s="386"/>
      <c r="AA123" s="386"/>
      <c r="AB123" s="386"/>
      <c r="AC123" s="386"/>
      <c r="AD123" s="386"/>
    </row>
    <row r="124" spans="1:30" ht="15" customHeight="1">
      <c r="A124" s="302"/>
      <c r="B124" s="316"/>
      <c r="C124" s="303" t="s">
        <v>877</v>
      </c>
      <c r="D124" s="297" t="s">
        <v>1000</v>
      </c>
      <c r="E124" s="297" t="s">
        <v>1013</v>
      </c>
      <c r="F124" s="297" t="s">
        <v>886</v>
      </c>
      <c r="G124" s="320" t="s">
        <v>958</v>
      </c>
      <c r="H124" s="386"/>
      <c r="I124" s="386"/>
      <c r="J124" s="386"/>
      <c r="K124" s="386"/>
      <c r="L124" s="386"/>
      <c r="M124" s="386"/>
      <c r="N124" s="386"/>
      <c r="O124" s="386"/>
      <c r="P124" s="386"/>
      <c r="Q124" s="386"/>
      <c r="R124" s="386"/>
      <c r="S124" s="386"/>
      <c r="T124" s="386"/>
      <c r="U124" s="386"/>
      <c r="V124" s="386"/>
      <c r="W124" s="386"/>
      <c r="X124" s="386"/>
      <c r="Y124" s="386"/>
      <c r="Z124" s="386"/>
      <c r="AA124" s="386"/>
      <c r="AB124" s="386"/>
      <c r="AC124" s="386"/>
      <c r="AD124" s="386"/>
    </row>
    <row r="125" spans="1:30" ht="15" customHeight="1">
      <c r="A125" s="302"/>
      <c r="B125" s="316"/>
      <c r="C125" s="303" t="s">
        <v>877</v>
      </c>
      <c r="D125" s="297" t="s">
        <v>1000</v>
      </c>
      <c r="E125" s="297" t="s">
        <v>1014</v>
      </c>
      <c r="F125" s="297" t="s">
        <v>886</v>
      </c>
      <c r="G125" s="320" t="s">
        <v>958</v>
      </c>
      <c r="H125" s="386"/>
      <c r="I125" s="386"/>
      <c r="J125" s="386"/>
      <c r="K125" s="386"/>
      <c r="L125" s="386"/>
      <c r="M125" s="386"/>
      <c r="N125" s="386"/>
      <c r="O125" s="386"/>
      <c r="P125" s="386"/>
      <c r="Q125" s="386"/>
      <c r="R125" s="386"/>
      <c r="S125" s="386"/>
      <c r="T125" s="386"/>
      <c r="U125" s="386"/>
      <c r="V125" s="386"/>
      <c r="W125" s="386"/>
      <c r="X125" s="386"/>
      <c r="Y125" s="386"/>
      <c r="Z125" s="386"/>
      <c r="AA125" s="386"/>
      <c r="AB125" s="386"/>
      <c r="AC125" s="386"/>
      <c r="AD125" s="386"/>
    </row>
    <row r="126" spans="1:30" ht="15" customHeight="1">
      <c r="A126" s="302"/>
      <c r="B126" s="316"/>
      <c r="C126" s="303" t="s">
        <v>877</v>
      </c>
      <c r="D126" s="297" t="s">
        <v>1000</v>
      </c>
      <c r="E126" s="297" t="s">
        <v>1015</v>
      </c>
      <c r="F126" s="297" t="s">
        <v>886</v>
      </c>
      <c r="G126" s="305" t="str">
        <f>$G$2</f>
        <v>USD млн</v>
      </c>
      <c r="H126" s="386"/>
      <c r="I126" s="386"/>
      <c r="J126" s="386"/>
      <c r="K126" s="386"/>
      <c r="L126" s="386"/>
      <c r="M126" s="386"/>
      <c r="N126" s="386"/>
      <c r="O126" s="386"/>
      <c r="P126" s="386"/>
      <c r="Q126" s="386"/>
      <c r="R126" s="386"/>
      <c r="S126" s="386"/>
      <c r="T126" s="386"/>
      <c r="U126" s="386"/>
      <c r="V126" s="386"/>
      <c r="W126" s="386"/>
      <c r="X126" s="386"/>
      <c r="Y126" s="386"/>
      <c r="Z126" s="386"/>
      <c r="AA126" s="386"/>
      <c r="AB126" s="386"/>
      <c r="AC126" s="386"/>
      <c r="AD126" s="386"/>
    </row>
    <row r="127" spans="1:30" ht="15" customHeight="1">
      <c r="A127" s="302"/>
      <c r="B127" s="316"/>
      <c r="C127" s="303" t="s">
        <v>881</v>
      </c>
      <c r="D127" s="297" t="s">
        <v>1000</v>
      </c>
      <c r="E127" s="297" t="s">
        <v>1016</v>
      </c>
      <c r="F127" s="297" t="s">
        <v>886</v>
      </c>
      <c r="G127" s="305" t="str">
        <f>$G$2</f>
        <v>USD млн</v>
      </c>
      <c r="H127" s="387"/>
      <c r="I127" s="387"/>
      <c r="J127" s="387"/>
      <c r="K127" s="387"/>
      <c r="L127" s="387"/>
      <c r="M127" s="387"/>
      <c r="N127" s="387"/>
      <c r="O127" s="387"/>
      <c r="P127" s="387"/>
      <c r="Q127" s="387"/>
      <c r="R127" s="387"/>
      <c r="S127" s="387"/>
      <c r="T127" s="387"/>
      <c r="U127" s="387"/>
      <c r="V127" s="387"/>
      <c r="W127" s="387"/>
      <c r="X127" s="387"/>
      <c r="Y127" s="387"/>
      <c r="Z127" s="387"/>
      <c r="AA127" s="387"/>
      <c r="AB127" s="387"/>
      <c r="AC127" s="387"/>
      <c r="AD127" s="387"/>
    </row>
    <row r="128" spans="1:30" ht="15" customHeight="1">
      <c r="A128" s="302"/>
      <c r="B128" s="316"/>
      <c r="C128" s="303" t="s">
        <v>877</v>
      </c>
      <c r="D128" s="297" t="s">
        <v>1017</v>
      </c>
      <c r="E128" s="297" t="s">
        <v>1018</v>
      </c>
      <c r="F128" s="297" t="s">
        <v>879</v>
      </c>
      <c r="G128" s="305" t="str">
        <f>$G$2</f>
        <v>USD млн</v>
      </c>
      <c r="H128" s="386"/>
      <c r="I128" s="386"/>
      <c r="J128" s="386"/>
      <c r="K128" s="386"/>
      <c r="L128" s="386"/>
      <c r="M128" s="386"/>
      <c r="N128" s="386"/>
      <c r="O128" s="386"/>
      <c r="P128" s="386"/>
      <c r="Q128" s="386"/>
      <c r="R128" s="386"/>
      <c r="S128" s="386"/>
      <c r="T128" s="386"/>
      <c r="U128" s="386"/>
      <c r="V128" s="386"/>
      <c r="W128" s="386"/>
      <c r="X128" s="386"/>
      <c r="Y128" s="386"/>
      <c r="Z128" s="386"/>
      <c r="AA128" s="386"/>
      <c r="AB128" s="386"/>
      <c r="AC128" s="386"/>
      <c r="AD128" s="386"/>
    </row>
    <row r="129" spans="1:30" ht="15" customHeight="1">
      <c r="A129" s="302"/>
      <c r="B129" s="316"/>
      <c r="C129" s="303" t="s">
        <v>877</v>
      </c>
      <c r="D129" s="297" t="s">
        <v>1017</v>
      </c>
      <c r="E129" s="297" t="s">
        <v>1019</v>
      </c>
      <c r="F129" s="297" t="s">
        <v>915</v>
      </c>
      <c r="G129" s="305" t="str">
        <f>$G$2</f>
        <v>USD млн</v>
      </c>
      <c r="H129" s="386"/>
      <c r="I129" s="386"/>
      <c r="J129" s="386"/>
      <c r="K129" s="386"/>
      <c r="L129" s="386"/>
      <c r="M129" s="386"/>
      <c r="N129" s="386"/>
      <c r="O129" s="386"/>
      <c r="P129" s="386"/>
      <c r="Q129" s="386"/>
      <c r="R129" s="386"/>
      <c r="S129" s="386"/>
      <c r="T129" s="386"/>
      <c r="U129" s="386"/>
      <c r="V129" s="386"/>
      <c r="W129" s="386"/>
      <c r="X129" s="386"/>
      <c r="Y129" s="386"/>
      <c r="Z129" s="386"/>
      <c r="AA129" s="386"/>
      <c r="AB129" s="386"/>
      <c r="AC129" s="386"/>
      <c r="AD129" s="386"/>
    </row>
    <row r="130" spans="1:30" ht="15" customHeight="1">
      <c r="A130" s="302"/>
      <c r="B130" s="316" t="s">
        <v>876</v>
      </c>
      <c r="C130" s="303" t="s">
        <v>877</v>
      </c>
      <c r="D130" s="297" t="s">
        <v>1017</v>
      </c>
      <c r="E130" s="297" t="s">
        <v>1020</v>
      </c>
      <c r="F130" s="297" t="s">
        <v>886</v>
      </c>
      <c r="G130" s="320" t="s">
        <v>3</v>
      </c>
      <c r="H130" s="386"/>
      <c r="I130" s="386"/>
      <c r="J130" s="386"/>
      <c r="K130" s="386"/>
      <c r="L130" s="386"/>
      <c r="M130" s="386"/>
      <c r="N130" s="386"/>
      <c r="O130" s="386"/>
      <c r="P130" s="386"/>
      <c r="Q130" s="386"/>
      <c r="R130" s="386"/>
      <c r="S130" s="386"/>
      <c r="T130" s="386"/>
      <c r="U130" s="386"/>
      <c r="V130" s="386"/>
      <c r="W130" s="386"/>
      <c r="X130" s="386"/>
      <c r="Y130" s="386"/>
      <c r="Z130" s="386"/>
      <c r="AA130" s="386"/>
      <c r="AB130" s="386"/>
      <c r="AC130" s="386"/>
      <c r="AD130" s="386"/>
    </row>
    <row r="131" spans="1:30" ht="15" customHeight="1">
      <c r="A131" s="302"/>
      <c r="B131" s="316" t="s">
        <v>876</v>
      </c>
      <c r="C131" s="303" t="s">
        <v>877</v>
      </c>
      <c r="D131" s="297" t="s">
        <v>1017</v>
      </c>
      <c r="E131" s="297" t="s">
        <v>1021</v>
      </c>
      <c r="F131" s="297" t="s">
        <v>886</v>
      </c>
      <c r="G131" s="320" t="s">
        <v>3</v>
      </c>
      <c r="H131" s="386"/>
      <c r="I131" s="386"/>
      <c r="J131" s="386"/>
      <c r="K131" s="386"/>
      <c r="L131" s="386"/>
      <c r="M131" s="386"/>
      <c r="N131" s="386"/>
      <c r="O131" s="386"/>
      <c r="P131" s="386"/>
      <c r="Q131" s="386"/>
      <c r="R131" s="386"/>
      <c r="S131" s="386"/>
      <c r="T131" s="386"/>
      <c r="U131" s="386"/>
      <c r="V131" s="386"/>
      <c r="W131" s="386"/>
      <c r="X131" s="386"/>
      <c r="Y131" s="386"/>
      <c r="Z131" s="386"/>
      <c r="AA131" s="386"/>
      <c r="AB131" s="386"/>
      <c r="AC131" s="386"/>
      <c r="AD131" s="386"/>
    </row>
    <row r="132" spans="1:30" ht="15" customHeight="1">
      <c r="A132" s="302"/>
      <c r="B132" s="355" t="s">
        <v>876</v>
      </c>
      <c r="C132" s="303" t="s">
        <v>877</v>
      </c>
      <c r="D132" s="297" t="s">
        <v>1017</v>
      </c>
      <c r="E132" s="297" t="s">
        <v>1022</v>
      </c>
      <c r="F132" s="388" t="s">
        <v>1023</v>
      </c>
      <c r="G132" s="320" t="s">
        <v>3</v>
      </c>
      <c r="H132" s="386"/>
      <c r="I132" s="386"/>
      <c r="J132" s="386"/>
      <c r="K132" s="386"/>
      <c r="L132" s="386"/>
      <c r="M132" s="386"/>
      <c r="N132" s="386"/>
      <c r="O132" s="386"/>
      <c r="P132" s="386"/>
      <c r="Q132" s="386"/>
      <c r="R132" s="386"/>
      <c r="S132" s="386"/>
      <c r="T132" s="386"/>
      <c r="U132" s="386"/>
      <c r="V132" s="386"/>
      <c r="W132" s="386"/>
      <c r="X132" s="386"/>
      <c r="Y132" s="386"/>
      <c r="Z132" s="386"/>
      <c r="AA132" s="386"/>
      <c r="AB132" s="386"/>
      <c r="AC132" s="386"/>
      <c r="AD132" s="386"/>
    </row>
    <row r="133" spans="1:30" ht="15" customHeight="1">
      <c r="A133" s="302"/>
      <c r="B133" s="355" t="s">
        <v>876</v>
      </c>
      <c r="C133" s="354" t="s">
        <v>877</v>
      </c>
      <c r="D133" s="297" t="s">
        <v>1017</v>
      </c>
      <c r="E133" s="297" t="s">
        <v>1024</v>
      </c>
      <c r="F133" s="388" t="s">
        <v>1025</v>
      </c>
      <c r="G133" s="320" t="s">
        <v>3</v>
      </c>
      <c r="H133" s="386"/>
      <c r="I133" s="386"/>
      <c r="J133" s="386"/>
      <c r="K133" s="386"/>
      <c r="L133" s="386"/>
      <c r="M133" s="386"/>
      <c r="N133" s="386"/>
      <c r="O133" s="386"/>
      <c r="P133" s="386"/>
      <c r="Q133" s="386"/>
      <c r="R133" s="386"/>
      <c r="S133" s="386"/>
      <c r="T133" s="386"/>
      <c r="U133" s="386"/>
      <c r="V133" s="386"/>
      <c r="W133" s="386"/>
      <c r="X133" s="386"/>
      <c r="Y133" s="386"/>
      <c r="Z133" s="386"/>
      <c r="AA133" s="386"/>
      <c r="AB133" s="386"/>
      <c r="AC133" s="386"/>
      <c r="AD133" s="386"/>
    </row>
    <row r="134" spans="1:30" ht="15" customHeight="1">
      <c r="A134" s="302"/>
      <c r="B134" s="355"/>
      <c r="C134" s="303" t="s">
        <v>877</v>
      </c>
      <c r="D134" s="297" t="s">
        <v>1017</v>
      </c>
      <c r="E134" s="297" t="s">
        <v>1026</v>
      </c>
      <c r="F134" s="389" t="s">
        <v>1027</v>
      </c>
      <c r="G134" s="320" t="s">
        <v>3</v>
      </c>
      <c r="H134" s="386"/>
      <c r="I134" s="386"/>
      <c r="J134" s="386"/>
      <c r="K134" s="386"/>
      <c r="L134" s="386"/>
      <c r="M134" s="386"/>
      <c r="N134" s="386"/>
      <c r="O134" s="386"/>
      <c r="P134" s="386"/>
      <c r="Q134" s="386"/>
      <c r="R134" s="386"/>
      <c r="S134" s="386"/>
      <c r="T134" s="386"/>
      <c r="U134" s="386"/>
      <c r="V134" s="386"/>
      <c r="W134" s="386"/>
      <c r="X134" s="386"/>
      <c r="Y134" s="386"/>
      <c r="Z134" s="386"/>
      <c r="AA134" s="386"/>
      <c r="AB134" s="386"/>
      <c r="AC134" s="386"/>
      <c r="AD134" s="386"/>
    </row>
    <row r="135" spans="1:30" ht="15" customHeight="1">
      <c r="A135" s="302"/>
      <c r="B135" s="355"/>
      <c r="C135" s="303" t="s">
        <v>877</v>
      </c>
      <c r="D135" s="297" t="s">
        <v>1017</v>
      </c>
      <c r="E135" s="297" t="s">
        <v>1028</v>
      </c>
      <c r="F135" s="389" t="s">
        <v>1029</v>
      </c>
      <c r="G135" s="320" t="s">
        <v>3</v>
      </c>
      <c r="H135" s="386"/>
      <c r="I135" s="386"/>
      <c r="J135" s="386"/>
      <c r="K135" s="386"/>
      <c r="L135" s="386"/>
      <c r="M135" s="386"/>
      <c r="N135" s="386"/>
      <c r="O135" s="386"/>
      <c r="P135" s="386"/>
      <c r="Q135" s="386"/>
      <c r="R135" s="386"/>
      <c r="S135" s="386"/>
      <c r="T135" s="386"/>
      <c r="U135" s="386"/>
      <c r="V135" s="386"/>
      <c r="W135" s="386"/>
      <c r="X135" s="386"/>
      <c r="Y135" s="386"/>
      <c r="Z135" s="386"/>
      <c r="AA135" s="386"/>
      <c r="AB135" s="386"/>
      <c r="AC135" s="386"/>
      <c r="AD135" s="386"/>
    </row>
    <row r="136" spans="1:30" ht="15" customHeight="1">
      <c r="A136" s="302"/>
      <c r="B136" s="316"/>
      <c r="C136" s="303" t="s">
        <v>877</v>
      </c>
      <c r="D136" s="297" t="s">
        <v>1000</v>
      </c>
      <c r="E136" s="297" t="s">
        <v>1030</v>
      </c>
      <c r="F136" s="380" t="s">
        <v>886</v>
      </c>
      <c r="G136" s="305" t="str">
        <f>$G$2</f>
        <v>USD млн</v>
      </c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</row>
    <row r="137" spans="1:30" ht="15" customHeight="1">
      <c r="A137" s="302"/>
      <c r="B137" s="316"/>
      <c r="C137" s="303" t="s">
        <v>877</v>
      </c>
      <c r="D137" s="297" t="s">
        <v>1000</v>
      </c>
      <c r="E137" s="297" t="s">
        <v>1031</v>
      </c>
      <c r="F137" s="380" t="s">
        <v>886</v>
      </c>
      <c r="G137" s="305" t="str">
        <f>$G$2</f>
        <v>USD млн</v>
      </c>
      <c r="H137" s="386"/>
      <c r="I137" s="386"/>
      <c r="J137" s="386"/>
      <c r="K137" s="386"/>
      <c r="L137" s="386"/>
      <c r="M137" s="386"/>
      <c r="N137" s="386"/>
      <c r="O137" s="386"/>
      <c r="P137" s="386"/>
      <c r="Q137" s="386"/>
      <c r="R137" s="386"/>
      <c r="S137" s="386"/>
      <c r="T137" s="386"/>
      <c r="U137" s="386"/>
      <c r="V137" s="386"/>
      <c r="W137" s="386"/>
      <c r="X137" s="386"/>
      <c r="Y137" s="386"/>
      <c r="Z137" s="386"/>
      <c r="AA137" s="386"/>
      <c r="AB137" s="386"/>
      <c r="AC137" s="386"/>
      <c r="AD137" s="386"/>
    </row>
    <row r="138" spans="1:30" ht="15" customHeight="1">
      <c r="A138" s="302"/>
      <c r="B138" s="316"/>
      <c r="C138" s="303" t="s">
        <v>877</v>
      </c>
      <c r="D138" s="297" t="s">
        <v>1000</v>
      </c>
      <c r="E138" s="297" t="s">
        <v>1032</v>
      </c>
      <c r="F138" s="380" t="s">
        <v>886</v>
      </c>
      <c r="G138" s="305" t="str">
        <f>$G$2</f>
        <v>USD млн</v>
      </c>
      <c r="H138" s="386"/>
      <c r="I138" s="386"/>
      <c r="J138" s="386"/>
      <c r="K138" s="386"/>
      <c r="L138" s="386"/>
      <c r="M138" s="386"/>
      <c r="N138" s="386"/>
      <c r="O138" s="386"/>
      <c r="P138" s="38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  <c r="AA138" s="386"/>
      <c r="AB138" s="386"/>
      <c r="AC138" s="386"/>
      <c r="AD138" s="386"/>
    </row>
    <row r="139" spans="1:30" ht="15" customHeight="1">
      <c r="A139" s="302"/>
      <c r="B139" s="316"/>
      <c r="C139" s="303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7"/>
      <c r="P139" s="297"/>
      <c r="Q139" s="297"/>
      <c r="R139" s="297"/>
      <c r="S139" s="297"/>
      <c r="T139" s="297"/>
      <c r="U139" s="297"/>
      <c r="V139" s="297"/>
      <c r="W139" s="297"/>
      <c r="X139" s="297"/>
      <c r="Y139" s="297"/>
      <c r="Z139" s="297"/>
      <c r="AA139" s="297"/>
      <c r="AB139" s="297"/>
      <c r="AC139" s="297"/>
      <c r="AD139" s="297"/>
    </row>
    <row r="140" spans="1:30" ht="15" customHeight="1">
      <c r="A140" s="302"/>
      <c r="B140" s="316"/>
      <c r="C140" s="303" t="s">
        <v>877</v>
      </c>
      <c r="D140" s="297" t="s">
        <v>1033</v>
      </c>
      <c r="E140" s="297" t="s">
        <v>1034</v>
      </c>
      <c r="F140" s="380" t="s">
        <v>886</v>
      </c>
      <c r="G140" s="305" t="str">
        <f>$G$2</f>
        <v>USD млн</v>
      </c>
      <c r="H140" s="386"/>
      <c r="I140" s="386"/>
      <c r="J140" s="386"/>
      <c r="K140" s="386"/>
      <c r="L140" s="386"/>
      <c r="M140" s="386"/>
      <c r="N140" s="386"/>
      <c r="O140" s="386"/>
      <c r="P140" s="386"/>
      <c r="Q140" s="386"/>
      <c r="R140" s="386"/>
      <c r="S140" s="386"/>
      <c r="T140" s="386"/>
      <c r="U140" s="386"/>
      <c r="V140" s="386"/>
      <c r="W140" s="386"/>
      <c r="X140" s="386"/>
      <c r="Y140" s="386"/>
      <c r="Z140" s="386"/>
      <c r="AA140" s="386"/>
      <c r="AB140" s="386"/>
      <c r="AC140" s="386"/>
      <c r="AD140" s="386"/>
    </row>
    <row r="141" spans="1:30" ht="15" customHeight="1">
      <c r="A141" s="302"/>
      <c r="B141" s="355"/>
      <c r="C141" s="303"/>
      <c r="D141" s="297"/>
      <c r="E141" s="297"/>
      <c r="F141" s="389"/>
      <c r="G141" s="320"/>
      <c r="H141" s="320"/>
      <c r="I141" s="320"/>
      <c r="J141" s="320"/>
      <c r="K141" s="320"/>
      <c r="L141" s="320"/>
      <c r="M141" s="320"/>
      <c r="N141" s="320"/>
      <c r="O141" s="320"/>
      <c r="P141" s="320"/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320"/>
      <c r="AB141" s="320"/>
      <c r="AC141" s="320"/>
      <c r="AD141" s="320"/>
    </row>
    <row r="142" spans="1:30" ht="15" customHeight="1">
      <c r="A142" s="302"/>
      <c r="B142" s="316"/>
      <c r="C142" s="303" t="s">
        <v>877</v>
      </c>
      <c r="D142" s="297" t="s">
        <v>904</v>
      </c>
      <c r="E142" s="297" t="s">
        <v>1035</v>
      </c>
      <c r="F142" s="297" t="s">
        <v>915</v>
      </c>
      <c r="G142" s="305" t="str">
        <f t="shared" ref="G142:G149" si="55">$G$2</f>
        <v>USD млн</v>
      </c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  <c r="T142" s="390"/>
      <c r="U142" s="390"/>
      <c r="V142" s="390"/>
      <c r="W142" s="390"/>
      <c r="X142" s="390"/>
      <c r="Y142" s="390"/>
      <c r="Z142" s="390"/>
      <c r="AA142" s="390"/>
      <c r="AB142" s="390"/>
      <c r="AC142" s="390"/>
      <c r="AD142" s="390"/>
    </row>
    <row r="143" spans="1:30" ht="15" customHeight="1">
      <c r="A143" s="302"/>
      <c r="B143" s="316"/>
      <c r="C143" s="303" t="s">
        <v>877</v>
      </c>
      <c r="D143" s="297" t="s">
        <v>904</v>
      </c>
      <c r="E143" s="297" t="s">
        <v>1036</v>
      </c>
      <c r="F143" s="297" t="s">
        <v>915</v>
      </c>
      <c r="G143" s="305" t="str">
        <f t="shared" si="55"/>
        <v>USD млн</v>
      </c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  <c r="T143" s="390"/>
      <c r="U143" s="390"/>
      <c r="V143" s="390"/>
      <c r="W143" s="390"/>
      <c r="X143" s="390"/>
      <c r="Y143" s="390"/>
      <c r="Z143" s="390"/>
      <c r="AA143" s="390"/>
      <c r="AB143" s="390"/>
      <c r="AC143" s="390"/>
      <c r="AD143" s="390"/>
    </row>
    <row r="144" spans="1:30" ht="15" customHeight="1">
      <c r="A144" s="302"/>
      <c r="B144" s="316"/>
      <c r="C144" s="303" t="s">
        <v>877</v>
      </c>
      <c r="D144" s="297" t="s">
        <v>904</v>
      </c>
      <c r="E144" s="297" t="s">
        <v>1037</v>
      </c>
      <c r="F144" s="297" t="s">
        <v>915</v>
      </c>
      <c r="G144" s="305" t="str">
        <f t="shared" si="55"/>
        <v>USD млн</v>
      </c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  <c r="T144" s="390"/>
      <c r="U144" s="390"/>
      <c r="V144" s="390"/>
      <c r="W144" s="390"/>
      <c r="X144" s="390"/>
      <c r="Y144" s="390"/>
      <c r="Z144" s="390"/>
      <c r="AA144" s="390"/>
      <c r="AB144" s="390"/>
      <c r="AC144" s="390"/>
      <c r="AD144" s="390"/>
    </row>
    <row r="145" spans="1:30" ht="15" customHeight="1">
      <c r="A145" s="302"/>
      <c r="B145" s="316"/>
      <c r="C145" s="303" t="s">
        <v>877</v>
      </c>
      <c r="D145" s="297" t="s">
        <v>904</v>
      </c>
      <c r="E145" s="297" t="s">
        <v>1038</v>
      </c>
      <c r="F145" s="333" t="s">
        <v>911</v>
      </c>
      <c r="G145" s="305" t="str">
        <f t="shared" si="55"/>
        <v>USD млн</v>
      </c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  <c r="T145" s="390"/>
      <c r="U145" s="390"/>
      <c r="V145" s="390"/>
      <c r="W145" s="390"/>
      <c r="X145" s="390"/>
      <c r="Y145" s="390"/>
      <c r="Z145" s="390"/>
      <c r="AA145" s="390"/>
      <c r="AB145" s="390"/>
      <c r="AC145" s="390"/>
      <c r="AD145" s="390"/>
    </row>
    <row r="146" spans="1:30" ht="15" customHeight="1">
      <c r="A146" s="302"/>
      <c r="B146" s="316"/>
      <c r="C146" s="303" t="s">
        <v>877</v>
      </c>
      <c r="D146" s="297" t="s">
        <v>904</v>
      </c>
      <c r="E146" s="297" t="s">
        <v>1039</v>
      </c>
      <c r="F146" s="333" t="s">
        <v>911</v>
      </c>
      <c r="G146" s="305" t="str">
        <f t="shared" si="55"/>
        <v>USD млн</v>
      </c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  <c r="T146" s="390"/>
      <c r="U146" s="390"/>
      <c r="V146" s="390"/>
      <c r="W146" s="390"/>
      <c r="X146" s="390"/>
      <c r="Y146" s="390"/>
      <c r="Z146" s="390"/>
      <c r="AA146" s="390"/>
      <c r="AB146" s="390"/>
      <c r="AC146" s="390"/>
      <c r="AD146" s="390"/>
    </row>
    <row r="147" spans="1:30" ht="15" customHeight="1">
      <c r="A147" s="302"/>
      <c r="B147" s="316"/>
      <c r="C147" s="303" t="s">
        <v>877</v>
      </c>
      <c r="D147" s="297" t="s">
        <v>878</v>
      </c>
      <c r="E147" s="297" t="s">
        <v>1040</v>
      </c>
      <c r="F147" s="297" t="s">
        <v>883</v>
      </c>
      <c r="G147" s="305" t="str">
        <f t="shared" si="55"/>
        <v>USD млн</v>
      </c>
      <c r="H147" s="361" t="str">
        <f>IFERROR(-(H43-#REF!),"")</f>
        <v/>
      </c>
      <c r="I147" s="361">
        <f t="shared" ref="I147:AD147" si="56">IFERROR(-(I43-H43),"")</f>
        <v>0</v>
      </c>
      <c r="J147" s="361">
        <f t="shared" si="56"/>
        <v>0</v>
      </c>
      <c r="K147" s="361">
        <f t="shared" si="56"/>
        <v>0</v>
      </c>
      <c r="L147" s="361">
        <f t="shared" si="56"/>
        <v>0</v>
      </c>
      <c r="M147" s="361">
        <f t="shared" si="56"/>
        <v>0</v>
      </c>
      <c r="N147" s="361">
        <f t="shared" si="56"/>
        <v>0</v>
      </c>
      <c r="O147" s="361">
        <f t="shared" si="56"/>
        <v>0</v>
      </c>
      <c r="P147" s="361">
        <f t="shared" si="56"/>
        <v>0</v>
      </c>
      <c r="Q147" s="361">
        <f t="shared" si="56"/>
        <v>0</v>
      </c>
      <c r="R147" s="361">
        <f t="shared" si="56"/>
        <v>0</v>
      </c>
      <c r="S147" s="361">
        <f t="shared" si="56"/>
        <v>0</v>
      </c>
      <c r="T147" s="361">
        <f t="shared" si="56"/>
        <v>0</v>
      </c>
      <c r="U147" s="361">
        <f t="shared" si="56"/>
        <v>0</v>
      </c>
      <c r="V147" s="361">
        <f t="shared" si="56"/>
        <v>0</v>
      </c>
      <c r="W147" s="361">
        <f t="shared" si="56"/>
        <v>0</v>
      </c>
      <c r="X147" s="361">
        <f t="shared" si="56"/>
        <v>0</v>
      </c>
      <c r="Y147" s="361">
        <f t="shared" si="56"/>
        <v>0</v>
      </c>
      <c r="Z147" s="361">
        <f t="shared" si="56"/>
        <v>0</v>
      </c>
      <c r="AA147" s="361">
        <f t="shared" si="56"/>
        <v>0</v>
      </c>
      <c r="AB147" s="361">
        <f t="shared" si="56"/>
        <v>0</v>
      </c>
      <c r="AC147" s="361">
        <f t="shared" si="56"/>
        <v>0</v>
      </c>
      <c r="AD147" s="361">
        <f t="shared" si="56"/>
        <v>0</v>
      </c>
    </row>
    <row r="148" spans="1:30" ht="15" customHeight="1">
      <c r="A148" s="302"/>
      <c r="B148" s="316"/>
      <c r="C148" s="303" t="s">
        <v>877</v>
      </c>
      <c r="D148" s="297" t="s">
        <v>878</v>
      </c>
      <c r="E148" s="297" t="s">
        <v>1041</v>
      </c>
      <c r="F148" s="297" t="s">
        <v>883</v>
      </c>
      <c r="G148" s="305" t="str">
        <f t="shared" si="55"/>
        <v>USD млн</v>
      </c>
      <c r="H148" s="361">
        <f t="shared" ref="H148:AD148" si="57">IFERROR(H42-H34,"")</f>
        <v>0</v>
      </c>
      <c r="I148" s="361">
        <f t="shared" si="57"/>
        <v>0</v>
      </c>
      <c r="J148" s="361">
        <f t="shared" si="57"/>
        <v>0</v>
      </c>
      <c r="K148" s="361">
        <f t="shared" si="57"/>
        <v>0</v>
      </c>
      <c r="L148" s="361">
        <f t="shared" si="57"/>
        <v>0</v>
      </c>
      <c r="M148" s="361">
        <f t="shared" si="57"/>
        <v>0</v>
      </c>
      <c r="N148" s="361">
        <f t="shared" si="57"/>
        <v>0</v>
      </c>
      <c r="O148" s="361">
        <f t="shared" si="57"/>
        <v>0</v>
      </c>
      <c r="P148" s="361">
        <f t="shared" si="57"/>
        <v>0</v>
      </c>
      <c r="Q148" s="361">
        <f t="shared" si="57"/>
        <v>0</v>
      </c>
      <c r="R148" s="361">
        <f t="shared" si="57"/>
        <v>0</v>
      </c>
      <c r="S148" s="361">
        <f t="shared" si="57"/>
        <v>0</v>
      </c>
      <c r="T148" s="361">
        <f t="shared" si="57"/>
        <v>0</v>
      </c>
      <c r="U148" s="361">
        <f t="shared" si="57"/>
        <v>0</v>
      </c>
      <c r="V148" s="361">
        <f t="shared" si="57"/>
        <v>0</v>
      </c>
      <c r="W148" s="361">
        <f t="shared" si="57"/>
        <v>0</v>
      </c>
      <c r="X148" s="361">
        <f t="shared" si="57"/>
        <v>0</v>
      </c>
      <c r="Y148" s="361">
        <f t="shared" si="57"/>
        <v>0</v>
      </c>
      <c r="Z148" s="361">
        <f t="shared" si="57"/>
        <v>0</v>
      </c>
      <c r="AA148" s="361">
        <f t="shared" si="57"/>
        <v>0</v>
      </c>
      <c r="AB148" s="361">
        <f t="shared" si="57"/>
        <v>0</v>
      </c>
      <c r="AC148" s="361">
        <f t="shared" si="57"/>
        <v>0</v>
      </c>
      <c r="AD148" s="361">
        <f t="shared" si="57"/>
        <v>0</v>
      </c>
    </row>
    <row r="149" spans="1:30" ht="15" customHeight="1">
      <c r="A149" s="302"/>
      <c r="B149" s="316"/>
      <c r="C149" s="303" t="s">
        <v>877</v>
      </c>
      <c r="D149" s="297" t="s">
        <v>878</v>
      </c>
      <c r="E149" s="297" t="s">
        <v>1042</v>
      </c>
      <c r="F149" s="297" t="s">
        <v>883</v>
      </c>
      <c r="G149" s="305" t="str">
        <f t="shared" si="55"/>
        <v>USD млн</v>
      </c>
      <c r="H149" s="361">
        <f t="shared" ref="H149:AD149" si="58">IFERROR(H67-H59,"")</f>
        <v>0</v>
      </c>
      <c r="I149" s="361">
        <f t="shared" si="58"/>
        <v>0</v>
      </c>
      <c r="J149" s="361">
        <f t="shared" si="58"/>
        <v>0</v>
      </c>
      <c r="K149" s="361">
        <f t="shared" si="58"/>
        <v>0</v>
      </c>
      <c r="L149" s="361">
        <f t="shared" si="58"/>
        <v>0</v>
      </c>
      <c r="M149" s="361">
        <f t="shared" si="58"/>
        <v>0</v>
      </c>
      <c r="N149" s="361">
        <f t="shared" si="58"/>
        <v>0</v>
      </c>
      <c r="O149" s="361">
        <f t="shared" si="58"/>
        <v>0</v>
      </c>
      <c r="P149" s="361">
        <f t="shared" si="58"/>
        <v>0</v>
      </c>
      <c r="Q149" s="361">
        <f t="shared" si="58"/>
        <v>0</v>
      </c>
      <c r="R149" s="361">
        <f t="shared" si="58"/>
        <v>0</v>
      </c>
      <c r="S149" s="361">
        <f t="shared" si="58"/>
        <v>0</v>
      </c>
      <c r="T149" s="361">
        <f t="shared" si="58"/>
        <v>0</v>
      </c>
      <c r="U149" s="361">
        <f t="shared" si="58"/>
        <v>0</v>
      </c>
      <c r="V149" s="361">
        <f t="shared" si="58"/>
        <v>0</v>
      </c>
      <c r="W149" s="361">
        <f t="shared" si="58"/>
        <v>0</v>
      </c>
      <c r="X149" s="361">
        <f t="shared" si="58"/>
        <v>0</v>
      </c>
      <c r="Y149" s="361">
        <f t="shared" si="58"/>
        <v>0</v>
      </c>
      <c r="Z149" s="361">
        <f t="shared" si="58"/>
        <v>0</v>
      </c>
      <c r="AA149" s="361">
        <f t="shared" si="58"/>
        <v>0</v>
      </c>
      <c r="AB149" s="361">
        <f t="shared" si="58"/>
        <v>0</v>
      </c>
      <c r="AC149" s="361">
        <f t="shared" si="58"/>
        <v>0</v>
      </c>
      <c r="AD149" s="361">
        <f t="shared" si="58"/>
        <v>0</v>
      </c>
    </row>
    <row r="150" spans="1:30" ht="15" customHeight="1">
      <c r="A150" s="302"/>
      <c r="B150" s="316"/>
      <c r="C150" s="303"/>
      <c r="D150" s="297"/>
      <c r="E150" s="297"/>
      <c r="F150" s="297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  <c r="AA150" s="305"/>
      <c r="AB150" s="305"/>
      <c r="AC150" s="305"/>
      <c r="AD150" s="305"/>
    </row>
    <row r="151" spans="1:30" ht="15" customHeight="1">
      <c r="A151" s="302"/>
      <c r="B151" s="355"/>
      <c r="C151" s="303" t="s">
        <v>877</v>
      </c>
      <c r="D151" s="297" t="s">
        <v>1017</v>
      </c>
      <c r="E151" s="297" t="s">
        <v>1043</v>
      </c>
      <c r="F151" s="389" t="s">
        <v>1044</v>
      </c>
      <c r="G151" s="320" t="s">
        <v>3</v>
      </c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</row>
    <row r="152" spans="1:30" ht="15" customHeight="1">
      <c r="A152" s="302"/>
      <c r="B152" s="355"/>
      <c r="C152" s="303" t="s">
        <v>877</v>
      </c>
      <c r="D152" s="297" t="s">
        <v>1045</v>
      </c>
      <c r="E152" s="297" t="s">
        <v>1046</v>
      </c>
      <c r="F152" s="388" t="s">
        <v>1047</v>
      </c>
      <c r="G152" s="305" t="str">
        <f>$G$2</f>
        <v>USD млн</v>
      </c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</row>
    <row r="153" spans="1:30" ht="15" customHeight="1">
      <c r="A153" s="302"/>
      <c r="B153" s="355"/>
      <c r="C153" s="303" t="s">
        <v>877</v>
      </c>
      <c r="D153" s="297" t="s">
        <v>1045</v>
      </c>
      <c r="E153" s="297" t="s">
        <v>1048</v>
      </c>
      <c r="F153" s="388" t="s">
        <v>1049</v>
      </c>
      <c r="G153" s="305" t="str">
        <f>$G$2</f>
        <v>USD млн</v>
      </c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</row>
    <row r="154" spans="1:30" ht="15" customHeight="1">
      <c r="A154" s="302"/>
      <c r="B154" s="355"/>
      <c r="C154" s="303" t="s">
        <v>877</v>
      </c>
      <c r="D154" s="297" t="s">
        <v>1045</v>
      </c>
      <c r="E154" s="297" t="s">
        <v>1050</v>
      </c>
      <c r="F154" s="388" t="s">
        <v>1051</v>
      </c>
      <c r="G154" s="305" t="str">
        <f>$G$2</f>
        <v>USD млн</v>
      </c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  <c r="AD154" s="301"/>
    </row>
    <row r="155" spans="1:30" ht="15" customHeight="1">
      <c r="A155" s="302"/>
      <c r="B155" s="355"/>
      <c r="C155" s="303" t="s">
        <v>877</v>
      </c>
      <c r="D155" s="297" t="s">
        <v>1045</v>
      </c>
      <c r="E155" s="297" t="s">
        <v>1052</v>
      </c>
      <c r="F155" s="297" t="s">
        <v>883</v>
      </c>
      <c r="G155" s="320" t="s">
        <v>958</v>
      </c>
      <c r="H155" s="361" t="str">
        <f t="shared" ref="H155:AD155" si="59">IFERROR(H153/H152,"")</f>
        <v/>
      </c>
      <c r="I155" s="361" t="str">
        <f t="shared" si="59"/>
        <v/>
      </c>
      <c r="J155" s="361" t="str">
        <f t="shared" si="59"/>
        <v/>
      </c>
      <c r="K155" s="361" t="str">
        <f t="shared" si="59"/>
        <v/>
      </c>
      <c r="L155" s="361" t="str">
        <f t="shared" si="59"/>
        <v/>
      </c>
      <c r="M155" s="361" t="str">
        <f t="shared" si="59"/>
        <v/>
      </c>
      <c r="N155" s="361" t="str">
        <f t="shared" si="59"/>
        <v/>
      </c>
      <c r="O155" s="361" t="str">
        <f t="shared" si="59"/>
        <v/>
      </c>
      <c r="P155" s="361" t="str">
        <f t="shared" si="59"/>
        <v/>
      </c>
      <c r="Q155" s="361" t="str">
        <f t="shared" si="59"/>
        <v/>
      </c>
      <c r="R155" s="361" t="str">
        <f t="shared" si="59"/>
        <v/>
      </c>
      <c r="S155" s="361" t="str">
        <f t="shared" si="59"/>
        <v/>
      </c>
      <c r="T155" s="361" t="str">
        <f t="shared" si="59"/>
        <v/>
      </c>
      <c r="U155" s="361" t="str">
        <f t="shared" si="59"/>
        <v/>
      </c>
      <c r="V155" s="361" t="str">
        <f t="shared" si="59"/>
        <v/>
      </c>
      <c r="W155" s="361" t="str">
        <f t="shared" si="59"/>
        <v/>
      </c>
      <c r="X155" s="361" t="str">
        <f t="shared" si="59"/>
        <v/>
      </c>
      <c r="Y155" s="361" t="str">
        <f t="shared" si="59"/>
        <v/>
      </c>
      <c r="Z155" s="361" t="str">
        <f t="shared" si="59"/>
        <v/>
      </c>
      <c r="AA155" s="361" t="str">
        <f t="shared" si="59"/>
        <v/>
      </c>
      <c r="AB155" s="361" t="str">
        <f t="shared" si="59"/>
        <v/>
      </c>
      <c r="AC155" s="361" t="str">
        <f t="shared" si="59"/>
        <v/>
      </c>
      <c r="AD155" s="361" t="str">
        <f t="shared" si="59"/>
        <v/>
      </c>
    </row>
    <row r="156" spans="1:30" ht="15" customHeight="1">
      <c r="A156" s="302"/>
      <c r="B156" s="355"/>
      <c r="C156" s="303" t="s">
        <v>877</v>
      </c>
      <c r="D156" s="297" t="s">
        <v>1045</v>
      </c>
      <c r="E156" s="297" t="s">
        <v>1053</v>
      </c>
      <c r="F156" s="297" t="s">
        <v>883</v>
      </c>
      <c r="G156" s="320" t="s">
        <v>958</v>
      </c>
      <c r="H156" s="361">
        <f t="shared" ref="H156:AD156" si="60">IFERROR(H154/H6,"")</f>
        <v>0</v>
      </c>
      <c r="I156" s="361">
        <f t="shared" si="60"/>
        <v>0</v>
      </c>
      <c r="J156" s="361">
        <f t="shared" si="60"/>
        <v>0</v>
      </c>
      <c r="K156" s="361">
        <f t="shared" si="60"/>
        <v>0</v>
      </c>
      <c r="L156" s="361">
        <f t="shared" si="60"/>
        <v>0</v>
      </c>
      <c r="M156" s="361">
        <f t="shared" si="60"/>
        <v>0</v>
      </c>
      <c r="N156" s="361">
        <f t="shared" si="60"/>
        <v>0</v>
      </c>
      <c r="O156" s="361">
        <f t="shared" si="60"/>
        <v>0</v>
      </c>
      <c r="P156" s="361">
        <f t="shared" si="60"/>
        <v>0</v>
      </c>
      <c r="Q156" s="361">
        <f t="shared" si="60"/>
        <v>0</v>
      </c>
      <c r="R156" s="361">
        <f t="shared" si="60"/>
        <v>0</v>
      </c>
      <c r="S156" s="361">
        <f t="shared" si="60"/>
        <v>0</v>
      </c>
      <c r="T156" s="361">
        <f t="shared" si="60"/>
        <v>0</v>
      </c>
      <c r="U156" s="361">
        <f t="shared" si="60"/>
        <v>0</v>
      </c>
      <c r="V156" s="361">
        <f t="shared" si="60"/>
        <v>0</v>
      </c>
      <c r="W156" s="361" t="str">
        <f t="shared" si="60"/>
        <v/>
      </c>
      <c r="X156" s="361" t="str">
        <f t="shared" si="60"/>
        <v/>
      </c>
      <c r="Y156" s="361" t="str">
        <f t="shared" si="60"/>
        <v/>
      </c>
      <c r="Z156" s="361" t="str">
        <f t="shared" si="60"/>
        <v/>
      </c>
      <c r="AA156" s="361" t="str">
        <f t="shared" si="60"/>
        <v/>
      </c>
      <c r="AB156" s="361" t="str">
        <f t="shared" si="60"/>
        <v/>
      </c>
      <c r="AC156" s="361" t="str">
        <f t="shared" si="60"/>
        <v/>
      </c>
      <c r="AD156" s="361" t="str">
        <f t="shared" si="60"/>
        <v/>
      </c>
    </row>
    <row r="157" spans="1:30" ht="15" customHeight="1">
      <c r="A157" s="294"/>
      <c r="B157" s="355"/>
      <c r="C157" s="303" t="s">
        <v>877</v>
      </c>
      <c r="D157" s="297" t="s">
        <v>1054</v>
      </c>
      <c r="E157" s="297" t="s">
        <v>1055</v>
      </c>
      <c r="F157" s="297" t="s">
        <v>886</v>
      </c>
      <c r="G157" s="320" t="s">
        <v>958</v>
      </c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</row>
    <row r="158" spans="1:30" ht="15" customHeight="1">
      <c r="B158" s="355"/>
      <c r="C158" s="303" t="s">
        <v>877</v>
      </c>
      <c r="D158" s="297" t="s">
        <v>1054</v>
      </c>
      <c r="E158" s="297" t="s">
        <v>1056</v>
      </c>
      <c r="F158" s="297" t="s">
        <v>886</v>
      </c>
      <c r="G158" s="320" t="s">
        <v>958</v>
      </c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  <c r="AB158" s="301"/>
      <c r="AC158" s="301"/>
      <c r="AD158" s="301"/>
    </row>
    <row r="159" spans="1:30" ht="15" customHeight="1">
      <c r="A159" s="302"/>
      <c r="B159" s="355"/>
      <c r="C159" s="303" t="s">
        <v>877</v>
      </c>
      <c r="D159" s="297" t="s">
        <v>1054</v>
      </c>
      <c r="E159" s="297" t="s">
        <v>1057</v>
      </c>
      <c r="F159" s="297" t="s">
        <v>886</v>
      </c>
      <c r="G159" s="320" t="s">
        <v>958</v>
      </c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</row>
    <row r="160" spans="1:30" ht="15" customHeight="1">
      <c r="B160" s="355"/>
      <c r="H160" s="394"/>
      <c r="I160" s="394"/>
      <c r="J160" s="394"/>
      <c r="K160" s="394"/>
      <c r="L160" s="394"/>
      <c r="M160" s="394"/>
      <c r="N160" s="394"/>
      <c r="O160" s="394"/>
      <c r="P160" s="394"/>
      <c r="Q160" s="394"/>
      <c r="R160" s="394"/>
      <c r="S160" s="394"/>
      <c r="T160" s="394"/>
      <c r="U160" s="394"/>
      <c r="V160" s="394"/>
      <c r="W160" s="394"/>
      <c r="X160" s="394"/>
      <c r="Y160" s="394"/>
      <c r="Z160" s="394"/>
      <c r="AA160" s="394"/>
      <c r="AB160" s="394"/>
      <c r="AC160" s="394"/>
      <c r="AD160" s="394"/>
    </row>
    <row r="161" spans="1:30" ht="15" customHeight="1">
      <c r="B161" s="355"/>
      <c r="C161" s="303" t="s">
        <v>881</v>
      </c>
      <c r="D161" s="297" t="s">
        <v>1058</v>
      </c>
      <c r="E161" s="297" t="s">
        <v>1059</v>
      </c>
      <c r="F161" s="392" t="s">
        <v>886</v>
      </c>
      <c r="G161" s="302" t="s">
        <v>3</v>
      </c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</row>
    <row r="162" spans="1:30" ht="15" customHeight="1">
      <c r="B162" s="355"/>
      <c r="C162" s="303" t="s">
        <v>881</v>
      </c>
      <c r="D162" s="297" t="s">
        <v>1058</v>
      </c>
      <c r="E162" s="297" t="s">
        <v>1060</v>
      </c>
      <c r="F162" s="392" t="s">
        <v>886</v>
      </c>
      <c r="G162" s="302" t="s">
        <v>3</v>
      </c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</row>
    <row r="163" spans="1:30" ht="15" customHeight="1">
      <c r="B163" s="355"/>
      <c r="C163" s="303" t="s">
        <v>881</v>
      </c>
      <c r="D163" s="297" t="s">
        <v>1058</v>
      </c>
      <c r="E163" s="297" t="s">
        <v>1061</v>
      </c>
      <c r="F163" s="392" t="s">
        <v>886</v>
      </c>
      <c r="G163" s="302" t="s">
        <v>3</v>
      </c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  <c r="AD163" s="301"/>
    </row>
    <row r="164" spans="1:30" ht="15" customHeight="1">
      <c r="B164" s="355"/>
      <c r="C164" s="303" t="s">
        <v>881</v>
      </c>
      <c r="D164" s="297" t="s">
        <v>1058</v>
      </c>
      <c r="E164" s="297" t="s">
        <v>1062</v>
      </c>
      <c r="F164" s="392" t="s">
        <v>886</v>
      </c>
      <c r="G164" s="305" t="str">
        <f>$G$2</f>
        <v>USD млн</v>
      </c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</row>
    <row r="165" spans="1:30" ht="15" customHeight="1">
      <c r="B165" s="355"/>
      <c r="C165" s="303" t="s">
        <v>956</v>
      </c>
      <c r="D165" s="297" t="s">
        <v>1058</v>
      </c>
      <c r="E165" s="297" t="s">
        <v>1063</v>
      </c>
      <c r="F165" s="392" t="s">
        <v>886</v>
      </c>
      <c r="G165" s="302" t="s">
        <v>3</v>
      </c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  <c r="AD165" s="301"/>
    </row>
    <row r="166" spans="1:30" ht="15" customHeight="1">
      <c r="B166" s="355"/>
      <c r="C166" s="303" t="s">
        <v>877</v>
      </c>
      <c r="D166" s="297" t="s">
        <v>1058</v>
      </c>
      <c r="E166" s="297" t="s">
        <v>1064</v>
      </c>
      <c r="F166" s="395" t="s">
        <v>1065</v>
      </c>
      <c r="G166" s="302" t="s">
        <v>3</v>
      </c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</row>
    <row r="167" spans="1:30" ht="15" customHeight="1">
      <c r="B167" s="355"/>
      <c r="C167" s="303" t="s">
        <v>877</v>
      </c>
      <c r="D167" s="297" t="s">
        <v>1058</v>
      </c>
      <c r="E167" s="297" t="s">
        <v>1066</v>
      </c>
      <c r="F167" s="392" t="s">
        <v>886</v>
      </c>
      <c r="G167" s="302" t="s">
        <v>3</v>
      </c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  <c r="AC167" s="301"/>
      <c r="AD167" s="301"/>
    </row>
    <row r="168" spans="1:30" ht="15" customHeight="1">
      <c r="B168" s="355"/>
      <c r="C168" s="303" t="s">
        <v>956</v>
      </c>
      <c r="D168" s="297" t="s">
        <v>1058</v>
      </c>
      <c r="E168" s="297" t="s">
        <v>1067</v>
      </c>
      <c r="F168" s="392" t="s">
        <v>886</v>
      </c>
      <c r="G168" s="302" t="s">
        <v>958</v>
      </c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  <c r="AB168" s="301"/>
      <c r="AC168" s="301"/>
      <c r="AD168" s="301"/>
    </row>
    <row r="169" spans="1:30" ht="15" customHeight="1">
      <c r="B169" s="355"/>
      <c r="C169" s="303" t="s">
        <v>956</v>
      </c>
      <c r="D169" s="297" t="s">
        <v>1058</v>
      </c>
      <c r="E169" s="297" t="s">
        <v>1068</v>
      </c>
      <c r="F169" s="392" t="s">
        <v>886</v>
      </c>
      <c r="G169" s="302" t="s">
        <v>958</v>
      </c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  <c r="AB169" s="301"/>
      <c r="AC169" s="301"/>
      <c r="AD169" s="301"/>
    </row>
    <row r="170" spans="1:30" ht="15" customHeight="1">
      <c r="B170" s="355"/>
      <c r="C170" s="303"/>
      <c r="D170" s="297"/>
      <c r="E170" s="297"/>
      <c r="F170" s="39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2"/>
    </row>
    <row r="171" spans="1:30" ht="15" customHeight="1">
      <c r="A171" s="302"/>
      <c r="B171" s="316"/>
      <c r="C171" s="303" t="s">
        <v>877</v>
      </c>
      <c r="D171" s="297" t="s">
        <v>1069</v>
      </c>
      <c r="E171" s="297" t="s">
        <v>1070</v>
      </c>
      <c r="F171" s="333" t="s">
        <v>911</v>
      </c>
      <c r="G171" s="305" t="str">
        <f>$G$2</f>
        <v>USD млн</v>
      </c>
      <c r="H171" s="386"/>
      <c r="I171" s="386"/>
      <c r="J171" s="386"/>
      <c r="K171" s="386"/>
      <c r="L171" s="386"/>
      <c r="M171" s="386"/>
      <c r="N171" s="386"/>
      <c r="O171" s="386"/>
      <c r="P171" s="386"/>
      <c r="Q171" s="386"/>
      <c r="R171" s="386"/>
      <c r="S171" s="386"/>
      <c r="T171" s="386"/>
      <c r="U171" s="386"/>
      <c r="V171" s="386"/>
      <c r="W171" s="386"/>
      <c r="X171" s="386"/>
      <c r="Y171" s="386"/>
      <c r="Z171" s="386"/>
      <c r="AA171" s="386"/>
      <c r="AB171" s="386"/>
      <c r="AC171" s="386"/>
      <c r="AD171" s="386"/>
    </row>
    <row r="172" spans="1:30" ht="15" customHeight="1">
      <c r="A172" s="302"/>
      <c r="B172" s="316"/>
      <c r="C172" s="303" t="s">
        <v>877</v>
      </c>
      <c r="D172" s="297" t="s">
        <v>1069</v>
      </c>
      <c r="E172" s="297" t="s">
        <v>1071</v>
      </c>
      <c r="F172" s="333" t="s">
        <v>911</v>
      </c>
      <c r="G172" s="305" t="str">
        <f>$G$2</f>
        <v>USD млн</v>
      </c>
      <c r="H172" s="386"/>
      <c r="I172" s="386"/>
      <c r="J172" s="386"/>
      <c r="K172" s="386"/>
      <c r="L172" s="386"/>
      <c r="M172" s="386"/>
      <c r="N172" s="386"/>
      <c r="O172" s="386"/>
      <c r="P172" s="386"/>
      <c r="Q172" s="386"/>
      <c r="R172" s="386"/>
      <c r="S172" s="386"/>
      <c r="T172" s="386"/>
      <c r="U172" s="386"/>
      <c r="V172" s="386"/>
      <c r="W172" s="386"/>
      <c r="X172" s="386"/>
      <c r="Y172" s="386"/>
      <c r="Z172" s="386"/>
      <c r="AA172" s="386"/>
      <c r="AB172" s="386"/>
      <c r="AC172" s="386"/>
      <c r="AD172" s="386"/>
    </row>
    <row r="173" spans="1:30" ht="15" customHeight="1">
      <c r="A173" s="302"/>
      <c r="B173" s="316"/>
      <c r="C173" s="303" t="s">
        <v>877</v>
      </c>
      <c r="D173" s="297" t="s">
        <v>1069</v>
      </c>
      <c r="E173" s="297" t="s">
        <v>1072</v>
      </c>
      <c r="F173" s="333" t="s">
        <v>911</v>
      </c>
      <c r="G173" s="305" t="str">
        <f>$G$2</f>
        <v>USD млн</v>
      </c>
      <c r="H173" s="386"/>
      <c r="I173" s="386"/>
      <c r="J173" s="386"/>
      <c r="K173" s="386"/>
      <c r="L173" s="386"/>
      <c r="M173" s="386"/>
      <c r="N173" s="386"/>
      <c r="O173" s="386"/>
      <c r="P173" s="386"/>
      <c r="Q173" s="386"/>
      <c r="R173" s="386"/>
      <c r="S173" s="386"/>
      <c r="T173" s="386"/>
      <c r="U173" s="386"/>
      <c r="V173" s="386"/>
      <c r="W173" s="386"/>
      <c r="X173" s="386"/>
      <c r="Y173" s="386"/>
      <c r="Z173" s="386"/>
      <c r="AA173" s="386"/>
      <c r="AB173" s="386"/>
      <c r="AC173" s="386"/>
      <c r="AD173" s="386"/>
    </row>
    <row r="174" spans="1:30" ht="15" customHeight="1">
      <c r="B174" s="316"/>
    </row>
    <row r="175" spans="1:30" ht="15" customHeight="1">
      <c r="B175" s="316"/>
      <c r="C175" s="391" t="s">
        <v>1073</v>
      </c>
      <c r="D175" s="393" t="s">
        <v>988</v>
      </c>
      <c r="E175" s="393" t="s">
        <v>1074</v>
      </c>
      <c r="F175" s="393" t="s">
        <v>911</v>
      </c>
      <c r="G175" s="305" t="s">
        <v>880</v>
      </c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  <c r="AB175" s="301"/>
      <c r="AC175" s="301"/>
      <c r="AD175" s="301"/>
    </row>
    <row r="176" spans="1:30" ht="15" customHeight="1">
      <c r="B176" s="316"/>
      <c r="C176" s="391" t="s">
        <v>1073</v>
      </c>
      <c r="D176" s="393" t="s">
        <v>988</v>
      </c>
      <c r="E176" s="393" t="s">
        <v>1075</v>
      </c>
      <c r="F176" s="393" t="s">
        <v>911</v>
      </c>
      <c r="G176" s="305" t="s">
        <v>880</v>
      </c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  <c r="AB176" s="301"/>
      <c r="AC176" s="301"/>
      <c r="AD176" s="301"/>
    </row>
    <row r="177" spans="2:30" ht="15" customHeight="1">
      <c r="B177" s="316"/>
      <c r="C177" s="391" t="s">
        <v>1073</v>
      </c>
      <c r="D177" s="393" t="s">
        <v>988</v>
      </c>
      <c r="E177" s="393" t="s">
        <v>1076</v>
      </c>
      <c r="F177" s="393" t="s">
        <v>911</v>
      </c>
      <c r="G177" s="305" t="s">
        <v>880</v>
      </c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  <c r="AB177" s="301"/>
      <c r="AC177" s="301"/>
      <c r="AD177" s="301"/>
    </row>
    <row r="178" spans="2:30" ht="15" customHeight="1">
      <c r="B178" s="316"/>
      <c r="C178" s="391" t="s">
        <v>1073</v>
      </c>
      <c r="D178" s="393" t="s">
        <v>988</v>
      </c>
      <c r="E178" s="393" t="s">
        <v>1077</v>
      </c>
      <c r="F178" s="393" t="s">
        <v>911</v>
      </c>
      <c r="G178" s="305" t="s">
        <v>880</v>
      </c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  <c r="AB178" s="301"/>
      <c r="AC178" s="301"/>
      <c r="AD178" s="301"/>
    </row>
    <row r="179" spans="2:30" ht="15" customHeight="1">
      <c r="B179" s="316"/>
      <c r="C179" s="391" t="s">
        <v>1073</v>
      </c>
      <c r="D179" s="393" t="s">
        <v>1078</v>
      </c>
      <c r="E179" s="393" t="s">
        <v>1079</v>
      </c>
      <c r="F179" s="393" t="s">
        <v>911</v>
      </c>
      <c r="G179" s="305" t="s">
        <v>880</v>
      </c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  <c r="AB179" s="301"/>
      <c r="AC179" s="301"/>
      <c r="AD179" s="301"/>
    </row>
    <row r="180" spans="2:30" ht="15" customHeight="1">
      <c r="B180" s="316"/>
      <c r="C180" s="391" t="s">
        <v>1073</v>
      </c>
      <c r="D180" s="393" t="s">
        <v>1078</v>
      </c>
      <c r="E180" s="393" t="s">
        <v>1080</v>
      </c>
      <c r="F180" s="393" t="s">
        <v>911</v>
      </c>
      <c r="G180" s="305" t="s">
        <v>880</v>
      </c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  <c r="AB180" s="301"/>
      <c r="AC180" s="301"/>
      <c r="AD180" s="301"/>
    </row>
    <row r="181" spans="2:30" ht="15" customHeight="1">
      <c r="B181" s="316"/>
      <c r="C181" s="391" t="s">
        <v>1073</v>
      </c>
      <c r="D181" s="393" t="s">
        <v>1081</v>
      </c>
      <c r="E181" s="393" t="s">
        <v>1082</v>
      </c>
      <c r="F181" s="393" t="s">
        <v>911</v>
      </c>
      <c r="G181" s="305" t="s">
        <v>880</v>
      </c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  <c r="AB181" s="301"/>
      <c r="AC181" s="301"/>
      <c r="AD181" s="301"/>
    </row>
    <row r="182" spans="2:30" ht="15" customHeight="1">
      <c r="B182" s="316"/>
      <c r="C182" s="391" t="s">
        <v>1073</v>
      </c>
      <c r="D182" s="393" t="s">
        <v>1081</v>
      </c>
      <c r="E182" s="393" t="s">
        <v>1083</v>
      </c>
      <c r="F182" s="393" t="s">
        <v>911</v>
      </c>
      <c r="G182" s="305" t="s">
        <v>880</v>
      </c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  <c r="AC182" s="301"/>
      <c r="AD182" s="301"/>
    </row>
    <row r="183" spans="2:30" ht="15" customHeight="1">
      <c r="B183" s="316"/>
      <c r="C183" s="391" t="s">
        <v>1073</v>
      </c>
      <c r="D183" s="393" t="s">
        <v>1084</v>
      </c>
      <c r="E183" s="393" t="s">
        <v>1085</v>
      </c>
      <c r="F183" s="393" t="s">
        <v>911</v>
      </c>
      <c r="G183" s="305" t="s">
        <v>880</v>
      </c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  <c r="AB183" s="301"/>
      <c r="AC183" s="301"/>
      <c r="AD183" s="301"/>
    </row>
    <row r="184" spans="2:30" ht="15" customHeight="1">
      <c r="B184" s="316"/>
      <c r="C184" s="391" t="s">
        <v>1073</v>
      </c>
      <c r="D184" s="393" t="s">
        <v>1086</v>
      </c>
      <c r="E184" s="393" t="s">
        <v>1087</v>
      </c>
      <c r="F184" s="393" t="s">
        <v>911</v>
      </c>
      <c r="G184" s="305" t="s">
        <v>880</v>
      </c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  <c r="AB184" s="301"/>
      <c r="AC184" s="301"/>
      <c r="AD184" s="301"/>
    </row>
    <row r="185" spans="2:30" ht="15" customHeight="1">
      <c r="B185" s="316"/>
      <c r="C185" s="391" t="s">
        <v>1073</v>
      </c>
      <c r="D185" s="393" t="s">
        <v>1088</v>
      </c>
      <c r="E185" s="393" t="s">
        <v>1089</v>
      </c>
      <c r="F185" s="393" t="s">
        <v>911</v>
      </c>
      <c r="G185" s="305" t="s">
        <v>880</v>
      </c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  <c r="AB185" s="301"/>
      <c r="AC185" s="301"/>
      <c r="AD185" s="301"/>
    </row>
    <row r="186" spans="2:30" ht="15" customHeight="1">
      <c r="B186" s="316"/>
      <c r="C186" s="391" t="s">
        <v>1073</v>
      </c>
      <c r="D186" s="393" t="s">
        <v>1090</v>
      </c>
      <c r="E186" s="393" t="s">
        <v>1091</v>
      </c>
      <c r="F186" s="393" t="s">
        <v>911</v>
      </c>
      <c r="G186" s="305" t="s">
        <v>880</v>
      </c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  <c r="AB186" s="301"/>
      <c r="AC186" s="301"/>
      <c r="AD186" s="301"/>
    </row>
    <row r="187" spans="2:30" ht="15" customHeight="1">
      <c r="B187" s="316"/>
      <c r="C187" s="391" t="s">
        <v>1073</v>
      </c>
      <c r="D187" s="393" t="s">
        <v>1092</v>
      </c>
      <c r="E187" s="393" t="s">
        <v>1093</v>
      </c>
      <c r="F187" s="393" t="s">
        <v>911</v>
      </c>
      <c r="G187" s="305" t="s">
        <v>880</v>
      </c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  <c r="AB187" s="301"/>
      <c r="AC187" s="301"/>
      <c r="AD187" s="301"/>
    </row>
    <row r="188" spans="2:30" ht="15" customHeight="1">
      <c r="B188" s="316"/>
      <c r="C188" s="391" t="s">
        <v>1073</v>
      </c>
      <c r="D188" s="393" t="s">
        <v>1092</v>
      </c>
      <c r="E188" s="393" t="s">
        <v>1094</v>
      </c>
      <c r="F188" s="393" t="s">
        <v>911</v>
      </c>
      <c r="G188" s="305" t="s">
        <v>880</v>
      </c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  <c r="AB188" s="301"/>
      <c r="AC188" s="301"/>
      <c r="AD188" s="301"/>
    </row>
    <row r="189" spans="2:30" ht="15" customHeight="1">
      <c r="B189" s="316"/>
      <c r="C189" s="391" t="s">
        <v>1073</v>
      </c>
      <c r="D189" s="393" t="s">
        <v>1095</v>
      </c>
      <c r="E189" s="393" t="s">
        <v>1096</v>
      </c>
      <c r="F189" s="393" t="s">
        <v>911</v>
      </c>
      <c r="G189" s="305" t="s">
        <v>880</v>
      </c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  <c r="AB189" s="301"/>
      <c r="AC189" s="301"/>
      <c r="AD189" s="301"/>
    </row>
    <row r="190" spans="2:30" ht="15" customHeight="1">
      <c r="B190" s="316"/>
      <c r="C190" s="391" t="s">
        <v>1073</v>
      </c>
      <c r="D190" s="393" t="s">
        <v>1095</v>
      </c>
      <c r="E190" s="393" t="s">
        <v>1097</v>
      </c>
      <c r="F190" s="393" t="s">
        <v>911</v>
      </c>
      <c r="G190" s="305" t="s">
        <v>880</v>
      </c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  <c r="AB190" s="301"/>
      <c r="AC190" s="301"/>
      <c r="AD190" s="301"/>
    </row>
    <row r="191" spans="2:30" ht="15" customHeight="1">
      <c r="B191" s="316"/>
      <c r="C191" s="391" t="s">
        <v>1073</v>
      </c>
      <c r="D191" s="393" t="s">
        <v>1095</v>
      </c>
      <c r="E191" s="393" t="s">
        <v>1098</v>
      </c>
      <c r="F191" s="393" t="s">
        <v>911</v>
      </c>
      <c r="G191" s="305" t="s">
        <v>880</v>
      </c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  <c r="AB191" s="301"/>
      <c r="AC191" s="301"/>
      <c r="AD191" s="301"/>
    </row>
    <row r="192" spans="2:30" ht="15" customHeight="1">
      <c r="B192" s="316"/>
      <c r="C192" s="391" t="s">
        <v>1073</v>
      </c>
      <c r="D192" s="393" t="s">
        <v>1099</v>
      </c>
      <c r="E192" s="393" t="s">
        <v>1100</v>
      </c>
      <c r="F192" s="393" t="s">
        <v>911</v>
      </c>
      <c r="G192" s="305" t="s">
        <v>880</v>
      </c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  <c r="AB192" s="301"/>
      <c r="AC192" s="301"/>
      <c r="AD192" s="301"/>
    </row>
    <row r="193" spans="2:30" ht="15" customHeight="1">
      <c r="B193" s="316"/>
      <c r="C193" s="391" t="s">
        <v>1073</v>
      </c>
      <c r="D193" s="393" t="s">
        <v>1101</v>
      </c>
      <c r="E193" s="393" t="s">
        <v>1102</v>
      </c>
      <c r="F193" s="393" t="s">
        <v>911</v>
      </c>
      <c r="G193" s="305" t="s">
        <v>880</v>
      </c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  <c r="AC193" s="301"/>
      <c r="AD193" s="301"/>
    </row>
    <row r="194" spans="2:30" ht="15" customHeight="1">
      <c r="B194" s="316"/>
      <c r="C194" s="391" t="s">
        <v>1073</v>
      </c>
      <c r="D194" s="393" t="s">
        <v>1103</v>
      </c>
      <c r="E194" s="393" t="s">
        <v>1104</v>
      </c>
      <c r="F194" s="393" t="s">
        <v>911</v>
      </c>
      <c r="G194" s="305" t="s">
        <v>880</v>
      </c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  <c r="AD194" s="301"/>
    </row>
    <row r="195" spans="2:30" ht="15" customHeight="1">
      <c r="B195" s="316"/>
      <c r="C195" s="391" t="s">
        <v>1073</v>
      </c>
      <c r="D195" s="393" t="s">
        <v>1103</v>
      </c>
      <c r="E195" s="393" t="s">
        <v>1105</v>
      </c>
      <c r="F195" s="393" t="s">
        <v>911</v>
      </c>
      <c r="G195" s="305" t="s">
        <v>880</v>
      </c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  <c r="AC195" s="301"/>
      <c r="AD195" s="301"/>
    </row>
    <row r="196" spans="2:30" ht="15" customHeight="1">
      <c r="B196" s="316"/>
      <c r="C196" s="391" t="s">
        <v>1073</v>
      </c>
      <c r="D196" s="393" t="s">
        <v>1106</v>
      </c>
      <c r="E196" s="393" t="s">
        <v>1107</v>
      </c>
      <c r="F196" s="393" t="s">
        <v>911</v>
      </c>
      <c r="G196" s="305" t="s">
        <v>880</v>
      </c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  <c r="AC196" s="301"/>
      <c r="AD196" s="301"/>
    </row>
    <row r="197" spans="2:30" ht="15" customHeight="1">
      <c r="B197" s="316"/>
      <c r="C197" s="391" t="s">
        <v>1073</v>
      </c>
      <c r="D197" s="393" t="s">
        <v>1108</v>
      </c>
      <c r="E197" s="393" t="s">
        <v>1109</v>
      </c>
      <c r="F197" s="393" t="s">
        <v>911</v>
      </c>
      <c r="G197" s="305" t="s">
        <v>880</v>
      </c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  <c r="AC197" s="301"/>
      <c r="AD197" s="301"/>
    </row>
    <row r="198" spans="2:30" ht="15" customHeight="1">
      <c r="B198" s="316"/>
      <c r="C198" s="391" t="s">
        <v>1073</v>
      </c>
      <c r="D198" s="393" t="s">
        <v>1108</v>
      </c>
      <c r="E198" s="393" t="s">
        <v>1110</v>
      </c>
      <c r="F198" s="393" t="s">
        <v>911</v>
      </c>
      <c r="G198" s="305" t="s">
        <v>880</v>
      </c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  <c r="AB198" s="301"/>
      <c r="AC198" s="301"/>
      <c r="AD198" s="301"/>
    </row>
    <row r="199" spans="2:30" ht="15" customHeight="1">
      <c r="B199" s="316"/>
      <c r="C199" s="391" t="s">
        <v>1073</v>
      </c>
      <c r="D199" s="393" t="s">
        <v>1108</v>
      </c>
      <c r="E199" s="393" t="s">
        <v>1111</v>
      </c>
      <c r="F199" s="393" t="s">
        <v>911</v>
      </c>
      <c r="G199" s="305" t="s">
        <v>880</v>
      </c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  <c r="AB199" s="301"/>
      <c r="AC199" s="301"/>
      <c r="AD199" s="301"/>
    </row>
    <row r="200" spans="2:30" ht="15" customHeight="1">
      <c r="B200" s="316"/>
      <c r="C200" s="391" t="s">
        <v>1073</v>
      </c>
      <c r="D200" s="393" t="s">
        <v>1108</v>
      </c>
      <c r="E200" s="393" t="s">
        <v>1112</v>
      </c>
      <c r="F200" s="393" t="s">
        <v>911</v>
      </c>
      <c r="G200" s="305" t="s">
        <v>880</v>
      </c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  <c r="AB200" s="301"/>
      <c r="AC200" s="301"/>
      <c r="AD200" s="301"/>
    </row>
    <row r="201" spans="2:30" ht="15" customHeight="1">
      <c r="B201" s="316"/>
      <c r="C201" s="391" t="s">
        <v>1073</v>
      </c>
      <c r="D201" s="393" t="s">
        <v>1113</v>
      </c>
      <c r="E201" s="393" t="s">
        <v>1114</v>
      </c>
      <c r="F201" s="393" t="s">
        <v>911</v>
      </c>
      <c r="G201" s="305" t="s">
        <v>880</v>
      </c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  <c r="AB201" s="301"/>
      <c r="AC201" s="301"/>
      <c r="AD201" s="301"/>
    </row>
    <row r="202" spans="2:30" ht="15" customHeight="1">
      <c r="B202" s="316"/>
      <c r="C202" s="391" t="s">
        <v>1073</v>
      </c>
      <c r="D202" s="393" t="s">
        <v>1113</v>
      </c>
      <c r="E202" s="393" t="s">
        <v>1115</v>
      </c>
      <c r="F202" s="393" t="s">
        <v>911</v>
      </c>
      <c r="G202" s="305" t="s">
        <v>880</v>
      </c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  <c r="AB202" s="301"/>
      <c r="AC202" s="301"/>
      <c r="AD202" s="301"/>
    </row>
    <row r="203" spans="2:30" ht="15" customHeight="1">
      <c r="B203" s="316"/>
      <c r="C203" s="391" t="s">
        <v>1073</v>
      </c>
      <c r="D203" s="393" t="s">
        <v>1116</v>
      </c>
      <c r="E203" s="393" t="s">
        <v>1117</v>
      </c>
      <c r="F203" s="393" t="s">
        <v>911</v>
      </c>
      <c r="G203" s="305" t="s">
        <v>880</v>
      </c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1"/>
      <c r="AD203" s="301"/>
    </row>
    <row r="204" spans="2:30" ht="15" customHeight="1">
      <c r="B204" s="316"/>
      <c r="C204" s="391" t="s">
        <v>1073</v>
      </c>
      <c r="D204" s="393" t="s">
        <v>1116</v>
      </c>
      <c r="E204" s="393" t="s">
        <v>1118</v>
      </c>
      <c r="F204" s="393" t="s">
        <v>911</v>
      </c>
      <c r="G204" s="305" t="s">
        <v>880</v>
      </c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  <c r="AB204" s="301"/>
      <c r="AC204" s="301"/>
      <c r="AD204" s="301"/>
    </row>
    <row r="205" spans="2:30" ht="15" customHeight="1">
      <c r="B205" s="316"/>
      <c r="C205" s="391" t="s">
        <v>1073</v>
      </c>
      <c r="D205" s="393" t="s">
        <v>1116</v>
      </c>
      <c r="E205" s="393" t="s">
        <v>1119</v>
      </c>
      <c r="F205" s="393" t="s">
        <v>911</v>
      </c>
      <c r="G205" s="305" t="s">
        <v>880</v>
      </c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  <c r="AC205" s="301"/>
      <c r="AD205" s="301"/>
    </row>
    <row r="206" spans="2:30" ht="15" customHeight="1">
      <c r="B206" s="316"/>
      <c r="C206" s="391" t="s">
        <v>877</v>
      </c>
      <c r="D206" s="393" t="s">
        <v>1116</v>
      </c>
      <c r="E206" s="393" t="s">
        <v>1120</v>
      </c>
      <c r="F206" s="393" t="s">
        <v>1121</v>
      </c>
      <c r="G206" s="305" t="s">
        <v>880</v>
      </c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  <c r="AC206" s="301"/>
      <c r="AD206" s="301"/>
    </row>
    <row r="207" spans="2:30" ht="15" customHeight="1">
      <c r="G207" s="305"/>
    </row>
  </sheetData>
  <dataValidations count="3">
    <dataValidation type="decimal" operator="greaterThanOrEqual" allowBlank="1" showInputMessage="1" showErrorMessage="1" sqref="H44:AD54 H25:AD31 H21:AD23 H80:AD81 H2:AD5 H56:AD67 H33:AD42 H8:AD8 H73:AD73" xr:uid="{00000000-0002-0000-0000-000000000000}">
      <formula1>0</formula1>
    </dataValidation>
    <dataValidation operator="greaterThanOrEqual" allowBlank="1" showInputMessage="1" showErrorMessage="1" sqref="H114:AD121 A32:XFD32" xr:uid="{00000000-0002-0000-0000-000001000000}"/>
    <dataValidation type="list" allowBlank="1" showInputMessage="1" showErrorMessage="1" sqref="G2" xr:uid="{00000000-0002-0000-0000-000002000000}">
      <formula1>"[Требуется заполнить],RUB ед.,RUB тыс.,RUB млн,RUB млрд,USD ед.,USD тыс.,USD млн,USD млрд,EUR ед.,EUR тыс.,EUR млн,EUR млрд,CHF ед.,CHF тыс.,CHF млн,CHF млрд,KZT ед.,KZT тыс.,KZT млн,KZT млрд,UAH ед.,UAH тыс.,UAH млн,UAH млрд"</formula1>
    </dataValidation>
  </dataValidations>
  <hyperlinks>
    <hyperlink ref="F126" display="см. лист формулы" xr:uid="{00000000-0004-0000-0000-000000000000}"/>
    <hyperlink ref="F122" display="см. лист формулы" xr:uid="{00000000-0004-0000-0000-000001000000}"/>
    <hyperlink ref="F123" display="см. лист формулы" xr:uid="{00000000-0004-0000-0000-000002000000}"/>
    <hyperlink ref="F27" display="см. лист формулы" xr:uid="{00000000-0004-0000-0000-000003000000}"/>
    <hyperlink ref="F18" display="Предзаполненная формула (см. лист формулы)" xr:uid="{00000000-0004-0000-0000-000004000000}"/>
    <hyperlink ref="F6" display="см. лист формулы" xr:uid="{00000000-0004-0000-0000-000005000000}"/>
    <hyperlink ref="F127" display="см. лист формулы" xr:uid="{00000000-0004-0000-0000-000006000000}"/>
    <hyperlink ref="F76" display="Предзаполненная формула (см. лист формулы)" xr:uid="{00000000-0004-0000-0000-000007000000}"/>
    <hyperlink ref="F153" display="= Debt + Расходы по операционному лизингу, учитываемые в себестоимости за прошлый период * K, где K – отраслевой мультипликатор" xr:uid="{00000000-0004-0000-0000-000008000000}"/>
    <hyperlink ref="F152" display="= EBITDA + Расходы по операционному лизингу, учитываемые в себестоимости" xr:uid="{00000000-0004-0000-0000-000009000000}"/>
    <hyperlink ref="F28" display="см. лист формулы" xr:uid="{00000000-0004-0000-0000-00000A000000}"/>
    <hyperlink ref="F101" display="см. лист формулы" xr:uid="{00000000-0004-0000-0000-00000B000000}"/>
    <hyperlink ref="F75" display="Предзаполненная формула (см. лист формулы)" xr:uid="{00000000-0004-0000-0000-00000C000000}"/>
    <hyperlink ref="F130:F131" display="см. лист формулы" xr:uid="{00000000-0004-0000-0000-00000D000000}"/>
    <hyperlink ref="F25" display="см. лист формулы" xr:uid="{00000000-0004-0000-0000-00000E000000}"/>
    <hyperlink ref="F130" display="см. лист формулы" xr:uid="{00000000-0004-0000-0000-00000F000000}"/>
    <hyperlink ref="F157" display="см. лист формулы" xr:uid="{00000000-0004-0000-0000-000010000000}"/>
    <hyperlink ref="F158:F159" display="см. лист формулы" xr:uid="{00000000-0004-0000-0000-000011000000}"/>
    <hyperlink ref="F124" display="см. лист формулы" xr:uid="{00000000-0004-0000-0000-000012000000}"/>
    <hyperlink ref="F125" display="см. лист формулы" xr:uid="{00000000-0004-0000-0000-000013000000}"/>
    <hyperlink ref="F120" display="см. лист формулы" xr:uid="{00000000-0004-0000-0000-000014000000}"/>
    <hyperlink ref="F114:F119" display="см. лист формулы" xr:uid="{00000000-0004-0000-0000-000015000000}"/>
    <hyperlink ref="F31" display="см. лист формулы" xr:uid="{00000000-0004-0000-0000-000016000000}"/>
    <hyperlink ref="F154" display="= Debt + Расходы по операционному лизингу, учитываемые в себестоимости за прошлый период * K, где K – отраслевой мультипликатор" xr:uid="{00000000-0004-0000-0000-000017000000}"/>
    <hyperlink ref="F136:F138" display="см. лист формулы" xr:uid="{00000000-0004-0000-0000-000018000000}"/>
    <hyperlink ref="F140" display="см. лист формулы" xr:uid="{00000000-0004-0000-0000-000019000000}"/>
    <hyperlink ref="F121" display="см. лист формулы" xr:uid="{00000000-0004-0000-0000-00001A000000}"/>
  </hyperlinks>
  <pageMargins left="0.7" right="0.7" top="0.75" bottom="0.75" header="0.3" footer="0.3"/>
  <pageSetup paperSize="9" scale="5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63D"/>
    <pageSetUpPr fitToPage="1"/>
  </sheetPr>
  <dimension ref="A2:XEV49"/>
  <sheetViews>
    <sheetView showGridLines="0" tabSelected="1" zoomScaleNormal="100" workbookViewId="0">
      <selection activeCell="S26" sqref="S26"/>
    </sheetView>
  </sheetViews>
  <sheetFormatPr baseColWidth="10" defaultColWidth="0" defaultRowHeight="12"/>
  <cols>
    <col min="1" max="4" width="1.5" style="37" customWidth="1"/>
    <col min="5" max="5" width="28.1640625" style="37" bestFit="1" customWidth="1"/>
    <col min="6" max="6" width="6.83203125" style="37" bestFit="1" customWidth="1"/>
    <col min="7" max="26" width="6.6640625" style="37" customWidth="1"/>
    <col min="27" max="27" width="8.1640625" style="37" customWidth="1"/>
    <col min="28" max="31" width="8.1640625" style="37" hidden="1" customWidth="1"/>
    <col min="32" max="16384" width="8" style="37" hidden="1"/>
  </cols>
  <sheetData>
    <row r="2" spans="1:16376">
      <c r="E2" s="51" t="s">
        <v>843</v>
      </c>
      <c r="F2" s="244">
        <v>1</v>
      </c>
      <c r="G2" s="266">
        <f>G13/G7</f>
        <v>85.230988987611028</v>
      </c>
      <c r="H2" s="266">
        <f t="shared" ref="H2:O2" si="0">H13/H7</f>
        <v>94.862472130762001</v>
      </c>
      <c r="I2" s="266">
        <f t="shared" si="0"/>
        <v>49.527249321213546</v>
      </c>
      <c r="J2" s="266">
        <f t="shared" si="0"/>
        <v>25.736389955686878</v>
      </c>
      <c r="K2" s="266">
        <f t="shared" si="0"/>
        <v>73.548422157652993</v>
      </c>
      <c r="L2" s="266">
        <f t="shared" si="0"/>
        <v>102.33118183440401</v>
      </c>
      <c r="M2" s="266">
        <f t="shared" si="0"/>
        <v>48.122397521106535</v>
      </c>
      <c r="N2" s="266">
        <f t="shared" si="0"/>
        <v>30.206411824953459</v>
      </c>
      <c r="O2" s="266">
        <f t="shared" si="0"/>
        <v>104.86333431688128</v>
      </c>
      <c r="P2" s="266">
        <f t="shared" ref="P2:Z2" si="1">P13/P7</f>
        <v>87.435071561165771</v>
      </c>
      <c r="Q2" s="266">
        <f t="shared" si="1"/>
        <v>60.175333360490981</v>
      </c>
      <c r="R2" s="266">
        <f t="shared" si="1"/>
        <v>81.949146033566137</v>
      </c>
      <c r="S2" s="266">
        <f t="shared" si="1"/>
        <v>93.556395507627215</v>
      </c>
      <c r="T2" s="266">
        <f t="shared" si="1"/>
        <v>88.632200033714568</v>
      </c>
      <c r="U2" s="266">
        <f t="shared" si="1"/>
        <v>87.878187224819825</v>
      </c>
      <c r="V2" s="266">
        <f t="shared" si="1"/>
        <v>87.722904893024648</v>
      </c>
      <c r="W2" s="266">
        <f t="shared" si="1"/>
        <v>87.555793308908534</v>
      </c>
      <c r="X2" s="266">
        <f t="shared" si="1"/>
        <v>87.379654109993524</v>
      </c>
      <c r="Y2" s="266">
        <f t="shared" si="1"/>
        <v>87.188556327891391</v>
      </c>
      <c r="Z2" s="266">
        <f t="shared" si="1"/>
        <v>86.984988566765651</v>
      </c>
    </row>
    <row r="3" spans="1:16376">
      <c r="H3" s="45"/>
      <c r="I3" s="45"/>
      <c r="J3" s="45"/>
      <c r="K3" s="45"/>
    </row>
    <row r="4" spans="1:16376" s="47" customFormat="1" ht="12" customHeight="1">
      <c r="A4" s="46"/>
      <c r="B4" s="37"/>
      <c r="C4" s="37"/>
      <c r="D4" s="37"/>
      <c r="E4" s="53" t="s">
        <v>30</v>
      </c>
      <c r="F4" s="54" t="s">
        <v>0</v>
      </c>
      <c r="G4" s="233">
        <f>Calc!G2</f>
        <v>2013</v>
      </c>
      <c r="H4" s="233">
        <f>Calc!H2</f>
        <v>2014</v>
      </c>
      <c r="I4" s="233">
        <f>Calc!I2</f>
        <v>2015</v>
      </c>
      <c r="J4" s="233">
        <f>Calc!J2</f>
        <v>2016</v>
      </c>
      <c r="K4" s="233">
        <f>Calc!K2</f>
        <v>2017</v>
      </c>
      <c r="L4" s="233">
        <f>Calc!L2</f>
        <v>2018</v>
      </c>
      <c r="M4" s="233">
        <f>Calc!M2</f>
        <v>2019</v>
      </c>
      <c r="N4" s="233">
        <f>Calc!N2</f>
        <v>2020</v>
      </c>
      <c r="O4" s="233">
        <f>Calc!O2</f>
        <v>2021</v>
      </c>
      <c r="P4" s="233">
        <f>Calc!P2</f>
        <v>2022</v>
      </c>
      <c r="Q4" s="55">
        <f>Calc!Q2</f>
        <v>2023</v>
      </c>
      <c r="R4" s="55">
        <f>Calc!R2</f>
        <v>2024</v>
      </c>
      <c r="S4" s="55">
        <f>Calc!S2</f>
        <v>2025</v>
      </c>
      <c r="T4" s="55">
        <f>Calc!T2</f>
        <v>2026</v>
      </c>
      <c r="U4" s="55">
        <f>Calc!U2</f>
        <v>2027</v>
      </c>
      <c r="V4" s="55">
        <f>Calc!V2</f>
        <v>2028</v>
      </c>
      <c r="W4" s="55">
        <f>Calc!W2</f>
        <v>2029</v>
      </c>
      <c r="X4" s="55">
        <f>Calc!X2</f>
        <v>2030</v>
      </c>
      <c r="Y4" s="55">
        <f>Calc!Y2</f>
        <v>2031</v>
      </c>
      <c r="Z4" s="55">
        <f>Calc!Z2</f>
        <v>2032</v>
      </c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  <c r="JF4" s="37"/>
      <c r="JG4" s="37"/>
      <c r="JH4" s="37"/>
      <c r="JI4" s="37"/>
      <c r="JJ4" s="37"/>
      <c r="JK4" s="37"/>
      <c r="JL4" s="37"/>
      <c r="JM4" s="37"/>
      <c r="JN4" s="37"/>
      <c r="JO4" s="37"/>
      <c r="JP4" s="37"/>
      <c r="JQ4" s="37"/>
      <c r="JR4" s="37"/>
      <c r="JS4" s="37"/>
      <c r="JT4" s="37"/>
      <c r="JU4" s="37"/>
      <c r="JV4" s="37"/>
      <c r="JW4" s="37"/>
      <c r="JX4" s="37"/>
      <c r="JY4" s="37"/>
      <c r="JZ4" s="37"/>
      <c r="KA4" s="37"/>
      <c r="KB4" s="37"/>
      <c r="KC4" s="37"/>
      <c r="KD4" s="37"/>
      <c r="KE4" s="37"/>
      <c r="KF4" s="37"/>
      <c r="KG4" s="37"/>
      <c r="KH4" s="37"/>
      <c r="KI4" s="37"/>
      <c r="KJ4" s="37"/>
      <c r="KK4" s="37"/>
      <c r="KL4" s="37"/>
      <c r="KM4" s="37"/>
      <c r="KN4" s="37"/>
      <c r="KO4" s="37"/>
      <c r="KP4" s="37"/>
      <c r="KQ4" s="37"/>
      <c r="KR4" s="37"/>
      <c r="KS4" s="37"/>
      <c r="KT4" s="37"/>
      <c r="KU4" s="37"/>
      <c r="KV4" s="37"/>
      <c r="KW4" s="37"/>
      <c r="KX4" s="37"/>
      <c r="KY4" s="37"/>
      <c r="KZ4" s="37"/>
      <c r="LA4" s="37"/>
      <c r="LB4" s="37"/>
      <c r="LC4" s="37"/>
      <c r="LD4" s="37"/>
      <c r="LE4" s="37"/>
      <c r="LF4" s="37"/>
      <c r="LG4" s="37"/>
      <c r="LH4" s="37"/>
      <c r="LI4" s="37"/>
      <c r="LJ4" s="37"/>
      <c r="LK4" s="37"/>
      <c r="LL4" s="37"/>
      <c r="LM4" s="37"/>
      <c r="LN4" s="37"/>
      <c r="LO4" s="37"/>
      <c r="LP4" s="37"/>
      <c r="LQ4" s="37"/>
      <c r="LR4" s="37"/>
      <c r="LS4" s="37"/>
      <c r="LT4" s="37"/>
      <c r="LU4" s="37"/>
      <c r="LV4" s="37"/>
      <c r="LW4" s="37"/>
      <c r="LX4" s="37"/>
      <c r="LY4" s="37"/>
      <c r="LZ4" s="37"/>
      <c r="MA4" s="37"/>
      <c r="MB4" s="37"/>
      <c r="MC4" s="37"/>
      <c r="MD4" s="37"/>
      <c r="ME4" s="37"/>
      <c r="MF4" s="37"/>
      <c r="MG4" s="37"/>
      <c r="MH4" s="37"/>
      <c r="MI4" s="37"/>
      <c r="MJ4" s="37"/>
      <c r="MK4" s="37"/>
      <c r="ML4" s="37"/>
      <c r="MM4" s="37"/>
      <c r="MN4" s="37"/>
      <c r="MO4" s="37"/>
      <c r="MP4" s="37"/>
      <c r="MQ4" s="37"/>
      <c r="MR4" s="37"/>
      <c r="MS4" s="37"/>
      <c r="MT4" s="37"/>
      <c r="MU4" s="37"/>
      <c r="MV4" s="37"/>
      <c r="MW4" s="37"/>
      <c r="MX4" s="37"/>
      <c r="MY4" s="37"/>
      <c r="MZ4" s="37"/>
      <c r="NA4" s="37"/>
      <c r="NB4" s="37"/>
      <c r="NC4" s="37"/>
      <c r="ND4" s="37"/>
      <c r="NE4" s="37"/>
      <c r="NF4" s="37"/>
      <c r="NG4" s="37"/>
      <c r="NH4" s="37"/>
      <c r="NI4" s="37"/>
      <c r="NJ4" s="37"/>
      <c r="NK4" s="37"/>
      <c r="NL4" s="37"/>
      <c r="NM4" s="37"/>
      <c r="NN4" s="37"/>
      <c r="NO4" s="37"/>
      <c r="NP4" s="37"/>
      <c r="NQ4" s="37"/>
      <c r="NR4" s="37"/>
      <c r="NS4" s="37"/>
      <c r="NT4" s="37"/>
      <c r="NU4" s="37"/>
      <c r="NV4" s="37"/>
      <c r="NW4" s="37"/>
      <c r="NX4" s="37"/>
      <c r="NY4" s="37"/>
      <c r="NZ4" s="37"/>
      <c r="OA4" s="37"/>
      <c r="OB4" s="37"/>
      <c r="OC4" s="37"/>
      <c r="OD4" s="37"/>
      <c r="OE4" s="37"/>
      <c r="OF4" s="37"/>
      <c r="OG4" s="37"/>
      <c r="OH4" s="37"/>
      <c r="OI4" s="37"/>
      <c r="OJ4" s="37"/>
      <c r="OK4" s="37"/>
      <c r="OL4" s="37"/>
      <c r="OM4" s="37"/>
      <c r="ON4" s="37"/>
      <c r="OO4" s="37"/>
      <c r="OP4" s="37"/>
      <c r="OQ4" s="37"/>
      <c r="OR4" s="37"/>
      <c r="OS4" s="37"/>
      <c r="OT4" s="37"/>
      <c r="OU4" s="37"/>
      <c r="OV4" s="37"/>
      <c r="OW4" s="37"/>
      <c r="OX4" s="37"/>
      <c r="OY4" s="37"/>
      <c r="OZ4" s="37"/>
      <c r="PA4" s="37"/>
      <c r="PB4" s="37"/>
      <c r="PC4" s="37"/>
      <c r="PD4" s="37"/>
      <c r="PE4" s="37"/>
      <c r="PF4" s="37"/>
      <c r="PG4" s="37"/>
      <c r="PH4" s="37"/>
      <c r="PI4" s="37"/>
      <c r="PJ4" s="37"/>
      <c r="PK4" s="37"/>
      <c r="PL4" s="37"/>
      <c r="PM4" s="37"/>
      <c r="PN4" s="37"/>
      <c r="PO4" s="37"/>
      <c r="PP4" s="37"/>
      <c r="PQ4" s="37"/>
      <c r="PR4" s="37"/>
      <c r="PS4" s="37"/>
      <c r="PT4" s="37"/>
      <c r="PU4" s="37"/>
      <c r="PV4" s="37"/>
      <c r="PW4" s="37"/>
      <c r="PX4" s="37"/>
      <c r="PY4" s="37"/>
      <c r="PZ4" s="37"/>
      <c r="QA4" s="37"/>
      <c r="QB4" s="37"/>
      <c r="QC4" s="37"/>
      <c r="QD4" s="37"/>
      <c r="QE4" s="37"/>
      <c r="QF4" s="37"/>
      <c r="QG4" s="37"/>
      <c r="QH4" s="37"/>
      <c r="QI4" s="37"/>
      <c r="QJ4" s="37"/>
      <c r="QK4" s="37"/>
      <c r="QL4" s="37"/>
      <c r="QM4" s="37"/>
      <c r="QN4" s="37"/>
      <c r="QO4" s="37"/>
      <c r="QP4" s="37"/>
      <c r="QQ4" s="37"/>
      <c r="QR4" s="37"/>
      <c r="QS4" s="37"/>
      <c r="QT4" s="37"/>
      <c r="QU4" s="37"/>
      <c r="QV4" s="37"/>
      <c r="QW4" s="37"/>
      <c r="QX4" s="37"/>
      <c r="QY4" s="37"/>
      <c r="QZ4" s="37"/>
      <c r="RA4" s="37"/>
      <c r="RB4" s="37"/>
      <c r="RC4" s="37"/>
      <c r="RD4" s="37"/>
      <c r="RE4" s="37"/>
      <c r="RF4" s="37"/>
      <c r="RG4" s="37"/>
      <c r="RH4" s="37"/>
      <c r="RI4" s="37"/>
      <c r="RJ4" s="37"/>
      <c r="RK4" s="37"/>
      <c r="RL4" s="37"/>
      <c r="RM4" s="37"/>
      <c r="RN4" s="37"/>
      <c r="RO4" s="37"/>
      <c r="RP4" s="37"/>
      <c r="RQ4" s="37"/>
      <c r="RR4" s="37"/>
      <c r="RS4" s="37"/>
      <c r="RT4" s="37"/>
      <c r="RU4" s="37"/>
      <c r="RV4" s="37"/>
      <c r="RW4" s="37"/>
      <c r="RX4" s="37"/>
      <c r="RY4" s="37"/>
      <c r="RZ4" s="37"/>
      <c r="SA4" s="37"/>
      <c r="SB4" s="37"/>
      <c r="SC4" s="37"/>
      <c r="SD4" s="37"/>
      <c r="SE4" s="37"/>
      <c r="SF4" s="37"/>
      <c r="SG4" s="37"/>
      <c r="SH4" s="37"/>
      <c r="SI4" s="37"/>
      <c r="SJ4" s="37"/>
      <c r="SK4" s="37"/>
      <c r="SL4" s="37"/>
      <c r="SM4" s="37"/>
      <c r="SN4" s="37"/>
      <c r="SO4" s="37"/>
      <c r="SP4" s="37"/>
      <c r="SQ4" s="37"/>
      <c r="SR4" s="37"/>
      <c r="SS4" s="37"/>
      <c r="ST4" s="37"/>
      <c r="SU4" s="37"/>
      <c r="SV4" s="37"/>
      <c r="SW4" s="37"/>
      <c r="SX4" s="37"/>
      <c r="SY4" s="37"/>
      <c r="SZ4" s="37"/>
      <c r="TA4" s="37"/>
      <c r="TB4" s="37"/>
      <c r="TC4" s="37"/>
      <c r="TD4" s="37"/>
      <c r="TE4" s="37"/>
      <c r="TF4" s="37"/>
      <c r="TG4" s="37"/>
      <c r="TH4" s="37"/>
      <c r="TI4" s="37"/>
      <c r="TJ4" s="37"/>
      <c r="TK4" s="37"/>
      <c r="TL4" s="37"/>
      <c r="TM4" s="37"/>
      <c r="TN4" s="37"/>
      <c r="TO4" s="37"/>
      <c r="TP4" s="37"/>
      <c r="TQ4" s="37"/>
      <c r="TR4" s="37"/>
      <c r="TS4" s="37"/>
      <c r="TT4" s="37"/>
      <c r="TU4" s="37"/>
      <c r="TV4" s="37"/>
      <c r="TW4" s="37"/>
      <c r="TX4" s="37"/>
      <c r="TY4" s="37"/>
      <c r="TZ4" s="37"/>
      <c r="UA4" s="37"/>
      <c r="UB4" s="37"/>
      <c r="UC4" s="37"/>
      <c r="UD4" s="37"/>
      <c r="UE4" s="37"/>
      <c r="UF4" s="37"/>
      <c r="UG4" s="37"/>
      <c r="UH4" s="37"/>
      <c r="UI4" s="37"/>
      <c r="UJ4" s="37"/>
      <c r="UK4" s="37"/>
      <c r="UL4" s="37"/>
      <c r="UM4" s="37"/>
      <c r="UN4" s="37"/>
      <c r="UO4" s="37"/>
      <c r="UP4" s="37"/>
      <c r="UQ4" s="37"/>
      <c r="UR4" s="37"/>
      <c r="US4" s="37"/>
      <c r="UT4" s="37"/>
      <c r="UU4" s="37"/>
      <c r="UV4" s="37"/>
      <c r="UW4" s="37"/>
      <c r="UX4" s="37"/>
      <c r="UY4" s="37"/>
      <c r="UZ4" s="37"/>
      <c r="VA4" s="37"/>
      <c r="VB4" s="37"/>
      <c r="VC4" s="37"/>
      <c r="VD4" s="37"/>
      <c r="VE4" s="37"/>
      <c r="VF4" s="37"/>
      <c r="VG4" s="37"/>
      <c r="VH4" s="37"/>
      <c r="VI4" s="37"/>
      <c r="VJ4" s="37"/>
      <c r="VK4" s="37"/>
      <c r="VL4" s="37"/>
      <c r="VM4" s="37"/>
      <c r="VN4" s="37"/>
      <c r="VO4" s="37"/>
      <c r="VP4" s="37"/>
      <c r="VQ4" s="37"/>
      <c r="VR4" s="37"/>
      <c r="VS4" s="37"/>
      <c r="VT4" s="37"/>
      <c r="VU4" s="37"/>
      <c r="VV4" s="37"/>
      <c r="VW4" s="37"/>
      <c r="VX4" s="37"/>
      <c r="VY4" s="37"/>
      <c r="VZ4" s="37"/>
      <c r="WA4" s="37"/>
      <c r="WB4" s="37"/>
      <c r="WC4" s="37"/>
      <c r="WD4" s="37"/>
      <c r="WE4" s="37"/>
      <c r="WF4" s="37"/>
      <c r="WG4" s="37"/>
      <c r="WH4" s="37"/>
      <c r="WI4" s="37"/>
      <c r="WJ4" s="37"/>
      <c r="WK4" s="37"/>
      <c r="WL4" s="37"/>
      <c r="WM4" s="37"/>
      <c r="WN4" s="37"/>
      <c r="WO4" s="37"/>
      <c r="WP4" s="37"/>
      <c r="WQ4" s="37"/>
      <c r="WR4" s="37"/>
      <c r="WS4" s="37"/>
      <c r="WT4" s="37"/>
      <c r="WU4" s="37"/>
      <c r="WV4" s="37"/>
      <c r="WW4" s="37"/>
      <c r="WX4" s="37"/>
      <c r="WY4" s="37"/>
      <c r="WZ4" s="37"/>
      <c r="XA4" s="37"/>
      <c r="XB4" s="37"/>
      <c r="XC4" s="37"/>
      <c r="XD4" s="37"/>
      <c r="XE4" s="37"/>
      <c r="XF4" s="37"/>
      <c r="XG4" s="37"/>
      <c r="XH4" s="37"/>
      <c r="XI4" s="37"/>
      <c r="XJ4" s="37"/>
      <c r="XK4" s="37"/>
      <c r="XL4" s="37"/>
      <c r="XM4" s="37"/>
      <c r="XN4" s="37"/>
      <c r="XO4" s="37"/>
      <c r="XP4" s="37"/>
      <c r="XQ4" s="37"/>
      <c r="XR4" s="37"/>
      <c r="XS4" s="37"/>
      <c r="XT4" s="37"/>
      <c r="XU4" s="37"/>
      <c r="XV4" s="37"/>
      <c r="XW4" s="37"/>
      <c r="XX4" s="37"/>
      <c r="XY4" s="37"/>
      <c r="XZ4" s="37"/>
      <c r="YA4" s="37"/>
      <c r="YB4" s="37"/>
      <c r="YC4" s="37"/>
      <c r="YD4" s="37"/>
      <c r="YE4" s="37"/>
      <c r="YF4" s="37"/>
      <c r="YG4" s="37"/>
      <c r="YH4" s="37"/>
      <c r="YI4" s="37"/>
      <c r="YJ4" s="37"/>
      <c r="YK4" s="37"/>
      <c r="YL4" s="37"/>
      <c r="YM4" s="37"/>
      <c r="YN4" s="37"/>
      <c r="YO4" s="37"/>
      <c r="YP4" s="37"/>
      <c r="YQ4" s="37"/>
      <c r="YR4" s="37"/>
      <c r="YS4" s="37"/>
      <c r="YT4" s="37"/>
      <c r="YU4" s="37"/>
      <c r="YV4" s="37"/>
      <c r="YW4" s="37"/>
      <c r="YX4" s="37"/>
      <c r="YY4" s="37"/>
      <c r="YZ4" s="37"/>
      <c r="ZA4" s="37"/>
      <c r="ZB4" s="37"/>
      <c r="ZC4" s="37"/>
      <c r="ZD4" s="37"/>
      <c r="ZE4" s="37"/>
      <c r="ZF4" s="37"/>
      <c r="ZG4" s="37"/>
      <c r="ZH4" s="37"/>
      <c r="ZI4" s="37"/>
      <c r="ZJ4" s="37"/>
      <c r="ZK4" s="37"/>
      <c r="ZL4" s="37"/>
      <c r="ZM4" s="37"/>
      <c r="ZN4" s="37"/>
      <c r="ZO4" s="37"/>
      <c r="ZP4" s="37"/>
      <c r="ZQ4" s="37"/>
      <c r="ZR4" s="37"/>
      <c r="ZS4" s="37"/>
      <c r="ZT4" s="37"/>
      <c r="ZU4" s="37"/>
      <c r="ZV4" s="37"/>
      <c r="ZW4" s="37"/>
      <c r="ZX4" s="37"/>
      <c r="ZY4" s="37"/>
      <c r="ZZ4" s="37"/>
      <c r="AAA4" s="37"/>
      <c r="AAB4" s="37"/>
      <c r="AAC4" s="37"/>
      <c r="AAD4" s="37"/>
      <c r="AAE4" s="37"/>
      <c r="AAF4" s="37"/>
      <c r="AAG4" s="37"/>
      <c r="AAH4" s="37"/>
      <c r="AAI4" s="37"/>
      <c r="AAJ4" s="37"/>
      <c r="AAK4" s="37"/>
      <c r="AAL4" s="37"/>
      <c r="AAM4" s="37"/>
      <c r="AAN4" s="37"/>
      <c r="AAO4" s="37"/>
      <c r="AAP4" s="37"/>
      <c r="AAQ4" s="37"/>
      <c r="AAR4" s="37"/>
      <c r="AAS4" s="37"/>
      <c r="AAT4" s="37"/>
      <c r="AAU4" s="37"/>
      <c r="AAV4" s="37"/>
      <c r="AAW4" s="37"/>
      <c r="AAX4" s="37"/>
      <c r="AAY4" s="37"/>
      <c r="AAZ4" s="37"/>
      <c r="ABA4" s="37"/>
      <c r="ABB4" s="37"/>
      <c r="ABC4" s="37"/>
      <c r="ABD4" s="37"/>
      <c r="ABE4" s="37"/>
      <c r="ABF4" s="37"/>
      <c r="ABG4" s="37"/>
      <c r="ABH4" s="37"/>
      <c r="ABI4" s="37"/>
      <c r="ABJ4" s="37"/>
      <c r="ABK4" s="37"/>
      <c r="ABL4" s="37"/>
      <c r="ABM4" s="37"/>
      <c r="ABN4" s="37"/>
      <c r="ABO4" s="37"/>
      <c r="ABP4" s="37"/>
      <c r="ABQ4" s="37"/>
      <c r="ABR4" s="37"/>
      <c r="ABS4" s="37"/>
      <c r="ABT4" s="37"/>
      <c r="ABU4" s="37"/>
      <c r="ABV4" s="37"/>
      <c r="ABW4" s="37"/>
      <c r="ABX4" s="37"/>
      <c r="ABY4" s="37"/>
      <c r="ABZ4" s="37"/>
      <c r="ACA4" s="37"/>
      <c r="ACB4" s="37"/>
      <c r="ACC4" s="37"/>
      <c r="ACD4" s="37"/>
      <c r="ACE4" s="37"/>
      <c r="ACF4" s="37"/>
      <c r="ACG4" s="37"/>
      <c r="ACH4" s="37"/>
      <c r="ACI4" s="37"/>
      <c r="ACJ4" s="37"/>
      <c r="ACK4" s="37"/>
      <c r="ACL4" s="37"/>
      <c r="ACM4" s="37"/>
      <c r="ACN4" s="37"/>
      <c r="ACO4" s="37"/>
      <c r="ACP4" s="37"/>
      <c r="ACQ4" s="37"/>
      <c r="ACR4" s="37"/>
      <c r="ACS4" s="37"/>
      <c r="ACT4" s="37"/>
      <c r="ACU4" s="37"/>
      <c r="ACV4" s="37"/>
      <c r="ACW4" s="37"/>
      <c r="ACX4" s="37"/>
      <c r="ACY4" s="37"/>
      <c r="ACZ4" s="37"/>
      <c r="ADA4" s="37"/>
      <c r="ADB4" s="37"/>
      <c r="ADC4" s="37"/>
      <c r="ADD4" s="37"/>
      <c r="ADE4" s="37"/>
      <c r="ADF4" s="37"/>
      <c r="ADG4" s="37"/>
      <c r="ADH4" s="37"/>
      <c r="ADI4" s="37"/>
      <c r="ADJ4" s="37"/>
      <c r="ADK4" s="37"/>
      <c r="ADL4" s="37"/>
      <c r="ADM4" s="37"/>
      <c r="ADN4" s="37"/>
      <c r="ADO4" s="37"/>
      <c r="ADP4" s="37"/>
      <c r="ADQ4" s="37"/>
      <c r="ADR4" s="37"/>
      <c r="ADS4" s="37"/>
      <c r="ADT4" s="37"/>
      <c r="ADU4" s="37"/>
      <c r="ADV4" s="37"/>
      <c r="ADW4" s="37"/>
      <c r="ADX4" s="37"/>
      <c r="ADY4" s="37"/>
      <c r="ADZ4" s="37"/>
      <c r="AEA4" s="37"/>
      <c r="AEB4" s="37"/>
      <c r="AEC4" s="37"/>
      <c r="AED4" s="37"/>
      <c r="AEE4" s="37"/>
      <c r="AEF4" s="37"/>
      <c r="AEG4" s="37"/>
      <c r="AEH4" s="37"/>
      <c r="AEI4" s="37"/>
      <c r="AEJ4" s="37"/>
      <c r="AEK4" s="37"/>
      <c r="AEL4" s="37"/>
      <c r="AEM4" s="37"/>
      <c r="AEN4" s="37"/>
      <c r="AEO4" s="37"/>
      <c r="AEP4" s="37"/>
      <c r="AEQ4" s="37"/>
      <c r="AER4" s="37"/>
      <c r="AES4" s="37"/>
      <c r="AET4" s="37"/>
      <c r="AEU4" s="37"/>
      <c r="AEV4" s="37"/>
      <c r="AEW4" s="37"/>
      <c r="AEX4" s="37"/>
      <c r="AEY4" s="37"/>
      <c r="AEZ4" s="37"/>
      <c r="AFA4" s="37"/>
      <c r="AFB4" s="37"/>
      <c r="AFC4" s="37"/>
      <c r="AFD4" s="37"/>
      <c r="AFE4" s="37"/>
      <c r="AFF4" s="37"/>
      <c r="AFG4" s="37"/>
      <c r="AFH4" s="37"/>
      <c r="AFI4" s="37"/>
      <c r="AFJ4" s="37"/>
      <c r="AFK4" s="37"/>
      <c r="AFL4" s="37"/>
      <c r="AFM4" s="37"/>
      <c r="AFN4" s="37"/>
      <c r="AFO4" s="37"/>
      <c r="AFP4" s="37"/>
      <c r="AFQ4" s="37"/>
      <c r="AFR4" s="37"/>
      <c r="AFS4" s="37"/>
      <c r="AFT4" s="37"/>
      <c r="AFU4" s="37"/>
      <c r="AFV4" s="37"/>
      <c r="AFW4" s="37"/>
      <c r="AFX4" s="37"/>
      <c r="AFY4" s="37"/>
      <c r="AFZ4" s="37"/>
      <c r="AGA4" s="37"/>
      <c r="AGB4" s="37"/>
      <c r="AGC4" s="37"/>
      <c r="AGD4" s="37"/>
      <c r="AGE4" s="37"/>
      <c r="AGF4" s="37"/>
      <c r="AGG4" s="37"/>
      <c r="AGH4" s="37"/>
      <c r="AGI4" s="37"/>
      <c r="AGJ4" s="37"/>
      <c r="AGK4" s="37"/>
      <c r="AGL4" s="37"/>
      <c r="AGM4" s="37"/>
      <c r="AGN4" s="37"/>
      <c r="AGO4" s="37"/>
      <c r="AGP4" s="37"/>
      <c r="AGQ4" s="37"/>
      <c r="AGR4" s="37"/>
      <c r="AGS4" s="37"/>
      <c r="AGT4" s="37"/>
      <c r="AGU4" s="37"/>
      <c r="AGV4" s="37"/>
      <c r="AGW4" s="37"/>
      <c r="AGX4" s="37"/>
      <c r="AGY4" s="37"/>
      <c r="AGZ4" s="37"/>
      <c r="AHA4" s="37"/>
      <c r="AHB4" s="37"/>
      <c r="AHC4" s="37"/>
      <c r="AHD4" s="37"/>
      <c r="AHE4" s="37"/>
      <c r="AHF4" s="37"/>
      <c r="AHG4" s="37"/>
      <c r="AHH4" s="37"/>
      <c r="AHI4" s="37"/>
      <c r="AHJ4" s="37"/>
      <c r="AHK4" s="37"/>
      <c r="AHL4" s="37"/>
      <c r="AHM4" s="37"/>
      <c r="AHN4" s="37"/>
      <c r="AHO4" s="37"/>
      <c r="AHP4" s="37"/>
      <c r="AHQ4" s="37"/>
      <c r="AHR4" s="37"/>
      <c r="AHS4" s="37"/>
      <c r="AHT4" s="37"/>
      <c r="AHU4" s="37"/>
      <c r="AHV4" s="37"/>
      <c r="AHW4" s="37"/>
      <c r="AHX4" s="37"/>
      <c r="AHY4" s="37"/>
      <c r="AHZ4" s="37"/>
      <c r="AIA4" s="37"/>
      <c r="AIB4" s="37"/>
      <c r="AIC4" s="37"/>
      <c r="AID4" s="37"/>
      <c r="AIE4" s="37"/>
      <c r="AIF4" s="37"/>
      <c r="AIG4" s="37"/>
      <c r="AIH4" s="37"/>
      <c r="AII4" s="37"/>
      <c r="AIJ4" s="37"/>
      <c r="AIK4" s="37"/>
      <c r="AIL4" s="37"/>
      <c r="AIM4" s="37"/>
      <c r="AIN4" s="37"/>
      <c r="AIO4" s="37"/>
      <c r="AIP4" s="37"/>
      <c r="AIQ4" s="37"/>
      <c r="AIR4" s="37"/>
      <c r="AIS4" s="37"/>
      <c r="AIT4" s="37"/>
      <c r="AIU4" s="37"/>
      <c r="AIV4" s="37"/>
      <c r="AIW4" s="37"/>
      <c r="AIX4" s="37"/>
      <c r="AIY4" s="37"/>
      <c r="AIZ4" s="37"/>
      <c r="AJA4" s="37"/>
      <c r="AJB4" s="37"/>
      <c r="AJC4" s="37"/>
      <c r="AJD4" s="37"/>
      <c r="AJE4" s="37"/>
      <c r="AJF4" s="37"/>
      <c r="AJG4" s="37"/>
      <c r="AJH4" s="37"/>
      <c r="AJI4" s="37"/>
      <c r="AJJ4" s="37"/>
      <c r="AJK4" s="37"/>
      <c r="AJL4" s="37"/>
      <c r="AJM4" s="37"/>
      <c r="AJN4" s="37"/>
      <c r="AJO4" s="37"/>
      <c r="AJP4" s="37"/>
      <c r="AJQ4" s="37"/>
      <c r="AJR4" s="37"/>
      <c r="AJS4" s="37"/>
      <c r="AJT4" s="37"/>
      <c r="AJU4" s="37"/>
      <c r="AJV4" s="37"/>
      <c r="AJW4" s="37"/>
      <c r="AJX4" s="37"/>
      <c r="AJY4" s="37"/>
      <c r="AJZ4" s="37"/>
      <c r="AKA4" s="37"/>
      <c r="AKB4" s="37"/>
      <c r="AKC4" s="37"/>
      <c r="AKD4" s="37"/>
      <c r="AKE4" s="37"/>
      <c r="AKF4" s="37"/>
      <c r="AKG4" s="37"/>
      <c r="AKH4" s="37"/>
      <c r="AKI4" s="37"/>
      <c r="AKJ4" s="37"/>
      <c r="AKK4" s="37"/>
      <c r="AKL4" s="37"/>
      <c r="AKM4" s="37"/>
      <c r="AKN4" s="37"/>
      <c r="AKO4" s="37"/>
      <c r="AKP4" s="37"/>
      <c r="AKQ4" s="37"/>
      <c r="AKR4" s="37"/>
      <c r="AKS4" s="37"/>
      <c r="AKT4" s="37"/>
      <c r="AKU4" s="37"/>
      <c r="AKV4" s="37"/>
      <c r="AKW4" s="37"/>
      <c r="AKX4" s="37"/>
      <c r="AKY4" s="37"/>
      <c r="AKZ4" s="37"/>
      <c r="ALA4" s="37"/>
      <c r="ALB4" s="37"/>
      <c r="ALC4" s="37"/>
      <c r="ALD4" s="37"/>
      <c r="ALE4" s="37"/>
      <c r="ALF4" s="37"/>
      <c r="ALG4" s="37"/>
      <c r="ALH4" s="37"/>
      <c r="ALI4" s="37"/>
      <c r="ALJ4" s="37"/>
      <c r="ALK4" s="37"/>
      <c r="ALL4" s="37"/>
      <c r="ALM4" s="37"/>
      <c r="ALN4" s="37"/>
      <c r="ALO4" s="37"/>
      <c r="ALP4" s="37"/>
      <c r="ALQ4" s="37"/>
      <c r="ALR4" s="37"/>
      <c r="ALS4" s="37"/>
      <c r="ALT4" s="37"/>
      <c r="ALU4" s="37"/>
      <c r="ALV4" s="37"/>
      <c r="ALW4" s="37"/>
      <c r="ALX4" s="37"/>
      <c r="ALY4" s="37"/>
      <c r="ALZ4" s="37"/>
      <c r="AMA4" s="37"/>
      <c r="AMB4" s="37"/>
      <c r="AMC4" s="37"/>
      <c r="AMD4" s="37"/>
      <c r="AME4" s="37"/>
      <c r="AMF4" s="37"/>
      <c r="AMG4" s="37"/>
      <c r="AMH4" s="37"/>
      <c r="AMI4" s="37"/>
      <c r="AMJ4" s="37"/>
      <c r="AMK4" s="37"/>
      <c r="AML4" s="37"/>
      <c r="AMM4" s="37"/>
      <c r="AMN4" s="37"/>
      <c r="AMO4" s="37"/>
      <c r="AMP4" s="37"/>
      <c r="AMQ4" s="37"/>
      <c r="AMR4" s="37"/>
      <c r="AMS4" s="37"/>
      <c r="AMT4" s="37"/>
      <c r="AMU4" s="37"/>
      <c r="AMV4" s="37"/>
      <c r="AMW4" s="37"/>
      <c r="AMX4" s="37"/>
      <c r="AMY4" s="37"/>
      <c r="AMZ4" s="37"/>
      <c r="ANA4" s="37"/>
      <c r="ANB4" s="37"/>
      <c r="ANC4" s="37"/>
      <c r="AND4" s="37"/>
      <c r="ANE4" s="37"/>
      <c r="ANF4" s="37"/>
      <c r="ANG4" s="37"/>
      <c r="ANH4" s="37"/>
      <c r="ANI4" s="37"/>
      <c r="ANJ4" s="37"/>
      <c r="ANK4" s="37"/>
      <c r="ANL4" s="37"/>
      <c r="ANM4" s="37"/>
      <c r="ANN4" s="37"/>
      <c r="ANO4" s="37"/>
      <c r="ANP4" s="37"/>
      <c r="ANQ4" s="37"/>
      <c r="ANR4" s="37"/>
      <c r="ANS4" s="37"/>
      <c r="ANT4" s="37"/>
      <c r="ANU4" s="37"/>
      <c r="ANV4" s="37"/>
      <c r="ANW4" s="37"/>
      <c r="ANX4" s="37"/>
      <c r="ANY4" s="37"/>
      <c r="ANZ4" s="37"/>
      <c r="AOA4" s="37"/>
      <c r="AOB4" s="37"/>
      <c r="AOC4" s="37"/>
      <c r="AOD4" s="37"/>
      <c r="AOE4" s="37"/>
      <c r="AOF4" s="37"/>
      <c r="AOG4" s="37"/>
      <c r="AOH4" s="37"/>
      <c r="AOI4" s="37"/>
      <c r="AOJ4" s="37"/>
      <c r="AOK4" s="37"/>
      <c r="AOL4" s="37"/>
      <c r="AOM4" s="37"/>
      <c r="AON4" s="37"/>
      <c r="AOO4" s="37"/>
      <c r="AOP4" s="37"/>
      <c r="AOQ4" s="37"/>
      <c r="AOR4" s="37"/>
      <c r="AOS4" s="37"/>
      <c r="AOT4" s="37"/>
      <c r="AOU4" s="37"/>
      <c r="AOV4" s="37"/>
      <c r="AOW4" s="37"/>
      <c r="AOX4" s="37"/>
      <c r="AOY4" s="37"/>
      <c r="AOZ4" s="37"/>
      <c r="APA4" s="37"/>
      <c r="APB4" s="37"/>
      <c r="APC4" s="37"/>
      <c r="APD4" s="37"/>
      <c r="APE4" s="37"/>
      <c r="APF4" s="37"/>
      <c r="APG4" s="37"/>
      <c r="APH4" s="37"/>
      <c r="API4" s="37"/>
      <c r="APJ4" s="37"/>
      <c r="APK4" s="37"/>
      <c r="APL4" s="37"/>
      <c r="APM4" s="37"/>
      <c r="APN4" s="37"/>
      <c r="APO4" s="37"/>
      <c r="APP4" s="37"/>
      <c r="APQ4" s="37"/>
      <c r="APR4" s="37"/>
      <c r="APS4" s="37"/>
      <c r="APT4" s="37"/>
      <c r="APU4" s="37"/>
      <c r="APV4" s="37"/>
      <c r="APW4" s="37"/>
      <c r="APX4" s="37"/>
      <c r="APY4" s="37"/>
      <c r="APZ4" s="37"/>
      <c r="AQA4" s="37"/>
      <c r="AQB4" s="37"/>
      <c r="AQC4" s="37"/>
      <c r="AQD4" s="37"/>
      <c r="AQE4" s="37"/>
      <c r="AQF4" s="37"/>
      <c r="AQG4" s="37"/>
      <c r="AQH4" s="37"/>
      <c r="AQI4" s="37"/>
      <c r="AQJ4" s="37"/>
      <c r="AQK4" s="37"/>
      <c r="AQL4" s="37"/>
      <c r="AQM4" s="37"/>
      <c r="AQN4" s="37"/>
      <c r="AQO4" s="37"/>
      <c r="AQP4" s="37"/>
      <c r="AQQ4" s="37"/>
      <c r="AQR4" s="37"/>
      <c r="AQS4" s="37"/>
      <c r="AQT4" s="37"/>
      <c r="AQU4" s="37"/>
      <c r="AQV4" s="37"/>
      <c r="AQW4" s="37"/>
      <c r="AQX4" s="37"/>
      <c r="AQY4" s="37"/>
      <c r="AQZ4" s="37"/>
      <c r="ARA4" s="37"/>
      <c r="ARB4" s="37"/>
      <c r="ARC4" s="37"/>
      <c r="ARD4" s="37"/>
      <c r="ARE4" s="37"/>
      <c r="ARF4" s="37"/>
      <c r="ARG4" s="37"/>
      <c r="ARH4" s="37"/>
      <c r="ARI4" s="37"/>
      <c r="ARJ4" s="37"/>
      <c r="ARK4" s="37"/>
      <c r="ARL4" s="37"/>
      <c r="ARM4" s="37"/>
      <c r="ARN4" s="37"/>
      <c r="ARO4" s="37"/>
      <c r="ARP4" s="37"/>
      <c r="ARQ4" s="37"/>
      <c r="ARR4" s="37"/>
      <c r="ARS4" s="37"/>
      <c r="ART4" s="37"/>
      <c r="ARU4" s="37"/>
      <c r="ARV4" s="37"/>
      <c r="ARW4" s="37"/>
      <c r="ARX4" s="37"/>
      <c r="ARY4" s="37"/>
      <c r="ARZ4" s="37"/>
      <c r="ASA4" s="37"/>
      <c r="ASB4" s="37"/>
      <c r="ASC4" s="37"/>
      <c r="ASD4" s="37"/>
      <c r="ASE4" s="37"/>
      <c r="ASF4" s="37"/>
      <c r="ASG4" s="37"/>
      <c r="ASH4" s="37"/>
      <c r="ASI4" s="37"/>
      <c r="ASJ4" s="37"/>
      <c r="ASK4" s="37"/>
      <c r="ASL4" s="37"/>
      <c r="ASM4" s="37"/>
      <c r="ASN4" s="37"/>
      <c r="ASO4" s="37"/>
      <c r="ASP4" s="37"/>
      <c r="ASQ4" s="37"/>
      <c r="ASR4" s="37"/>
      <c r="ASS4" s="37"/>
      <c r="AST4" s="37"/>
      <c r="ASU4" s="37"/>
      <c r="ASV4" s="37"/>
      <c r="ASW4" s="37"/>
      <c r="ASX4" s="37"/>
      <c r="ASY4" s="37"/>
      <c r="ASZ4" s="37"/>
      <c r="ATA4" s="37"/>
      <c r="ATB4" s="37"/>
      <c r="ATC4" s="37"/>
      <c r="ATD4" s="37"/>
      <c r="ATE4" s="37"/>
      <c r="ATF4" s="37"/>
      <c r="ATG4" s="37"/>
      <c r="ATH4" s="37"/>
      <c r="ATI4" s="37"/>
      <c r="ATJ4" s="37"/>
      <c r="ATK4" s="37"/>
      <c r="ATL4" s="37"/>
      <c r="ATM4" s="37"/>
      <c r="ATN4" s="37"/>
      <c r="ATO4" s="37"/>
      <c r="ATP4" s="37"/>
      <c r="ATQ4" s="37"/>
      <c r="ATR4" s="37"/>
      <c r="ATS4" s="37"/>
      <c r="ATT4" s="37"/>
      <c r="ATU4" s="37"/>
      <c r="ATV4" s="37"/>
      <c r="ATW4" s="37"/>
      <c r="ATX4" s="37"/>
      <c r="ATY4" s="37"/>
      <c r="ATZ4" s="37"/>
      <c r="AUA4" s="37"/>
      <c r="AUB4" s="37"/>
      <c r="AUC4" s="37"/>
      <c r="AUD4" s="37"/>
      <c r="AUE4" s="37"/>
      <c r="AUF4" s="37"/>
      <c r="AUG4" s="37"/>
      <c r="AUH4" s="37"/>
      <c r="AUI4" s="37"/>
      <c r="AUJ4" s="37"/>
      <c r="AUK4" s="37"/>
      <c r="AUL4" s="37"/>
      <c r="AUM4" s="37"/>
      <c r="AUN4" s="37"/>
      <c r="AUO4" s="37"/>
      <c r="AUP4" s="37"/>
      <c r="AUQ4" s="37"/>
      <c r="AUR4" s="37"/>
      <c r="AUS4" s="37"/>
      <c r="AUT4" s="37"/>
      <c r="AUU4" s="37"/>
      <c r="AUV4" s="37"/>
      <c r="AUW4" s="37"/>
      <c r="AUX4" s="37"/>
      <c r="AUY4" s="37"/>
      <c r="AUZ4" s="37"/>
      <c r="AVA4" s="37"/>
      <c r="AVB4" s="37"/>
      <c r="AVC4" s="37"/>
      <c r="AVD4" s="37"/>
      <c r="AVE4" s="37"/>
      <c r="AVF4" s="37"/>
      <c r="AVG4" s="37"/>
      <c r="AVH4" s="37"/>
      <c r="AVI4" s="37"/>
      <c r="AVJ4" s="37"/>
      <c r="AVK4" s="37"/>
      <c r="AVL4" s="37"/>
      <c r="AVM4" s="37"/>
      <c r="AVN4" s="37"/>
      <c r="AVO4" s="37"/>
      <c r="AVP4" s="37"/>
      <c r="AVQ4" s="37"/>
      <c r="AVR4" s="37"/>
      <c r="AVS4" s="37"/>
      <c r="AVT4" s="37"/>
      <c r="AVU4" s="37"/>
      <c r="AVV4" s="37"/>
      <c r="AVW4" s="37"/>
      <c r="AVX4" s="37"/>
      <c r="AVY4" s="37"/>
      <c r="AVZ4" s="37"/>
      <c r="AWA4" s="37"/>
      <c r="AWB4" s="37"/>
      <c r="AWC4" s="37"/>
      <c r="AWD4" s="37"/>
      <c r="AWE4" s="37"/>
      <c r="AWF4" s="37"/>
      <c r="AWG4" s="37"/>
      <c r="AWH4" s="37"/>
      <c r="AWI4" s="37"/>
      <c r="AWJ4" s="37"/>
      <c r="AWK4" s="37"/>
      <c r="AWL4" s="37"/>
      <c r="AWM4" s="37"/>
      <c r="AWN4" s="37"/>
      <c r="AWO4" s="37"/>
      <c r="AWP4" s="37"/>
      <c r="AWQ4" s="37"/>
      <c r="AWR4" s="37"/>
      <c r="AWS4" s="37"/>
      <c r="AWT4" s="37"/>
      <c r="AWU4" s="37"/>
      <c r="AWV4" s="37"/>
      <c r="AWW4" s="37"/>
      <c r="AWX4" s="37"/>
      <c r="AWY4" s="37"/>
      <c r="AWZ4" s="37"/>
      <c r="AXA4" s="37"/>
      <c r="AXB4" s="37"/>
      <c r="AXC4" s="37"/>
      <c r="AXD4" s="37"/>
      <c r="AXE4" s="37"/>
      <c r="AXF4" s="37"/>
      <c r="AXG4" s="37"/>
      <c r="AXH4" s="37"/>
      <c r="AXI4" s="37"/>
      <c r="AXJ4" s="37"/>
      <c r="AXK4" s="37"/>
      <c r="AXL4" s="37"/>
      <c r="AXM4" s="37"/>
      <c r="AXN4" s="37"/>
      <c r="AXO4" s="37"/>
      <c r="AXP4" s="37"/>
      <c r="AXQ4" s="37"/>
      <c r="AXR4" s="37"/>
      <c r="AXS4" s="37"/>
      <c r="AXT4" s="37"/>
      <c r="AXU4" s="37"/>
      <c r="AXV4" s="37"/>
      <c r="AXW4" s="37"/>
      <c r="AXX4" s="37"/>
      <c r="AXY4" s="37"/>
      <c r="AXZ4" s="37"/>
      <c r="AYA4" s="37"/>
      <c r="AYB4" s="37"/>
      <c r="AYC4" s="37"/>
      <c r="AYD4" s="37"/>
      <c r="AYE4" s="37"/>
      <c r="AYF4" s="37"/>
      <c r="AYG4" s="37"/>
      <c r="AYH4" s="37"/>
      <c r="AYI4" s="37"/>
      <c r="AYJ4" s="37"/>
      <c r="AYK4" s="37"/>
      <c r="AYL4" s="37"/>
      <c r="AYM4" s="37"/>
      <c r="AYN4" s="37"/>
      <c r="AYO4" s="37"/>
      <c r="AYP4" s="37"/>
      <c r="AYQ4" s="37"/>
      <c r="AYR4" s="37"/>
      <c r="AYS4" s="37"/>
      <c r="AYT4" s="37"/>
      <c r="AYU4" s="37"/>
      <c r="AYV4" s="37"/>
      <c r="AYW4" s="37"/>
      <c r="AYX4" s="37"/>
      <c r="AYY4" s="37"/>
      <c r="AYZ4" s="37"/>
      <c r="AZA4" s="37"/>
      <c r="AZB4" s="37"/>
      <c r="AZC4" s="37"/>
      <c r="AZD4" s="37"/>
      <c r="AZE4" s="37"/>
      <c r="AZF4" s="37"/>
      <c r="AZG4" s="37"/>
      <c r="AZH4" s="37"/>
      <c r="AZI4" s="37"/>
      <c r="AZJ4" s="37"/>
      <c r="AZK4" s="37"/>
      <c r="AZL4" s="37"/>
      <c r="AZM4" s="37"/>
      <c r="AZN4" s="37"/>
      <c r="AZO4" s="37"/>
      <c r="AZP4" s="37"/>
      <c r="AZQ4" s="37"/>
      <c r="AZR4" s="37"/>
      <c r="AZS4" s="37"/>
      <c r="AZT4" s="37"/>
      <c r="AZU4" s="37"/>
      <c r="AZV4" s="37"/>
      <c r="AZW4" s="37"/>
      <c r="AZX4" s="37"/>
      <c r="AZY4" s="37"/>
      <c r="AZZ4" s="37"/>
      <c r="BAA4" s="37"/>
      <c r="BAB4" s="37"/>
      <c r="BAC4" s="37"/>
      <c r="BAD4" s="37"/>
      <c r="BAE4" s="37"/>
      <c r="BAF4" s="37"/>
      <c r="BAG4" s="37"/>
      <c r="BAH4" s="37"/>
      <c r="BAI4" s="37"/>
      <c r="BAJ4" s="37"/>
      <c r="BAK4" s="37"/>
      <c r="BAL4" s="37"/>
      <c r="BAM4" s="37"/>
      <c r="BAN4" s="37"/>
      <c r="BAO4" s="37"/>
      <c r="BAP4" s="37"/>
      <c r="BAQ4" s="37"/>
      <c r="BAR4" s="37"/>
      <c r="BAS4" s="37"/>
      <c r="BAT4" s="37"/>
      <c r="BAU4" s="37"/>
      <c r="BAV4" s="37"/>
      <c r="BAW4" s="37"/>
      <c r="BAX4" s="37"/>
      <c r="BAY4" s="37"/>
      <c r="BAZ4" s="37"/>
      <c r="BBA4" s="37"/>
      <c r="BBB4" s="37"/>
      <c r="BBC4" s="37"/>
      <c r="BBD4" s="37"/>
      <c r="BBE4" s="37"/>
      <c r="BBF4" s="37"/>
      <c r="BBG4" s="37"/>
      <c r="BBH4" s="37"/>
      <c r="BBI4" s="37"/>
      <c r="BBJ4" s="37"/>
      <c r="BBK4" s="37"/>
      <c r="BBL4" s="37"/>
      <c r="BBM4" s="37"/>
      <c r="BBN4" s="37"/>
      <c r="BBO4" s="37"/>
      <c r="BBP4" s="37"/>
      <c r="BBQ4" s="37"/>
      <c r="BBR4" s="37"/>
      <c r="BBS4" s="37"/>
      <c r="BBT4" s="37"/>
      <c r="BBU4" s="37"/>
      <c r="BBV4" s="37"/>
      <c r="BBW4" s="37"/>
      <c r="BBX4" s="37"/>
      <c r="BBY4" s="37"/>
      <c r="BBZ4" s="37"/>
      <c r="BCA4" s="37"/>
      <c r="BCB4" s="37"/>
      <c r="BCC4" s="37"/>
      <c r="BCD4" s="37"/>
      <c r="BCE4" s="37"/>
      <c r="BCF4" s="37"/>
      <c r="BCG4" s="37"/>
      <c r="BCH4" s="37"/>
      <c r="BCI4" s="37"/>
      <c r="BCJ4" s="37"/>
      <c r="BCK4" s="37"/>
      <c r="BCL4" s="37"/>
      <c r="BCM4" s="37"/>
      <c r="BCN4" s="37"/>
      <c r="BCO4" s="37"/>
      <c r="BCP4" s="37"/>
      <c r="BCQ4" s="37"/>
      <c r="BCR4" s="37"/>
      <c r="BCS4" s="37"/>
      <c r="BCT4" s="37"/>
      <c r="BCU4" s="37"/>
      <c r="BCV4" s="37"/>
      <c r="BCW4" s="37"/>
      <c r="BCX4" s="37"/>
      <c r="BCY4" s="37"/>
      <c r="BCZ4" s="37"/>
      <c r="BDA4" s="37"/>
      <c r="BDB4" s="37"/>
      <c r="BDC4" s="37"/>
      <c r="BDD4" s="37"/>
      <c r="BDE4" s="37"/>
      <c r="BDF4" s="37"/>
      <c r="BDG4" s="37"/>
      <c r="BDH4" s="37"/>
      <c r="BDI4" s="37"/>
      <c r="BDJ4" s="37"/>
      <c r="BDK4" s="37"/>
      <c r="BDL4" s="37"/>
      <c r="BDM4" s="37"/>
      <c r="BDN4" s="37"/>
      <c r="BDO4" s="37"/>
      <c r="BDP4" s="37"/>
      <c r="BDQ4" s="37"/>
      <c r="BDR4" s="37"/>
      <c r="BDS4" s="37"/>
      <c r="BDT4" s="37"/>
      <c r="BDU4" s="37"/>
      <c r="BDV4" s="37"/>
      <c r="BDW4" s="37"/>
      <c r="BDX4" s="37"/>
      <c r="BDY4" s="37"/>
      <c r="BDZ4" s="37"/>
      <c r="BEA4" s="37"/>
      <c r="BEB4" s="37"/>
      <c r="BEC4" s="37"/>
      <c r="BED4" s="37"/>
      <c r="BEE4" s="37"/>
      <c r="BEF4" s="37"/>
      <c r="BEG4" s="37"/>
      <c r="BEH4" s="37"/>
      <c r="BEI4" s="37"/>
      <c r="BEJ4" s="37"/>
      <c r="BEK4" s="37"/>
      <c r="BEL4" s="37"/>
      <c r="BEM4" s="37"/>
      <c r="BEN4" s="37"/>
      <c r="BEO4" s="37"/>
      <c r="BEP4" s="37"/>
      <c r="BEQ4" s="37"/>
      <c r="BER4" s="37"/>
      <c r="BES4" s="37"/>
      <c r="BET4" s="37"/>
      <c r="BEU4" s="37"/>
      <c r="BEV4" s="37"/>
      <c r="BEW4" s="37"/>
      <c r="BEX4" s="37"/>
      <c r="BEY4" s="37"/>
      <c r="BEZ4" s="37"/>
      <c r="BFA4" s="37"/>
      <c r="BFB4" s="37"/>
      <c r="BFC4" s="37"/>
      <c r="BFD4" s="37"/>
      <c r="BFE4" s="37"/>
      <c r="BFF4" s="37"/>
      <c r="BFG4" s="37"/>
      <c r="BFH4" s="37"/>
      <c r="BFI4" s="37"/>
      <c r="BFJ4" s="37"/>
      <c r="BFK4" s="37"/>
      <c r="BFL4" s="37"/>
      <c r="BFM4" s="37"/>
      <c r="BFN4" s="37"/>
      <c r="BFO4" s="37"/>
      <c r="BFP4" s="37"/>
      <c r="BFQ4" s="37"/>
      <c r="BFR4" s="37"/>
      <c r="BFS4" s="37"/>
      <c r="BFT4" s="37"/>
      <c r="BFU4" s="37"/>
      <c r="BFV4" s="37"/>
      <c r="BFW4" s="37"/>
      <c r="BFX4" s="37"/>
      <c r="BFY4" s="37"/>
      <c r="BFZ4" s="37"/>
      <c r="BGA4" s="37"/>
      <c r="BGB4" s="37"/>
      <c r="BGC4" s="37"/>
      <c r="BGD4" s="37"/>
      <c r="BGE4" s="37"/>
      <c r="BGF4" s="37"/>
      <c r="BGG4" s="37"/>
      <c r="BGH4" s="37"/>
      <c r="BGI4" s="37"/>
      <c r="BGJ4" s="37"/>
      <c r="BGK4" s="37"/>
      <c r="BGL4" s="37"/>
      <c r="BGM4" s="37"/>
      <c r="BGN4" s="37"/>
      <c r="BGO4" s="37"/>
      <c r="BGP4" s="37"/>
      <c r="BGQ4" s="37"/>
      <c r="BGR4" s="37"/>
      <c r="BGS4" s="37"/>
      <c r="BGT4" s="37"/>
      <c r="BGU4" s="37"/>
      <c r="BGV4" s="37"/>
      <c r="BGW4" s="37"/>
      <c r="BGX4" s="37"/>
      <c r="BGY4" s="37"/>
      <c r="BGZ4" s="37"/>
      <c r="BHA4" s="37"/>
      <c r="BHB4" s="37"/>
      <c r="BHC4" s="37"/>
      <c r="BHD4" s="37"/>
      <c r="BHE4" s="37"/>
      <c r="BHF4" s="37"/>
      <c r="BHG4" s="37"/>
      <c r="BHH4" s="37"/>
      <c r="BHI4" s="37"/>
      <c r="BHJ4" s="37"/>
      <c r="BHK4" s="37"/>
      <c r="BHL4" s="37"/>
      <c r="BHM4" s="37"/>
      <c r="BHN4" s="37"/>
      <c r="BHO4" s="37"/>
      <c r="BHP4" s="37"/>
      <c r="BHQ4" s="37"/>
      <c r="BHR4" s="37"/>
      <c r="BHS4" s="37"/>
      <c r="BHT4" s="37"/>
      <c r="BHU4" s="37"/>
      <c r="BHV4" s="37"/>
      <c r="BHW4" s="37"/>
      <c r="BHX4" s="37"/>
      <c r="BHY4" s="37"/>
      <c r="BHZ4" s="37"/>
      <c r="BIA4" s="37"/>
      <c r="BIB4" s="37"/>
      <c r="BIC4" s="37"/>
      <c r="BID4" s="37"/>
      <c r="BIE4" s="37"/>
      <c r="BIF4" s="37"/>
      <c r="BIG4" s="37"/>
      <c r="BIH4" s="37"/>
      <c r="BII4" s="37"/>
      <c r="BIJ4" s="37"/>
      <c r="BIK4" s="37"/>
      <c r="BIL4" s="37"/>
      <c r="BIM4" s="37"/>
      <c r="BIN4" s="37"/>
      <c r="BIO4" s="37"/>
      <c r="BIP4" s="37"/>
      <c r="BIQ4" s="37"/>
      <c r="BIR4" s="37"/>
      <c r="BIS4" s="37"/>
      <c r="BIT4" s="37"/>
      <c r="BIU4" s="37"/>
      <c r="BIV4" s="37"/>
      <c r="BIW4" s="37"/>
      <c r="BIX4" s="37"/>
      <c r="BIY4" s="37"/>
      <c r="BIZ4" s="37"/>
      <c r="BJA4" s="37"/>
      <c r="BJB4" s="37"/>
      <c r="BJC4" s="37"/>
      <c r="BJD4" s="37"/>
      <c r="BJE4" s="37"/>
      <c r="BJF4" s="37"/>
      <c r="BJG4" s="37"/>
      <c r="BJH4" s="37"/>
      <c r="BJI4" s="37"/>
      <c r="BJJ4" s="37"/>
      <c r="BJK4" s="37"/>
      <c r="BJL4" s="37"/>
      <c r="BJM4" s="37"/>
      <c r="BJN4" s="37"/>
      <c r="BJO4" s="37"/>
      <c r="BJP4" s="37"/>
      <c r="BJQ4" s="37"/>
      <c r="BJR4" s="37"/>
      <c r="BJS4" s="37"/>
      <c r="BJT4" s="37"/>
      <c r="BJU4" s="37"/>
      <c r="BJV4" s="37"/>
      <c r="BJW4" s="37"/>
      <c r="BJX4" s="37"/>
      <c r="BJY4" s="37"/>
      <c r="BJZ4" s="37"/>
      <c r="BKA4" s="37"/>
      <c r="BKB4" s="37"/>
      <c r="BKC4" s="37"/>
      <c r="BKD4" s="37"/>
      <c r="BKE4" s="37"/>
      <c r="BKF4" s="37"/>
      <c r="BKG4" s="37"/>
      <c r="BKH4" s="37"/>
      <c r="BKI4" s="37"/>
      <c r="BKJ4" s="37"/>
      <c r="BKK4" s="37"/>
      <c r="BKL4" s="37"/>
      <c r="BKM4" s="37"/>
      <c r="BKN4" s="37"/>
      <c r="BKO4" s="37"/>
      <c r="BKP4" s="37"/>
      <c r="BKQ4" s="37"/>
      <c r="BKR4" s="37"/>
      <c r="BKS4" s="37"/>
      <c r="BKT4" s="37"/>
      <c r="BKU4" s="37"/>
      <c r="BKV4" s="37"/>
      <c r="BKW4" s="37"/>
      <c r="BKX4" s="37"/>
      <c r="BKY4" s="37"/>
      <c r="BKZ4" s="37"/>
      <c r="BLA4" s="37"/>
      <c r="BLB4" s="37"/>
      <c r="BLC4" s="37"/>
      <c r="BLD4" s="37"/>
      <c r="BLE4" s="37"/>
      <c r="BLF4" s="37"/>
      <c r="BLG4" s="37"/>
      <c r="BLH4" s="37"/>
      <c r="BLI4" s="37"/>
      <c r="BLJ4" s="37"/>
      <c r="BLK4" s="37"/>
      <c r="BLL4" s="37"/>
      <c r="BLM4" s="37"/>
      <c r="BLN4" s="37"/>
      <c r="BLO4" s="37"/>
      <c r="BLP4" s="37"/>
      <c r="BLQ4" s="37"/>
      <c r="BLR4" s="37"/>
      <c r="BLS4" s="37"/>
      <c r="BLT4" s="37"/>
      <c r="BLU4" s="37"/>
      <c r="BLV4" s="37"/>
      <c r="BLW4" s="37"/>
      <c r="BLX4" s="37"/>
      <c r="BLY4" s="37"/>
      <c r="BLZ4" s="37"/>
      <c r="BMA4" s="37"/>
      <c r="BMB4" s="37"/>
      <c r="BMC4" s="37"/>
      <c r="BMD4" s="37"/>
      <c r="BME4" s="37"/>
      <c r="BMF4" s="37"/>
      <c r="BMG4" s="37"/>
      <c r="BMH4" s="37"/>
      <c r="BMI4" s="37"/>
      <c r="BMJ4" s="37"/>
      <c r="BMK4" s="37"/>
      <c r="BML4" s="37"/>
      <c r="BMM4" s="37"/>
      <c r="BMN4" s="37"/>
      <c r="BMO4" s="37"/>
      <c r="BMP4" s="37"/>
      <c r="BMQ4" s="37"/>
      <c r="BMR4" s="37"/>
      <c r="BMS4" s="37"/>
      <c r="BMT4" s="37"/>
      <c r="BMU4" s="37"/>
      <c r="BMV4" s="37"/>
      <c r="BMW4" s="37"/>
      <c r="BMX4" s="37"/>
      <c r="BMY4" s="37"/>
      <c r="BMZ4" s="37"/>
      <c r="BNA4" s="37"/>
      <c r="BNB4" s="37"/>
      <c r="BNC4" s="37"/>
      <c r="BND4" s="37"/>
      <c r="BNE4" s="37"/>
      <c r="BNF4" s="37"/>
      <c r="BNG4" s="37"/>
      <c r="BNH4" s="37"/>
      <c r="BNI4" s="37"/>
      <c r="BNJ4" s="37"/>
      <c r="BNK4" s="37"/>
      <c r="BNL4" s="37"/>
      <c r="BNM4" s="37"/>
      <c r="BNN4" s="37"/>
      <c r="BNO4" s="37"/>
      <c r="BNP4" s="37"/>
      <c r="BNQ4" s="37"/>
      <c r="BNR4" s="37"/>
      <c r="BNS4" s="37"/>
      <c r="BNT4" s="37"/>
      <c r="BNU4" s="37"/>
      <c r="BNV4" s="37"/>
      <c r="BNW4" s="37"/>
      <c r="BNX4" s="37"/>
      <c r="BNY4" s="37"/>
      <c r="BNZ4" s="37"/>
      <c r="BOA4" s="37"/>
      <c r="BOB4" s="37"/>
      <c r="BOC4" s="37"/>
      <c r="BOD4" s="37"/>
      <c r="BOE4" s="37"/>
      <c r="BOF4" s="37"/>
      <c r="BOG4" s="37"/>
      <c r="BOH4" s="37"/>
      <c r="BOI4" s="37"/>
      <c r="BOJ4" s="37"/>
      <c r="BOK4" s="37"/>
      <c r="BOL4" s="37"/>
      <c r="BOM4" s="37"/>
      <c r="BON4" s="37"/>
      <c r="BOO4" s="37"/>
      <c r="BOP4" s="37"/>
      <c r="BOQ4" s="37"/>
      <c r="BOR4" s="37"/>
      <c r="BOS4" s="37"/>
      <c r="BOT4" s="37"/>
      <c r="BOU4" s="37"/>
      <c r="BOV4" s="37"/>
      <c r="BOW4" s="37"/>
      <c r="BOX4" s="37"/>
      <c r="BOY4" s="37"/>
      <c r="BOZ4" s="37"/>
      <c r="BPA4" s="37"/>
      <c r="BPB4" s="37"/>
      <c r="BPC4" s="37"/>
      <c r="BPD4" s="37"/>
      <c r="BPE4" s="37"/>
      <c r="BPF4" s="37"/>
      <c r="BPG4" s="37"/>
      <c r="BPH4" s="37"/>
      <c r="BPI4" s="37"/>
      <c r="BPJ4" s="37"/>
      <c r="BPK4" s="37"/>
      <c r="BPL4" s="37"/>
      <c r="BPM4" s="37"/>
      <c r="BPN4" s="37"/>
      <c r="BPO4" s="37"/>
      <c r="BPP4" s="37"/>
      <c r="BPQ4" s="37"/>
      <c r="BPR4" s="37"/>
      <c r="BPS4" s="37"/>
      <c r="BPT4" s="37"/>
      <c r="BPU4" s="37"/>
      <c r="BPV4" s="37"/>
      <c r="BPW4" s="37"/>
      <c r="BPX4" s="37"/>
      <c r="BPY4" s="37"/>
      <c r="BPZ4" s="37"/>
      <c r="BQA4" s="37"/>
      <c r="BQB4" s="37"/>
      <c r="BQC4" s="37"/>
      <c r="BQD4" s="37"/>
      <c r="BQE4" s="37"/>
      <c r="BQF4" s="37"/>
      <c r="BQG4" s="37"/>
      <c r="BQH4" s="37"/>
      <c r="BQI4" s="37"/>
      <c r="BQJ4" s="37"/>
      <c r="BQK4" s="37"/>
      <c r="BQL4" s="37"/>
      <c r="BQM4" s="37"/>
      <c r="BQN4" s="37"/>
      <c r="BQO4" s="37"/>
      <c r="BQP4" s="37"/>
      <c r="BQQ4" s="37"/>
      <c r="BQR4" s="37"/>
      <c r="BQS4" s="37"/>
      <c r="BQT4" s="37"/>
      <c r="BQU4" s="37"/>
      <c r="BQV4" s="37"/>
      <c r="BQW4" s="37"/>
      <c r="BQX4" s="37"/>
      <c r="BQY4" s="37"/>
      <c r="BQZ4" s="37"/>
      <c r="BRA4" s="37"/>
      <c r="BRB4" s="37"/>
      <c r="BRC4" s="37"/>
      <c r="BRD4" s="37"/>
      <c r="BRE4" s="37"/>
      <c r="BRF4" s="37"/>
      <c r="BRG4" s="37"/>
      <c r="BRH4" s="37"/>
      <c r="BRI4" s="37"/>
      <c r="BRJ4" s="37"/>
      <c r="BRK4" s="37"/>
      <c r="BRL4" s="37"/>
      <c r="BRM4" s="37"/>
      <c r="BRN4" s="37"/>
      <c r="BRO4" s="37"/>
      <c r="BRP4" s="37"/>
      <c r="BRQ4" s="37"/>
      <c r="BRR4" s="37"/>
      <c r="BRS4" s="37"/>
      <c r="BRT4" s="37"/>
      <c r="BRU4" s="37"/>
      <c r="BRV4" s="37"/>
      <c r="BRW4" s="37"/>
      <c r="BRX4" s="37"/>
      <c r="BRY4" s="37"/>
      <c r="BRZ4" s="37"/>
      <c r="BSA4" s="37"/>
      <c r="BSB4" s="37"/>
      <c r="BSC4" s="37"/>
      <c r="BSD4" s="37"/>
      <c r="BSE4" s="37"/>
      <c r="BSF4" s="37"/>
      <c r="BSG4" s="37"/>
      <c r="BSH4" s="37"/>
      <c r="BSI4" s="37"/>
      <c r="BSJ4" s="37"/>
      <c r="BSK4" s="37"/>
      <c r="BSL4" s="37"/>
      <c r="BSM4" s="37"/>
      <c r="BSN4" s="37"/>
      <c r="BSO4" s="37"/>
      <c r="BSP4" s="37"/>
      <c r="BSQ4" s="37"/>
      <c r="BSR4" s="37"/>
      <c r="BSS4" s="37"/>
      <c r="BST4" s="37"/>
      <c r="BSU4" s="37"/>
      <c r="BSV4" s="37"/>
      <c r="BSW4" s="37"/>
      <c r="BSX4" s="37"/>
      <c r="BSY4" s="37"/>
      <c r="BSZ4" s="37"/>
      <c r="BTA4" s="37"/>
      <c r="BTB4" s="37"/>
      <c r="BTC4" s="37"/>
      <c r="BTD4" s="37"/>
      <c r="BTE4" s="37"/>
      <c r="BTF4" s="37"/>
      <c r="BTG4" s="37"/>
      <c r="BTH4" s="37"/>
      <c r="BTI4" s="37"/>
      <c r="BTJ4" s="37"/>
      <c r="BTK4" s="37"/>
      <c r="BTL4" s="37"/>
      <c r="BTM4" s="37"/>
      <c r="BTN4" s="37"/>
      <c r="BTO4" s="37"/>
      <c r="BTP4" s="37"/>
      <c r="BTQ4" s="37"/>
      <c r="BTR4" s="37"/>
      <c r="BTS4" s="37"/>
      <c r="BTT4" s="37"/>
      <c r="BTU4" s="37"/>
      <c r="BTV4" s="37"/>
      <c r="BTW4" s="37"/>
      <c r="BTX4" s="37"/>
      <c r="BTY4" s="37"/>
      <c r="BTZ4" s="37"/>
      <c r="BUA4" s="37"/>
      <c r="BUB4" s="37"/>
      <c r="BUC4" s="37"/>
      <c r="BUD4" s="37"/>
      <c r="BUE4" s="37"/>
      <c r="BUF4" s="37"/>
      <c r="BUG4" s="37"/>
      <c r="BUH4" s="37"/>
      <c r="BUI4" s="37"/>
      <c r="BUJ4" s="37"/>
      <c r="BUK4" s="37"/>
      <c r="BUL4" s="37"/>
      <c r="BUM4" s="37"/>
      <c r="BUN4" s="37"/>
      <c r="BUO4" s="37"/>
      <c r="BUP4" s="37"/>
      <c r="BUQ4" s="37"/>
      <c r="BUR4" s="37"/>
      <c r="BUS4" s="37"/>
      <c r="BUT4" s="37"/>
      <c r="BUU4" s="37"/>
      <c r="BUV4" s="37"/>
      <c r="BUW4" s="37"/>
      <c r="BUX4" s="37"/>
      <c r="BUY4" s="37"/>
      <c r="BUZ4" s="37"/>
      <c r="BVA4" s="37"/>
      <c r="BVB4" s="37"/>
      <c r="BVC4" s="37"/>
      <c r="BVD4" s="37"/>
      <c r="BVE4" s="37"/>
      <c r="BVF4" s="37"/>
      <c r="BVG4" s="37"/>
      <c r="BVH4" s="37"/>
      <c r="BVI4" s="37"/>
      <c r="BVJ4" s="37"/>
      <c r="BVK4" s="37"/>
      <c r="BVL4" s="37"/>
      <c r="BVM4" s="37"/>
      <c r="BVN4" s="37"/>
      <c r="BVO4" s="37"/>
      <c r="BVP4" s="37"/>
      <c r="BVQ4" s="37"/>
      <c r="BVR4" s="37"/>
      <c r="BVS4" s="37"/>
      <c r="BVT4" s="37"/>
      <c r="BVU4" s="37"/>
      <c r="BVV4" s="37"/>
      <c r="BVW4" s="37"/>
      <c r="BVX4" s="37"/>
      <c r="BVY4" s="37"/>
      <c r="BVZ4" s="37"/>
      <c r="BWA4" s="37"/>
      <c r="BWB4" s="37"/>
      <c r="BWC4" s="37"/>
      <c r="BWD4" s="37"/>
      <c r="BWE4" s="37"/>
      <c r="BWF4" s="37"/>
      <c r="BWG4" s="37"/>
      <c r="BWH4" s="37"/>
      <c r="BWI4" s="37"/>
      <c r="BWJ4" s="37"/>
      <c r="BWK4" s="37"/>
      <c r="BWL4" s="37"/>
      <c r="BWM4" s="37"/>
      <c r="BWN4" s="37"/>
      <c r="BWO4" s="37"/>
      <c r="BWP4" s="37"/>
      <c r="BWQ4" s="37"/>
      <c r="BWR4" s="37"/>
      <c r="BWS4" s="37"/>
      <c r="BWT4" s="37"/>
      <c r="BWU4" s="37"/>
      <c r="BWV4" s="37"/>
      <c r="BWW4" s="37"/>
      <c r="BWX4" s="37"/>
      <c r="BWY4" s="37"/>
      <c r="BWZ4" s="37"/>
      <c r="BXA4" s="37"/>
      <c r="BXB4" s="37"/>
      <c r="BXC4" s="37"/>
      <c r="BXD4" s="37"/>
      <c r="BXE4" s="37"/>
      <c r="BXF4" s="37"/>
      <c r="BXG4" s="37"/>
      <c r="BXH4" s="37"/>
      <c r="BXI4" s="37"/>
      <c r="BXJ4" s="37"/>
      <c r="BXK4" s="37"/>
      <c r="BXL4" s="37"/>
      <c r="BXM4" s="37"/>
      <c r="BXN4" s="37"/>
      <c r="BXO4" s="37"/>
      <c r="BXP4" s="37"/>
      <c r="BXQ4" s="37"/>
      <c r="BXR4" s="37"/>
      <c r="BXS4" s="37"/>
      <c r="BXT4" s="37"/>
      <c r="BXU4" s="37"/>
      <c r="BXV4" s="37"/>
      <c r="BXW4" s="37"/>
      <c r="BXX4" s="37"/>
      <c r="BXY4" s="37"/>
      <c r="BXZ4" s="37"/>
      <c r="BYA4" s="37"/>
      <c r="BYB4" s="37"/>
      <c r="BYC4" s="37"/>
      <c r="BYD4" s="37"/>
      <c r="BYE4" s="37"/>
      <c r="BYF4" s="37"/>
      <c r="BYG4" s="37"/>
      <c r="BYH4" s="37"/>
      <c r="BYI4" s="37"/>
      <c r="BYJ4" s="37"/>
      <c r="BYK4" s="37"/>
      <c r="BYL4" s="37"/>
      <c r="BYM4" s="37"/>
      <c r="BYN4" s="37"/>
      <c r="BYO4" s="37"/>
      <c r="BYP4" s="37"/>
      <c r="BYQ4" s="37"/>
      <c r="BYR4" s="37"/>
      <c r="BYS4" s="37"/>
      <c r="BYT4" s="37"/>
      <c r="BYU4" s="37"/>
      <c r="BYV4" s="37"/>
      <c r="BYW4" s="37"/>
      <c r="BYX4" s="37"/>
      <c r="BYY4" s="37"/>
      <c r="BYZ4" s="37"/>
      <c r="BZA4" s="37"/>
      <c r="BZB4" s="37"/>
      <c r="BZC4" s="37"/>
      <c r="BZD4" s="37"/>
      <c r="BZE4" s="37"/>
      <c r="BZF4" s="37"/>
      <c r="BZG4" s="37"/>
      <c r="BZH4" s="37"/>
      <c r="BZI4" s="37"/>
      <c r="BZJ4" s="37"/>
      <c r="BZK4" s="37"/>
      <c r="BZL4" s="37"/>
      <c r="BZM4" s="37"/>
      <c r="BZN4" s="37"/>
      <c r="BZO4" s="37"/>
      <c r="BZP4" s="37"/>
      <c r="BZQ4" s="37"/>
      <c r="BZR4" s="37"/>
      <c r="BZS4" s="37"/>
      <c r="BZT4" s="37"/>
      <c r="BZU4" s="37"/>
      <c r="BZV4" s="37"/>
      <c r="BZW4" s="37"/>
      <c r="BZX4" s="37"/>
      <c r="BZY4" s="37"/>
      <c r="BZZ4" s="37"/>
      <c r="CAA4" s="37"/>
      <c r="CAB4" s="37"/>
      <c r="CAC4" s="37"/>
      <c r="CAD4" s="37"/>
      <c r="CAE4" s="37"/>
      <c r="CAF4" s="37"/>
      <c r="CAG4" s="37"/>
      <c r="CAH4" s="37"/>
      <c r="CAI4" s="37"/>
      <c r="CAJ4" s="37"/>
      <c r="CAK4" s="37"/>
      <c r="CAL4" s="37"/>
      <c r="CAM4" s="37"/>
      <c r="CAN4" s="37"/>
      <c r="CAO4" s="37"/>
      <c r="CAP4" s="37"/>
      <c r="CAQ4" s="37"/>
      <c r="CAR4" s="37"/>
      <c r="CAS4" s="37"/>
      <c r="CAT4" s="37"/>
      <c r="CAU4" s="37"/>
      <c r="CAV4" s="37"/>
      <c r="CAW4" s="37"/>
      <c r="CAX4" s="37"/>
      <c r="CAY4" s="37"/>
      <c r="CAZ4" s="37"/>
      <c r="CBA4" s="37"/>
      <c r="CBB4" s="37"/>
      <c r="CBC4" s="37"/>
      <c r="CBD4" s="37"/>
      <c r="CBE4" s="37"/>
      <c r="CBF4" s="37"/>
      <c r="CBG4" s="37"/>
      <c r="CBH4" s="37"/>
      <c r="CBI4" s="37"/>
      <c r="CBJ4" s="37"/>
      <c r="CBK4" s="37"/>
      <c r="CBL4" s="37"/>
      <c r="CBM4" s="37"/>
      <c r="CBN4" s="37"/>
      <c r="CBO4" s="37"/>
      <c r="CBP4" s="37"/>
      <c r="CBQ4" s="37"/>
      <c r="CBR4" s="37"/>
      <c r="CBS4" s="37"/>
      <c r="CBT4" s="37"/>
      <c r="CBU4" s="37"/>
      <c r="CBV4" s="37"/>
      <c r="CBW4" s="37"/>
      <c r="CBX4" s="37"/>
      <c r="CBY4" s="37"/>
      <c r="CBZ4" s="37"/>
      <c r="CCA4" s="37"/>
      <c r="CCB4" s="37"/>
      <c r="CCC4" s="37"/>
      <c r="CCD4" s="37"/>
      <c r="CCE4" s="37"/>
      <c r="CCF4" s="37"/>
      <c r="CCG4" s="37"/>
      <c r="CCH4" s="37"/>
      <c r="CCI4" s="37"/>
      <c r="CCJ4" s="37"/>
      <c r="CCK4" s="37"/>
      <c r="CCL4" s="37"/>
      <c r="CCM4" s="37"/>
      <c r="CCN4" s="37"/>
      <c r="CCO4" s="37"/>
      <c r="CCP4" s="37"/>
      <c r="CCQ4" s="37"/>
      <c r="CCR4" s="37"/>
      <c r="CCS4" s="37"/>
      <c r="CCT4" s="37"/>
      <c r="CCU4" s="37"/>
      <c r="CCV4" s="37"/>
      <c r="CCW4" s="37"/>
      <c r="CCX4" s="37"/>
      <c r="CCY4" s="37"/>
      <c r="CCZ4" s="37"/>
      <c r="CDA4" s="37"/>
      <c r="CDB4" s="37"/>
      <c r="CDC4" s="37"/>
      <c r="CDD4" s="37"/>
      <c r="CDE4" s="37"/>
      <c r="CDF4" s="37"/>
      <c r="CDG4" s="37"/>
      <c r="CDH4" s="37"/>
      <c r="CDI4" s="37"/>
      <c r="CDJ4" s="37"/>
      <c r="CDK4" s="37"/>
      <c r="CDL4" s="37"/>
      <c r="CDM4" s="37"/>
      <c r="CDN4" s="37"/>
      <c r="CDO4" s="37"/>
      <c r="CDP4" s="37"/>
      <c r="CDQ4" s="37"/>
      <c r="CDR4" s="37"/>
      <c r="CDS4" s="37"/>
      <c r="CDT4" s="37"/>
      <c r="CDU4" s="37"/>
      <c r="CDV4" s="37"/>
      <c r="CDW4" s="37"/>
      <c r="CDX4" s="37"/>
      <c r="CDY4" s="37"/>
      <c r="CDZ4" s="37"/>
      <c r="CEA4" s="37"/>
      <c r="CEB4" s="37"/>
      <c r="CEC4" s="37"/>
      <c r="CED4" s="37"/>
      <c r="CEE4" s="37"/>
      <c r="CEF4" s="37"/>
      <c r="CEG4" s="37"/>
      <c r="CEH4" s="37"/>
      <c r="CEI4" s="37"/>
      <c r="CEJ4" s="37"/>
      <c r="CEK4" s="37"/>
      <c r="CEL4" s="37"/>
      <c r="CEM4" s="37"/>
      <c r="CEN4" s="37"/>
      <c r="CEO4" s="37"/>
      <c r="CEP4" s="37"/>
      <c r="CEQ4" s="37"/>
      <c r="CER4" s="37"/>
      <c r="CES4" s="37"/>
      <c r="CET4" s="37"/>
      <c r="CEU4" s="37"/>
      <c r="CEV4" s="37"/>
      <c r="CEW4" s="37"/>
      <c r="CEX4" s="37"/>
      <c r="CEY4" s="37"/>
      <c r="CEZ4" s="37"/>
      <c r="CFA4" s="37"/>
      <c r="CFB4" s="37"/>
      <c r="CFC4" s="37"/>
      <c r="CFD4" s="37"/>
      <c r="CFE4" s="37"/>
      <c r="CFF4" s="37"/>
      <c r="CFG4" s="37"/>
      <c r="CFH4" s="37"/>
      <c r="CFI4" s="37"/>
      <c r="CFJ4" s="37"/>
      <c r="CFK4" s="37"/>
      <c r="CFL4" s="37"/>
      <c r="CFM4" s="37"/>
      <c r="CFN4" s="37"/>
      <c r="CFO4" s="37"/>
      <c r="CFP4" s="37"/>
      <c r="CFQ4" s="37"/>
      <c r="CFR4" s="37"/>
      <c r="CFS4" s="37"/>
      <c r="CFT4" s="37"/>
      <c r="CFU4" s="37"/>
      <c r="CFV4" s="37"/>
      <c r="CFW4" s="37"/>
      <c r="CFX4" s="37"/>
      <c r="CFY4" s="37"/>
      <c r="CFZ4" s="37"/>
      <c r="CGA4" s="37"/>
      <c r="CGB4" s="37"/>
      <c r="CGC4" s="37"/>
      <c r="CGD4" s="37"/>
      <c r="CGE4" s="37"/>
      <c r="CGF4" s="37"/>
      <c r="CGG4" s="37"/>
      <c r="CGH4" s="37"/>
      <c r="CGI4" s="37"/>
      <c r="CGJ4" s="37"/>
      <c r="CGK4" s="37"/>
      <c r="CGL4" s="37"/>
      <c r="CGM4" s="37"/>
      <c r="CGN4" s="37"/>
      <c r="CGO4" s="37"/>
      <c r="CGP4" s="37"/>
      <c r="CGQ4" s="37"/>
      <c r="CGR4" s="37"/>
      <c r="CGS4" s="37"/>
      <c r="CGT4" s="37"/>
      <c r="CGU4" s="37"/>
      <c r="CGV4" s="37"/>
      <c r="CGW4" s="37"/>
      <c r="CGX4" s="37"/>
      <c r="CGY4" s="37"/>
      <c r="CGZ4" s="37"/>
      <c r="CHA4" s="37"/>
      <c r="CHB4" s="37"/>
      <c r="CHC4" s="37"/>
      <c r="CHD4" s="37"/>
      <c r="CHE4" s="37"/>
      <c r="CHF4" s="37"/>
      <c r="CHG4" s="37"/>
      <c r="CHH4" s="37"/>
      <c r="CHI4" s="37"/>
      <c r="CHJ4" s="37"/>
      <c r="CHK4" s="37"/>
      <c r="CHL4" s="37"/>
      <c r="CHM4" s="37"/>
      <c r="CHN4" s="37"/>
      <c r="CHO4" s="37"/>
      <c r="CHP4" s="37"/>
      <c r="CHQ4" s="37"/>
      <c r="CHR4" s="37"/>
      <c r="CHS4" s="37"/>
      <c r="CHT4" s="37"/>
      <c r="CHU4" s="37"/>
      <c r="CHV4" s="37"/>
      <c r="CHW4" s="37"/>
      <c r="CHX4" s="37"/>
      <c r="CHY4" s="37"/>
      <c r="CHZ4" s="37"/>
      <c r="CIA4" s="37"/>
      <c r="CIB4" s="37"/>
      <c r="CIC4" s="37"/>
      <c r="CID4" s="37"/>
      <c r="CIE4" s="37"/>
      <c r="CIF4" s="37"/>
      <c r="CIG4" s="37"/>
      <c r="CIH4" s="37"/>
      <c r="CII4" s="37"/>
      <c r="CIJ4" s="37"/>
      <c r="CIK4" s="37"/>
      <c r="CIL4" s="37"/>
      <c r="CIM4" s="37"/>
      <c r="CIN4" s="37"/>
      <c r="CIO4" s="37"/>
      <c r="CIP4" s="37"/>
      <c r="CIQ4" s="37"/>
      <c r="CIR4" s="37"/>
      <c r="CIS4" s="37"/>
      <c r="CIT4" s="37"/>
      <c r="CIU4" s="37"/>
      <c r="CIV4" s="37"/>
      <c r="CIW4" s="37"/>
      <c r="CIX4" s="37"/>
      <c r="CIY4" s="37"/>
      <c r="CIZ4" s="37"/>
      <c r="CJA4" s="37"/>
      <c r="CJB4" s="37"/>
      <c r="CJC4" s="37"/>
      <c r="CJD4" s="37"/>
      <c r="CJE4" s="37"/>
      <c r="CJF4" s="37"/>
      <c r="CJG4" s="37"/>
      <c r="CJH4" s="37"/>
      <c r="CJI4" s="37"/>
      <c r="CJJ4" s="37"/>
      <c r="CJK4" s="37"/>
      <c r="CJL4" s="37"/>
      <c r="CJM4" s="37"/>
      <c r="CJN4" s="37"/>
      <c r="CJO4" s="37"/>
      <c r="CJP4" s="37"/>
      <c r="CJQ4" s="37"/>
      <c r="CJR4" s="37"/>
      <c r="CJS4" s="37"/>
      <c r="CJT4" s="37"/>
      <c r="CJU4" s="37"/>
      <c r="CJV4" s="37"/>
      <c r="CJW4" s="37"/>
      <c r="CJX4" s="37"/>
      <c r="CJY4" s="37"/>
      <c r="CJZ4" s="37"/>
      <c r="CKA4" s="37"/>
      <c r="CKB4" s="37"/>
      <c r="CKC4" s="37"/>
      <c r="CKD4" s="37"/>
      <c r="CKE4" s="37"/>
      <c r="CKF4" s="37"/>
      <c r="CKG4" s="37"/>
      <c r="CKH4" s="37"/>
      <c r="CKI4" s="37"/>
      <c r="CKJ4" s="37"/>
      <c r="CKK4" s="37"/>
      <c r="CKL4" s="37"/>
      <c r="CKM4" s="37"/>
      <c r="CKN4" s="37"/>
      <c r="CKO4" s="37"/>
      <c r="CKP4" s="37"/>
      <c r="CKQ4" s="37"/>
      <c r="CKR4" s="37"/>
      <c r="CKS4" s="37"/>
      <c r="CKT4" s="37"/>
      <c r="CKU4" s="37"/>
      <c r="CKV4" s="37"/>
      <c r="CKW4" s="37"/>
      <c r="CKX4" s="37"/>
      <c r="CKY4" s="37"/>
      <c r="CKZ4" s="37"/>
      <c r="CLA4" s="37"/>
      <c r="CLB4" s="37"/>
      <c r="CLC4" s="37"/>
      <c r="CLD4" s="37"/>
      <c r="CLE4" s="37"/>
      <c r="CLF4" s="37"/>
      <c r="CLG4" s="37"/>
      <c r="CLH4" s="37"/>
      <c r="CLI4" s="37"/>
      <c r="CLJ4" s="37"/>
      <c r="CLK4" s="37"/>
      <c r="CLL4" s="37"/>
      <c r="CLM4" s="37"/>
      <c r="CLN4" s="37"/>
      <c r="CLO4" s="37"/>
      <c r="CLP4" s="37"/>
      <c r="CLQ4" s="37"/>
      <c r="CLR4" s="37"/>
      <c r="CLS4" s="37"/>
      <c r="CLT4" s="37"/>
      <c r="CLU4" s="37"/>
      <c r="CLV4" s="37"/>
      <c r="CLW4" s="37"/>
      <c r="CLX4" s="37"/>
      <c r="CLY4" s="37"/>
      <c r="CLZ4" s="37"/>
      <c r="CMA4" s="37"/>
      <c r="CMB4" s="37"/>
      <c r="CMC4" s="37"/>
      <c r="CMD4" s="37"/>
      <c r="CME4" s="37"/>
      <c r="CMF4" s="37"/>
      <c r="CMG4" s="37"/>
      <c r="CMH4" s="37"/>
      <c r="CMI4" s="37"/>
      <c r="CMJ4" s="37"/>
      <c r="CMK4" s="37"/>
      <c r="CML4" s="37"/>
      <c r="CMM4" s="37"/>
      <c r="CMN4" s="37"/>
      <c r="CMO4" s="37"/>
      <c r="CMP4" s="37"/>
      <c r="CMQ4" s="37"/>
      <c r="CMR4" s="37"/>
      <c r="CMS4" s="37"/>
      <c r="CMT4" s="37"/>
      <c r="CMU4" s="37"/>
      <c r="CMV4" s="37"/>
      <c r="CMW4" s="37"/>
      <c r="CMX4" s="37"/>
      <c r="CMY4" s="37"/>
      <c r="CMZ4" s="37"/>
      <c r="CNA4" s="37"/>
      <c r="CNB4" s="37"/>
      <c r="CNC4" s="37"/>
      <c r="CND4" s="37"/>
      <c r="CNE4" s="37"/>
      <c r="CNF4" s="37"/>
      <c r="CNG4" s="37"/>
      <c r="CNH4" s="37"/>
      <c r="CNI4" s="37"/>
      <c r="CNJ4" s="37"/>
      <c r="CNK4" s="37"/>
      <c r="CNL4" s="37"/>
      <c r="CNM4" s="37"/>
      <c r="CNN4" s="37"/>
      <c r="CNO4" s="37"/>
      <c r="CNP4" s="37"/>
      <c r="CNQ4" s="37"/>
      <c r="CNR4" s="37"/>
      <c r="CNS4" s="37"/>
      <c r="CNT4" s="37"/>
      <c r="CNU4" s="37"/>
      <c r="CNV4" s="37"/>
      <c r="CNW4" s="37"/>
      <c r="CNX4" s="37"/>
      <c r="CNY4" s="37"/>
      <c r="CNZ4" s="37"/>
      <c r="COA4" s="37"/>
      <c r="COB4" s="37"/>
      <c r="COC4" s="37"/>
      <c r="COD4" s="37"/>
      <c r="COE4" s="37"/>
      <c r="COF4" s="37"/>
      <c r="COG4" s="37"/>
      <c r="COH4" s="37"/>
      <c r="COI4" s="37"/>
      <c r="COJ4" s="37"/>
      <c r="COK4" s="37"/>
      <c r="COL4" s="37"/>
      <c r="COM4" s="37"/>
      <c r="CON4" s="37"/>
      <c r="COO4" s="37"/>
      <c r="COP4" s="37"/>
      <c r="COQ4" s="37"/>
      <c r="COR4" s="37"/>
      <c r="COS4" s="37"/>
      <c r="COT4" s="37"/>
      <c r="COU4" s="37"/>
      <c r="COV4" s="37"/>
      <c r="COW4" s="37"/>
      <c r="COX4" s="37"/>
      <c r="COY4" s="37"/>
      <c r="COZ4" s="37"/>
      <c r="CPA4" s="37"/>
      <c r="CPB4" s="37"/>
      <c r="CPC4" s="37"/>
      <c r="CPD4" s="37"/>
      <c r="CPE4" s="37"/>
      <c r="CPF4" s="37"/>
      <c r="CPG4" s="37"/>
      <c r="CPH4" s="37"/>
      <c r="CPI4" s="37"/>
      <c r="CPJ4" s="37"/>
      <c r="CPK4" s="37"/>
      <c r="CPL4" s="37"/>
      <c r="CPM4" s="37"/>
      <c r="CPN4" s="37"/>
      <c r="CPO4" s="37"/>
      <c r="CPP4" s="37"/>
      <c r="CPQ4" s="37"/>
      <c r="CPR4" s="37"/>
      <c r="CPS4" s="37"/>
      <c r="CPT4" s="37"/>
      <c r="CPU4" s="37"/>
      <c r="CPV4" s="37"/>
      <c r="CPW4" s="37"/>
      <c r="CPX4" s="37"/>
      <c r="CPY4" s="37"/>
      <c r="CPZ4" s="37"/>
      <c r="CQA4" s="37"/>
      <c r="CQB4" s="37"/>
      <c r="CQC4" s="37"/>
      <c r="CQD4" s="37"/>
      <c r="CQE4" s="37"/>
      <c r="CQF4" s="37"/>
      <c r="CQG4" s="37"/>
      <c r="CQH4" s="37"/>
      <c r="CQI4" s="37"/>
      <c r="CQJ4" s="37"/>
      <c r="CQK4" s="37"/>
      <c r="CQL4" s="37"/>
      <c r="CQM4" s="37"/>
      <c r="CQN4" s="37"/>
      <c r="CQO4" s="37"/>
      <c r="CQP4" s="37"/>
      <c r="CQQ4" s="37"/>
      <c r="CQR4" s="37"/>
      <c r="CQS4" s="37"/>
      <c r="CQT4" s="37"/>
      <c r="CQU4" s="37"/>
      <c r="CQV4" s="37"/>
      <c r="CQW4" s="37"/>
      <c r="CQX4" s="37"/>
      <c r="CQY4" s="37"/>
      <c r="CQZ4" s="37"/>
      <c r="CRA4" s="37"/>
      <c r="CRB4" s="37"/>
      <c r="CRC4" s="37"/>
      <c r="CRD4" s="37"/>
      <c r="CRE4" s="37"/>
      <c r="CRF4" s="37"/>
      <c r="CRG4" s="37"/>
      <c r="CRH4" s="37"/>
      <c r="CRI4" s="37"/>
      <c r="CRJ4" s="37"/>
      <c r="CRK4" s="37"/>
      <c r="CRL4" s="37"/>
      <c r="CRM4" s="37"/>
      <c r="CRN4" s="37"/>
      <c r="CRO4" s="37"/>
      <c r="CRP4" s="37"/>
      <c r="CRQ4" s="37"/>
      <c r="CRR4" s="37"/>
      <c r="CRS4" s="37"/>
      <c r="CRT4" s="37"/>
      <c r="CRU4" s="37"/>
      <c r="CRV4" s="37"/>
      <c r="CRW4" s="37"/>
      <c r="CRX4" s="37"/>
      <c r="CRY4" s="37"/>
      <c r="CRZ4" s="37"/>
      <c r="CSA4" s="37"/>
      <c r="CSB4" s="37"/>
      <c r="CSC4" s="37"/>
      <c r="CSD4" s="37"/>
      <c r="CSE4" s="37"/>
      <c r="CSF4" s="37"/>
      <c r="CSG4" s="37"/>
      <c r="CSH4" s="37"/>
      <c r="CSI4" s="37"/>
      <c r="CSJ4" s="37"/>
      <c r="CSK4" s="37"/>
      <c r="CSL4" s="37"/>
      <c r="CSM4" s="37"/>
      <c r="CSN4" s="37"/>
      <c r="CSO4" s="37"/>
      <c r="CSP4" s="37"/>
      <c r="CSQ4" s="37"/>
      <c r="CSR4" s="37"/>
      <c r="CSS4" s="37"/>
      <c r="CST4" s="37"/>
      <c r="CSU4" s="37"/>
      <c r="CSV4" s="37"/>
      <c r="CSW4" s="37"/>
      <c r="CSX4" s="37"/>
      <c r="CSY4" s="37"/>
      <c r="CSZ4" s="37"/>
      <c r="CTA4" s="37"/>
      <c r="CTB4" s="37"/>
      <c r="CTC4" s="37"/>
      <c r="CTD4" s="37"/>
      <c r="CTE4" s="37"/>
      <c r="CTF4" s="37"/>
      <c r="CTG4" s="37"/>
      <c r="CTH4" s="37"/>
      <c r="CTI4" s="37"/>
      <c r="CTJ4" s="37"/>
      <c r="CTK4" s="37"/>
      <c r="CTL4" s="37"/>
      <c r="CTM4" s="37"/>
      <c r="CTN4" s="37"/>
      <c r="CTO4" s="37"/>
      <c r="CTP4" s="37"/>
      <c r="CTQ4" s="37"/>
      <c r="CTR4" s="37"/>
      <c r="CTS4" s="37"/>
      <c r="CTT4" s="37"/>
      <c r="CTU4" s="37"/>
      <c r="CTV4" s="37"/>
      <c r="CTW4" s="37"/>
      <c r="CTX4" s="37"/>
      <c r="CTY4" s="37"/>
      <c r="CTZ4" s="37"/>
      <c r="CUA4" s="37"/>
      <c r="CUB4" s="37"/>
      <c r="CUC4" s="37"/>
      <c r="CUD4" s="37"/>
      <c r="CUE4" s="37"/>
      <c r="CUF4" s="37"/>
      <c r="CUG4" s="37"/>
      <c r="CUH4" s="37"/>
      <c r="CUI4" s="37"/>
      <c r="CUJ4" s="37"/>
      <c r="CUK4" s="37"/>
      <c r="CUL4" s="37"/>
      <c r="CUM4" s="37"/>
      <c r="CUN4" s="37"/>
      <c r="CUO4" s="37"/>
      <c r="CUP4" s="37"/>
      <c r="CUQ4" s="37"/>
      <c r="CUR4" s="37"/>
      <c r="CUS4" s="37"/>
      <c r="CUT4" s="37"/>
      <c r="CUU4" s="37"/>
      <c r="CUV4" s="37"/>
      <c r="CUW4" s="37"/>
      <c r="CUX4" s="37"/>
      <c r="CUY4" s="37"/>
      <c r="CUZ4" s="37"/>
      <c r="CVA4" s="37"/>
      <c r="CVB4" s="37"/>
      <c r="CVC4" s="37"/>
      <c r="CVD4" s="37"/>
      <c r="CVE4" s="37"/>
      <c r="CVF4" s="37"/>
      <c r="CVG4" s="37"/>
      <c r="CVH4" s="37"/>
      <c r="CVI4" s="37"/>
      <c r="CVJ4" s="37"/>
      <c r="CVK4" s="37"/>
      <c r="CVL4" s="37"/>
      <c r="CVM4" s="37"/>
      <c r="CVN4" s="37"/>
      <c r="CVO4" s="37"/>
      <c r="CVP4" s="37"/>
      <c r="CVQ4" s="37"/>
      <c r="CVR4" s="37"/>
      <c r="CVS4" s="37"/>
      <c r="CVT4" s="37"/>
      <c r="CVU4" s="37"/>
      <c r="CVV4" s="37"/>
      <c r="CVW4" s="37"/>
      <c r="CVX4" s="37"/>
      <c r="CVY4" s="37"/>
      <c r="CVZ4" s="37"/>
      <c r="CWA4" s="37"/>
      <c r="CWB4" s="37"/>
      <c r="CWC4" s="37"/>
      <c r="CWD4" s="37"/>
      <c r="CWE4" s="37"/>
      <c r="CWF4" s="37"/>
      <c r="CWG4" s="37"/>
      <c r="CWH4" s="37"/>
      <c r="CWI4" s="37"/>
      <c r="CWJ4" s="37"/>
      <c r="CWK4" s="37"/>
      <c r="CWL4" s="37"/>
      <c r="CWM4" s="37"/>
      <c r="CWN4" s="37"/>
      <c r="CWO4" s="37"/>
      <c r="CWP4" s="37"/>
      <c r="CWQ4" s="37"/>
      <c r="CWR4" s="37"/>
      <c r="CWS4" s="37"/>
      <c r="CWT4" s="37"/>
      <c r="CWU4" s="37"/>
      <c r="CWV4" s="37"/>
      <c r="CWW4" s="37"/>
      <c r="CWX4" s="37"/>
      <c r="CWY4" s="37"/>
      <c r="CWZ4" s="37"/>
      <c r="CXA4" s="37"/>
      <c r="CXB4" s="37"/>
      <c r="CXC4" s="37"/>
      <c r="CXD4" s="37"/>
      <c r="CXE4" s="37"/>
      <c r="CXF4" s="37"/>
      <c r="CXG4" s="37"/>
      <c r="CXH4" s="37"/>
      <c r="CXI4" s="37"/>
      <c r="CXJ4" s="37"/>
      <c r="CXK4" s="37"/>
      <c r="CXL4" s="37"/>
      <c r="CXM4" s="37"/>
      <c r="CXN4" s="37"/>
      <c r="CXO4" s="37"/>
      <c r="CXP4" s="37"/>
      <c r="CXQ4" s="37"/>
      <c r="CXR4" s="37"/>
      <c r="CXS4" s="37"/>
      <c r="CXT4" s="37"/>
      <c r="CXU4" s="37"/>
      <c r="CXV4" s="37"/>
      <c r="CXW4" s="37"/>
      <c r="CXX4" s="37"/>
      <c r="CXY4" s="37"/>
      <c r="CXZ4" s="37"/>
      <c r="CYA4" s="37"/>
      <c r="CYB4" s="37"/>
      <c r="CYC4" s="37"/>
      <c r="CYD4" s="37"/>
      <c r="CYE4" s="37"/>
      <c r="CYF4" s="37"/>
      <c r="CYG4" s="37"/>
      <c r="CYH4" s="37"/>
      <c r="CYI4" s="37"/>
      <c r="CYJ4" s="37"/>
      <c r="CYK4" s="37"/>
      <c r="CYL4" s="37"/>
      <c r="CYM4" s="37"/>
      <c r="CYN4" s="37"/>
      <c r="CYO4" s="37"/>
      <c r="CYP4" s="37"/>
      <c r="CYQ4" s="37"/>
      <c r="CYR4" s="37"/>
      <c r="CYS4" s="37"/>
      <c r="CYT4" s="37"/>
      <c r="CYU4" s="37"/>
      <c r="CYV4" s="37"/>
      <c r="CYW4" s="37"/>
      <c r="CYX4" s="37"/>
      <c r="CYY4" s="37"/>
      <c r="CYZ4" s="37"/>
      <c r="CZA4" s="37"/>
      <c r="CZB4" s="37"/>
      <c r="CZC4" s="37"/>
      <c r="CZD4" s="37"/>
      <c r="CZE4" s="37"/>
      <c r="CZF4" s="37"/>
      <c r="CZG4" s="37"/>
      <c r="CZH4" s="37"/>
      <c r="CZI4" s="37"/>
      <c r="CZJ4" s="37"/>
      <c r="CZK4" s="37"/>
      <c r="CZL4" s="37"/>
      <c r="CZM4" s="37"/>
      <c r="CZN4" s="37"/>
      <c r="CZO4" s="37"/>
      <c r="CZP4" s="37"/>
      <c r="CZQ4" s="37"/>
      <c r="CZR4" s="37"/>
      <c r="CZS4" s="37"/>
      <c r="CZT4" s="37"/>
      <c r="CZU4" s="37"/>
      <c r="CZV4" s="37"/>
      <c r="CZW4" s="37"/>
      <c r="CZX4" s="37"/>
      <c r="CZY4" s="37"/>
      <c r="CZZ4" s="37"/>
      <c r="DAA4" s="37"/>
      <c r="DAB4" s="37"/>
      <c r="DAC4" s="37"/>
      <c r="DAD4" s="37"/>
      <c r="DAE4" s="37"/>
      <c r="DAF4" s="37"/>
      <c r="DAG4" s="37"/>
      <c r="DAH4" s="37"/>
      <c r="DAI4" s="37"/>
      <c r="DAJ4" s="37"/>
      <c r="DAK4" s="37"/>
      <c r="DAL4" s="37"/>
      <c r="DAM4" s="37"/>
      <c r="DAN4" s="37"/>
      <c r="DAO4" s="37"/>
      <c r="DAP4" s="37"/>
      <c r="DAQ4" s="37"/>
      <c r="DAR4" s="37"/>
      <c r="DAS4" s="37"/>
      <c r="DAT4" s="37"/>
      <c r="DAU4" s="37"/>
      <c r="DAV4" s="37"/>
      <c r="DAW4" s="37"/>
      <c r="DAX4" s="37"/>
      <c r="DAY4" s="37"/>
      <c r="DAZ4" s="37"/>
      <c r="DBA4" s="37"/>
      <c r="DBB4" s="37"/>
      <c r="DBC4" s="37"/>
      <c r="DBD4" s="37"/>
      <c r="DBE4" s="37"/>
      <c r="DBF4" s="37"/>
      <c r="DBG4" s="37"/>
      <c r="DBH4" s="37"/>
      <c r="DBI4" s="37"/>
      <c r="DBJ4" s="37"/>
      <c r="DBK4" s="37"/>
      <c r="DBL4" s="37"/>
      <c r="DBM4" s="37"/>
      <c r="DBN4" s="37"/>
      <c r="DBO4" s="37"/>
      <c r="DBP4" s="37"/>
      <c r="DBQ4" s="37"/>
      <c r="DBR4" s="37"/>
      <c r="DBS4" s="37"/>
      <c r="DBT4" s="37"/>
      <c r="DBU4" s="37"/>
      <c r="DBV4" s="37"/>
      <c r="DBW4" s="37"/>
      <c r="DBX4" s="37"/>
      <c r="DBY4" s="37"/>
      <c r="DBZ4" s="37"/>
      <c r="DCA4" s="37"/>
      <c r="DCB4" s="37"/>
      <c r="DCC4" s="37"/>
      <c r="DCD4" s="37"/>
      <c r="DCE4" s="37"/>
      <c r="DCF4" s="37"/>
      <c r="DCG4" s="37"/>
      <c r="DCH4" s="37"/>
      <c r="DCI4" s="37"/>
      <c r="DCJ4" s="37"/>
      <c r="DCK4" s="37"/>
      <c r="DCL4" s="37"/>
      <c r="DCM4" s="37"/>
      <c r="DCN4" s="37"/>
      <c r="DCO4" s="37"/>
      <c r="DCP4" s="37"/>
      <c r="DCQ4" s="37"/>
      <c r="DCR4" s="37"/>
      <c r="DCS4" s="37"/>
      <c r="DCT4" s="37"/>
      <c r="DCU4" s="37"/>
      <c r="DCV4" s="37"/>
      <c r="DCW4" s="37"/>
      <c r="DCX4" s="37"/>
      <c r="DCY4" s="37"/>
      <c r="DCZ4" s="37"/>
      <c r="DDA4" s="37"/>
      <c r="DDB4" s="37"/>
      <c r="DDC4" s="37"/>
      <c r="DDD4" s="37"/>
      <c r="DDE4" s="37"/>
      <c r="DDF4" s="37"/>
      <c r="DDG4" s="37"/>
      <c r="DDH4" s="37"/>
      <c r="DDI4" s="37"/>
      <c r="DDJ4" s="37"/>
      <c r="DDK4" s="37"/>
      <c r="DDL4" s="37"/>
      <c r="DDM4" s="37"/>
      <c r="DDN4" s="37"/>
      <c r="DDO4" s="37"/>
      <c r="DDP4" s="37"/>
      <c r="DDQ4" s="37"/>
      <c r="DDR4" s="37"/>
      <c r="DDS4" s="37"/>
      <c r="DDT4" s="37"/>
      <c r="DDU4" s="37"/>
      <c r="DDV4" s="37"/>
      <c r="DDW4" s="37"/>
      <c r="DDX4" s="37"/>
      <c r="DDY4" s="37"/>
      <c r="DDZ4" s="37"/>
      <c r="DEA4" s="37"/>
      <c r="DEB4" s="37"/>
      <c r="DEC4" s="37"/>
      <c r="DED4" s="37"/>
      <c r="DEE4" s="37"/>
      <c r="DEF4" s="37"/>
      <c r="DEG4" s="37"/>
      <c r="DEH4" s="37"/>
      <c r="DEI4" s="37"/>
      <c r="DEJ4" s="37"/>
      <c r="DEK4" s="37"/>
      <c r="DEL4" s="37"/>
      <c r="DEM4" s="37"/>
      <c r="DEN4" s="37"/>
      <c r="DEO4" s="37"/>
      <c r="DEP4" s="37"/>
      <c r="DEQ4" s="37"/>
      <c r="DER4" s="37"/>
      <c r="DES4" s="37"/>
      <c r="DET4" s="37"/>
      <c r="DEU4" s="37"/>
      <c r="DEV4" s="37"/>
      <c r="DEW4" s="37"/>
      <c r="DEX4" s="37"/>
      <c r="DEY4" s="37"/>
      <c r="DEZ4" s="37"/>
      <c r="DFA4" s="37"/>
      <c r="DFB4" s="37"/>
      <c r="DFC4" s="37"/>
      <c r="DFD4" s="37"/>
      <c r="DFE4" s="37"/>
      <c r="DFF4" s="37"/>
      <c r="DFG4" s="37"/>
      <c r="DFH4" s="37"/>
      <c r="DFI4" s="37"/>
      <c r="DFJ4" s="37"/>
      <c r="DFK4" s="37"/>
      <c r="DFL4" s="37"/>
      <c r="DFM4" s="37"/>
      <c r="DFN4" s="37"/>
      <c r="DFO4" s="37"/>
      <c r="DFP4" s="37"/>
      <c r="DFQ4" s="37"/>
      <c r="DFR4" s="37"/>
      <c r="DFS4" s="37"/>
      <c r="DFT4" s="37"/>
      <c r="DFU4" s="37"/>
      <c r="DFV4" s="37"/>
      <c r="DFW4" s="37"/>
      <c r="DFX4" s="37"/>
      <c r="DFY4" s="37"/>
      <c r="DFZ4" s="37"/>
      <c r="DGA4" s="37"/>
      <c r="DGB4" s="37"/>
      <c r="DGC4" s="37"/>
      <c r="DGD4" s="37"/>
      <c r="DGE4" s="37"/>
      <c r="DGF4" s="37"/>
      <c r="DGG4" s="37"/>
      <c r="DGH4" s="37"/>
      <c r="DGI4" s="37"/>
      <c r="DGJ4" s="37"/>
      <c r="DGK4" s="37"/>
      <c r="DGL4" s="37"/>
      <c r="DGM4" s="37"/>
      <c r="DGN4" s="37"/>
      <c r="DGO4" s="37"/>
      <c r="DGP4" s="37"/>
      <c r="DGQ4" s="37"/>
      <c r="DGR4" s="37"/>
      <c r="DGS4" s="37"/>
      <c r="DGT4" s="37"/>
      <c r="DGU4" s="37"/>
      <c r="DGV4" s="37"/>
      <c r="DGW4" s="37"/>
      <c r="DGX4" s="37"/>
      <c r="DGY4" s="37"/>
      <c r="DGZ4" s="37"/>
      <c r="DHA4" s="37"/>
      <c r="DHB4" s="37"/>
      <c r="DHC4" s="37"/>
      <c r="DHD4" s="37"/>
      <c r="DHE4" s="37"/>
      <c r="DHF4" s="37"/>
      <c r="DHG4" s="37"/>
      <c r="DHH4" s="37"/>
      <c r="DHI4" s="37"/>
      <c r="DHJ4" s="37"/>
      <c r="DHK4" s="37"/>
      <c r="DHL4" s="37"/>
      <c r="DHM4" s="37"/>
      <c r="DHN4" s="37"/>
      <c r="DHO4" s="37"/>
      <c r="DHP4" s="37"/>
      <c r="DHQ4" s="37"/>
      <c r="DHR4" s="37"/>
      <c r="DHS4" s="37"/>
      <c r="DHT4" s="37"/>
      <c r="DHU4" s="37"/>
      <c r="DHV4" s="37"/>
      <c r="DHW4" s="37"/>
      <c r="DHX4" s="37"/>
      <c r="DHY4" s="37"/>
      <c r="DHZ4" s="37"/>
      <c r="DIA4" s="37"/>
      <c r="DIB4" s="37"/>
      <c r="DIC4" s="37"/>
      <c r="DID4" s="37"/>
      <c r="DIE4" s="37"/>
      <c r="DIF4" s="37"/>
      <c r="DIG4" s="37"/>
      <c r="DIH4" s="37"/>
      <c r="DII4" s="37"/>
      <c r="DIJ4" s="37"/>
      <c r="DIK4" s="37"/>
      <c r="DIL4" s="37"/>
      <c r="DIM4" s="37"/>
      <c r="DIN4" s="37"/>
      <c r="DIO4" s="37"/>
      <c r="DIP4" s="37"/>
      <c r="DIQ4" s="37"/>
      <c r="DIR4" s="37"/>
      <c r="DIS4" s="37"/>
      <c r="DIT4" s="37"/>
      <c r="DIU4" s="37"/>
      <c r="DIV4" s="37"/>
      <c r="DIW4" s="37"/>
      <c r="DIX4" s="37"/>
      <c r="DIY4" s="37"/>
      <c r="DIZ4" s="37"/>
      <c r="DJA4" s="37"/>
      <c r="DJB4" s="37"/>
      <c r="DJC4" s="37"/>
      <c r="DJD4" s="37"/>
      <c r="DJE4" s="37"/>
      <c r="DJF4" s="37"/>
      <c r="DJG4" s="37"/>
      <c r="DJH4" s="37"/>
      <c r="DJI4" s="37"/>
      <c r="DJJ4" s="37"/>
      <c r="DJK4" s="37"/>
      <c r="DJL4" s="37"/>
      <c r="DJM4" s="37"/>
      <c r="DJN4" s="37"/>
      <c r="DJO4" s="37"/>
      <c r="DJP4" s="37"/>
      <c r="DJQ4" s="37"/>
      <c r="DJR4" s="37"/>
      <c r="DJS4" s="37"/>
      <c r="DJT4" s="37"/>
      <c r="DJU4" s="37"/>
      <c r="DJV4" s="37"/>
      <c r="DJW4" s="37"/>
      <c r="DJX4" s="37"/>
      <c r="DJY4" s="37"/>
      <c r="DJZ4" s="37"/>
      <c r="DKA4" s="37"/>
      <c r="DKB4" s="37"/>
      <c r="DKC4" s="37"/>
      <c r="DKD4" s="37"/>
      <c r="DKE4" s="37"/>
      <c r="DKF4" s="37"/>
      <c r="DKG4" s="37"/>
      <c r="DKH4" s="37"/>
      <c r="DKI4" s="37"/>
      <c r="DKJ4" s="37"/>
      <c r="DKK4" s="37"/>
      <c r="DKL4" s="37"/>
      <c r="DKM4" s="37"/>
      <c r="DKN4" s="37"/>
      <c r="DKO4" s="37"/>
      <c r="DKP4" s="37"/>
      <c r="DKQ4" s="37"/>
      <c r="DKR4" s="37"/>
      <c r="DKS4" s="37"/>
      <c r="DKT4" s="37"/>
      <c r="DKU4" s="37"/>
      <c r="DKV4" s="37"/>
      <c r="DKW4" s="37"/>
      <c r="DKX4" s="37"/>
      <c r="DKY4" s="37"/>
      <c r="DKZ4" s="37"/>
      <c r="DLA4" s="37"/>
      <c r="DLB4" s="37"/>
      <c r="DLC4" s="37"/>
      <c r="DLD4" s="37"/>
      <c r="DLE4" s="37"/>
      <c r="DLF4" s="37"/>
      <c r="DLG4" s="37"/>
      <c r="DLH4" s="37"/>
      <c r="DLI4" s="37"/>
      <c r="DLJ4" s="37"/>
      <c r="DLK4" s="37"/>
      <c r="DLL4" s="37"/>
      <c r="DLM4" s="37"/>
      <c r="DLN4" s="37"/>
      <c r="DLO4" s="37"/>
      <c r="DLP4" s="37"/>
      <c r="DLQ4" s="37"/>
      <c r="DLR4" s="37"/>
      <c r="DLS4" s="37"/>
      <c r="DLT4" s="37"/>
      <c r="DLU4" s="37"/>
      <c r="DLV4" s="37"/>
      <c r="DLW4" s="37"/>
      <c r="DLX4" s="37"/>
      <c r="DLY4" s="37"/>
      <c r="DLZ4" s="37"/>
      <c r="DMA4" s="37"/>
      <c r="DMB4" s="37"/>
      <c r="DMC4" s="37"/>
      <c r="DMD4" s="37"/>
      <c r="DME4" s="37"/>
      <c r="DMF4" s="37"/>
      <c r="DMG4" s="37"/>
      <c r="DMH4" s="37"/>
      <c r="DMI4" s="37"/>
      <c r="DMJ4" s="37"/>
      <c r="DMK4" s="37"/>
      <c r="DML4" s="37"/>
      <c r="DMM4" s="37"/>
      <c r="DMN4" s="37"/>
      <c r="DMO4" s="37"/>
      <c r="DMP4" s="37"/>
      <c r="DMQ4" s="37"/>
      <c r="DMR4" s="37"/>
      <c r="DMS4" s="37"/>
      <c r="DMT4" s="37"/>
      <c r="DMU4" s="37"/>
      <c r="DMV4" s="37"/>
      <c r="DMW4" s="37"/>
      <c r="DMX4" s="37"/>
      <c r="DMY4" s="37"/>
      <c r="DMZ4" s="37"/>
      <c r="DNA4" s="37"/>
      <c r="DNB4" s="37"/>
      <c r="DNC4" s="37"/>
      <c r="DND4" s="37"/>
      <c r="DNE4" s="37"/>
      <c r="DNF4" s="37"/>
      <c r="DNG4" s="37"/>
      <c r="DNH4" s="37"/>
      <c r="DNI4" s="37"/>
      <c r="DNJ4" s="37"/>
      <c r="DNK4" s="37"/>
      <c r="DNL4" s="37"/>
      <c r="DNM4" s="37"/>
      <c r="DNN4" s="37"/>
      <c r="DNO4" s="37"/>
      <c r="DNP4" s="37"/>
      <c r="DNQ4" s="37"/>
      <c r="DNR4" s="37"/>
      <c r="DNS4" s="37"/>
      <c r="DNT4" s="37"/>
      <c r="DNU4" s="37"/>
      <c r="DNV4" s="37"/>
      <c r="DNW4" s="37"/>
      <c r="DNX4" s="37"/>
      <c r="DNY4" s="37"/>
      <c r="DNZ4" s="37"/>
      <c r="DOA4" s="37"/>
      <c r="DOB4" s="37"/>
      <c r="DOC4" s="37"/>
      <c r="DOD4" s="37"/>
      <c r="DOE4" s="37"/>
      <c r="DOF4" s="37"/>
      <c r="DOG4" s="37"/>
      <c r="DOH4" s="37"/>
      <c r="DOI4" s="37"/>
      <c r="DOJ4" s="37"/>
      <c r="DOK4" s="37"/>
      <c r="DOL4" s="37"/>
      <c r="DOM4" s="37"/>
      <c r="DON4" s="37"/>
      <c r="DOO4" s="37"/>
      <c r="DOP4" s="37"/>
      <c r="DOQ4" s="37"/>
      <c r="DOR4" s="37"/>
      <c r="DOS4" s="37"/>
      <c r="DOT4" s="37"/>
      <c r="DOU4" s="37"/>
      <c r="DOV4" s="37"/>
      <c r="DOW4" s="37"/>
      <c r="DOX4" s="37"/>
      <c r="DOY4" s="37"/>
      <c r="DOZ4" s="37"/>
      <c r="DPA4" s="37"/>
      <c r="DPB4" s="37"/>
      <c r="DPC4" s="37"/>
      <c r="DPD4" s="37"/>
      <c r="DPE4" s="37"/>
      <c r="DPF4" s="37"/>
      <c r="DPG4" s="37"/>
      <c r="DPH4" s="37"/>
      <c r="DPI4" s="37"/>
      <c r="DPJ4" s="37"/>
      <c r="DPK4" s="37"/>
      <c r="DPL4" s="37"/>
      <c r="DPM4" s="37"/>
      <c r="DPN4" s="37"/>
      <c r="DPO4" s="37"/>
      <c r="DPP4" s="37"/>
      <c r="DPQ4" s="37"/>
      <c r="DPR4" s="37"/>
      <c r="DPS4" s="37"/>
      <c r="DPT4" s="37"/>
      <c r="DPU4" s="37"/>
      <c r="DPV4" s="37"/>
      <c r="DPW4" s="37"/>
      <c r="DPX4" s="37"/>
      <c r="DPY4" s="37"/>
      <c r="DPZ4" s="37"/>
      <c r="DQA4" s="37"/>
      <c r="DQB4" s="37"/>
      <c r="DQC4" s="37"/>
      <c r="DQD4" s="37"/>
      <c r="DQE4" s="37"/>
      <c r="DQF4" s="37"/>
      <c r="DQG4" s="37"/>
      <c r="DQH4" s="37"/>
      <c r="DQI4" s="37"/>
      <c r="DQJ4" s="37"/>
      <c r="DQK4" s="37"/>
      <c r="DQL4" s="37"/>
      <c r="DQM4" s="37"/>
      <c r="DQN4" s="37"/>
      <c r="DQO4" s="37"/>
      <c r="DQP4" s="37"/>
      <c r="DQQ4" s="37"/>
      <c r="DQR4" s="37"/>
      <c r="DQS4" s="37"/>
      <c r="DQT4" s="37"/>
      <c r="DQU4" s="37"/>
      <c r="DQV4" s="37"/>
      <c r="DQW4" s="37"/>
      <c r="DQX4" s="37"/>
      <c r="DQY4" s="37"/>
      <c r="DQZ4" s="37"/>
      <c r="DRA4" s="37"/>
      <c r="DRB4" s="37"/>
      <c r="DRC4" s="37"/>
      <c r="DRD4" s="37"/>
      <c r="DRE4" s="37"/>
      <c r="DRF4" s="37"/>
      <c r="DRG4" s="37"/>
      <c r="DRH4" s="37"/>
      <c r="DRI4" s="37"/>
      <c r="DRJ4" s="37"/>
      <c r="DRK4" s="37"/>
      <c r="DRL4" s="37"/>
      <c r="DRM4" s="37"/>
      <c r="DRN4" s="37"/>
      <c r="DRO4" s="37"/>
      <c r="DRP4" s="37"/>
      <c r="DRQ4" s="37"/>
      <c r="DRR4" s="37"/>
      <c r="DRS4" s="37"/>
      <c r="DRT4" s="37"/>
      <c r="DRU4" s="37"/>
      <c r="DRV4" s="37"/>
      <c r="DRW4" s="37"/>
      <c r="DRX4" s="37"/>
      <c r="DRY4" s="37"/>
      <c r="DRZ4" s="37"/>
      <c r="DSA4" s="37"/>
      <c r="DSB4" s="37"/>
      <c r="DSC4" s="37"/>
      <c r="DSD4" s="37"/>
      <c r="DSE4" s="37"/>
      <c r="DSF4" s="37"/>
      <c r="DSG4" s="37"/>
      <c r="DSH4" s="37"/>
      <c r="DSI4" s="37"/>
      <c r="DSJ4" s="37"/>
      <c r="DSK4" s="37"/>
      <c r="DSL4" s="37"/>
      <c r="DSM4" s="37"/>
      <c r="DSN4" s="37"/>
      <c r="DSO4" s="37"/>
      <c r="DSP4" s="37"/>
      <c r="DSQ4" s="37"/>
      <c r="DSR4" s="37"/>
      <c r="DSS4" s="37"/>
      <c r="DST4" s="37"/>
      <c r="DSU4" s="37"/>
      <c r="DSV4" s="37"/>
      <c r="DSW4" s="37"/>
      <c r="DSX4" s="37"/>
      <c r="DSY4" s="37"/>
      <c r="DSZ4" s="37"/>
      <c r="DTA4" s="37"/>
      <c r="DTB4" s="37"/>
      <c r="DTC4" s="37"/>
      <c r="DTD4" s="37"/>
      <c r="DTE4" s="37"/>
      <c r="DTF4" s="37"/>
      <c r="DTG4" s="37"/>
      <c r="DTH4" s="37"/>
      <c r="DTI4" s="37"/>
      <c r="DTJ4" s="37"/>
      <c r="DTK4" s="37"/>
      <c r="DTL4" s="37"/>
      <c r="DTM4" s="37"/>
      <c r="DTN4" s="37"/>
      <c r="DTO4" s="37"/>
      <c r="DTP4" s="37"/>
      <c r="DTQ4" s="37"/>
      <c r="DTR4" s="37"/>
      <c r="DTS4" s="37"/>
      <c r="DTT4" s="37"/>
      <c r="DTU4" s="37"/>
      <c r="DTV4" s="37"/>
      <c r="DTW4" s="37"/>
      <c r="DTX4" s="37"/>
      <c r="DTY4" s="37"/>
      <c r="DTZ4" s="37"/>
      <c r="DUA4" s="37"/>
      <c r="DUB4" s="37"/>
      <c r="DUC4" s="37"/>
      <c r="DUD4" s="37"/>
      <c r="DUE4" s="37"/>
      <c r="DUF4" s="37"/>
      <c r="DUG4" s="37"/>
      <c r="DUH4" s="37"/>
      <c r="DUI4" s="37"/>
      <c r="DUJ4" s="37"/>
      <c r="DUK4" s="37"/>
      <c r="DUL4" s="37"/>
      <c r="DUM4" s="37"/>
      <c r="DUN4" s="37"/>
      <c r="DUO4" s="37"/>
      <c r="DUP4" s="37"/>
      <c r="DUQ4" s="37"/>
      <c r="DUR4" s="37"/>
      <c r="DUS4" s="37"/>
      <c r="DUT4" s="37"/>
      <c r="DUU4" s="37"/>
      <c r="DUV4" s="37"/>
      <c r="DUW4" s="37"/>
      <c r="DUX4" s="37"/>
      <c r="DUY4" s="37"/>
      <c r="DUZ4" s="37"/>
      <c r="DVA4" s="37"/>
      <c r="DVB4" s="37"/>
      <c r="DVC4" s="37"/>
      <c r="DVD4" s="37"/>
      <c r="DVE4" s="37"/>
      <c r="DVF4" s="37"/>
      <c r="DVG4" s="37"/>
      <c r="DVH4" s="37"/>
      <c r="DVI4" s="37"/>
      <c r="DVJ4" s="37"/>
      <c r="DVK4" s="37"/>
      <c r="DVL4" s="37"/>
      <c r="DVM4" s="37"/>
      <c r="DVN4" s="37"/>
      <c r="DVO4" s="37"/>
      <c r="DVP4" s="37"/>
      <c r="DVQ4" s="37"/>
      <c r="DVR4" s="37"/>
      <c r="DVS4" s="37"/>
      <c r="DVT4" s="37"/>
      <c r="DVU4" s="37"/>
      <c r="DVV4" s="37"/>
      <c r="DVW4" s="37"/>
      <c r="DVX4" s="37"/>
      <c r="DVY4" s="37"/>
      <c r="DVZ4" s="37"/>
      <c r="DWA4" s="37"/>
      <c r="DWB4" s="37"/>
      <c r="DWC4" s="37"/>
      <c r="DWD4" s="37"/>
      <c r="DWE4" s="37"/>
      <c r="DWF4" s="37"/>
      <c r="DWG4" s="37"/>
      <c r="DWH4" s="37"/>
      <c r="DWI4" s="37"/>
      <c r="DWJ4" s="37"/>
      <c r="DWK4" s="37"/>
      <c r="DWL4" s="37"/>
      <c r="DWM4" s="37"/>
      <c r="DWN4" s="37"/>
      <c r="DWO4" s="37"/>
      <c r="DWP4" s="37"/>
      <c r="DWQ4" s="37"/>
      <c r="DWR4" s="37"/>
      <c r="DWS4" s="37"/>
      <c r="DWT4" s="37"/>
      <c r="DWU4" s="37"/>
      <c r="DWV4" s="37"/>
      <c r="DWW4" s="37"/>
      <c r="DWX4" s="37"/>
      <c r="DWY4" s="37"/>
      <c r="DWZ4" s="37"/>
      <c r="DXA4" s="37"/>
      <c r="DXB4" s="37"/>
      <c r="DXC4" s="37"/>
      <c r="DXD4" s="37"/>
      <c r="DXE4" s="37"/>
      <c r="DXF4" s="37"/>
      <c r="DXG4" s="37"/>
      <c r="DXH4" s="37"/>
      <c r="DXI4" s="37"/>
      <c r="DXJ4" s="37"/>
      <c r="DXK4" s="37"/>
      <c r="DXL4" s="37"/>
      <c r="DXM4" s="37"/>
      <c r="DXN4" s="37"/>
      <c r="DXO4" s="37"/>
      <c r="DXP4" s="37"/>
      <c r="DXQ4" s="37"/>
      <c r="DXR4" s="37"/>
      <c r="DXS4" s="37"/>
      <c r="DXT4" s="37"/>
      <c r="DXU4" s="37"/>
      <c r="DXV4" s="37"/>
      <c r="DXW4" s="37"/>
      <c r="DXX4" s="37"/>
      <c r="DXY4" s="37"/>
      <c r="DXZ4" s="37"/>
      <c r="DYA4" s="37"/>
      <c r="DYB4" s="37"/>
      <c r="DYC4" s="37"/>
      <c r="DYD4" s="37"/>
      <c r="DYE4" s="37"/>
      <c r="DYF4" s="37"/>
      <c r="DYG4" s="37"/>
      <c r="DYH4" s="37"/>
      <c r="DYI4" s="37"/>
      <c r="DYJ4" s="37"/>
      <c r="DYK4" s="37"/>
      <c r="DYL4" s="37"/>
      <c r="DYM4" s="37"/>
      <c r="DYN4" s="37"/>
      <c r="DYO4" s="37"/>
      <c r="DYP4" s="37"/>
      <c r="DYQ4" s="37"/>
      <c r="DYR4" s="37"/>
      <c r="DYS4" s="37"/>
      <c r="DYT4" s="37"/>
      <c r="DYU4" s="37"/>
      <c r="DYV4" s="37"/>
      <c r="DYW4" s="37"/>
      <c r="DYX4" s="37"/>
      <c r="DYY4" s="37"/>
      <c r="DYZ4" s="37"/>
      <c r="DZA4" s="37"/>
      <c r="DZB4" s="37"/>
      <c r="DZC4" s="37"/>
      <c r="DZD4" s="37"/>
      <c r="DZE4" s="37"/>
      <c r="DZF4" s="37"/>
      <c r="DZG4" s="37"/>
      <c r="DZH4" s="37"/>
      <c r="DZI4" s="37"/>
      <c r="DZJ4" s="37"/>
      <c r="DZK4" s="37"/>
      <c r="DZL4" s="37"/>
      <c r="DZM4" s="37"/>
      <c r="DZN4" s="37"/>
      <c r="DZO4" s="37"/>
      <c r="DZP4" s="37"/>
      <c r="DZQ4" s="37"/>
      <c r="DZR4" s="37"/>
      <c r="DZS4" s="37"/>
      <c r="DZT4" s="37"/>
      <c r="DZU4" s="37"/>
      <c r="DZV4" s="37"/>
      <c r="DZW4" s="37"/>
      <c r="DZX4" s="37"/>
      <c r="DZY4" s="37"/>
      <c r="DZZ4" s="37"/>
      <c r="EAA4" s="37"/>
      <c r="EAB4" s="37"/>
      <c r="EAC4" s="37"/>
      <c r="EAD4" s="37"/>
      <c r="EAE4" s="37"/>
      <c r="EAF4" s="37"/>
      <c r="EAG4" s="37"/>
      <c r="EAH4" s="37"/>
      <c r="EAI4" s="37"/>
      <c r="EAJ4" s="37"/>
      <c r="EAK4" s="37"/>
      <c r="EAL4" s="37"/>
      <c r="EAM4" s="37"/>
      <c r="EAN4" s="37"/>
      <c r="EAO4" s="37"/>
      <c r="EAP4" s="37"/>
      <c r="EAQ4" s="37"/>
      <c r="EAR4" s="37"/>
      <c r="EAS4" s="37"/>
      <c r="EAT4" s="37"/>
      <c r="EAU4" s="37"/>
      <c r="EAV4" s="37"/>
      <c r="EAW4" s="37"/>
      <c r="EAX4" s="37"/>
      <c r="EAY4" s="37"/>
      <c r="EAZ4" s="37"/>
      <c r="EBA4" s="37"/>
      <c r="EBB4" s="37"/>
      <c r="EBC4" s="37"/>
      <c r="EBD4" s="37"/>
      <c r="EBE4" s="37"/>
      <c r="EBF4" s="37"/>
      <c r="EBG4" s="37"/>
      <c r="EBH4" s="37"/>
      <c r="EBI4" s="37"/>
      <c r="EBJ4" s="37"/>
      <c r="EBK4" s="37"/>
      <c r="EBL4" s="37"/>
      <c r="EBM4" s="37"/>
      <c r="EBN4" s="37"/>
      <c r="EBO4" s="37"/>
      <c r="EBP4" s="37"/>
      <c r="EBQ4" s="37"/>
      <c r="EBR4" s="37"/>
      <c r="EBS4" s="37"/>
      <c r="EBT4" s="37"/>
      <c r="EBU4" s="37"/>
      <c r="EBV4" s="37"/>
      <c r="EBW4" s="37"/>
      <c r="EBX4" s="37"/>
      <c r="EBY4" s="37"/>
      <c r="EBZ4" s="37"/>
      <c r="ECA4" s="37"/>
      <c r="ECB4" s="37"/>
      <c r="ECC4" s="37"/>
      <c r="ECD4" s="37"/>
      <c r="ECE4" s="37"/>
      <c r="ECF4" s="37"/>
      <c r="ECG4" s="37"/>
      <c r="ECH4" s="37"/>
      <c r="ECI4" s="37"/>
      <c r="ECJ4" s="37"/>
      <c r="ECK4" s="37"/>
      <c r="ECL4" s="37"/>
      <c r="ECM4" s="37"/>
      <c r="ECN4" s="37"/>
      <c r="ECO4" s="37"/>
      <c r="ECP4" s="37"/>
      <c r="ECQ4" s="37"/>
      <c r="ECR4" s="37"/>
      <c r="ECS4" s="37"/>
      <c r="ECT4" s="37"/>
      <c r="ECU4" s="37"/>
      <c r="ECV4" s="37"/>
      <c r="ECW4" s="37"/>
      <c r="ECX4" s="37"/>
      <c r="ECY4" s="37"/>
      <c r="ECZ4" s="37"/>
      <c r="EDA4" s="37"/>
      <c r="EDB4" s="37"/>
      <c r="EDC4" s="37"/>
      <c r="EDD4" s="37"/>
      <c r="EDE4" s="37"/>
      <c r="EDF4" s="37"/>
      <c r="EDG4" s="37"/>
      <c r="EDH4" s="37"/>
      <c r="EDI4" s="37"/>
      <c r="EDJ4" s="37"/>
      <c r="EDK4" s="37"/>
      <c r="EDL4" s="37"/>
      <c r="EDM4" s="37"/>
      <c r="EDN4" s="37"/>
      <c r="EDO4" s="37"/>
      <c r="EDP4" s="37"/>
      <c r="EDQ4" s="37"/>
      <c r="EDR4" s="37"/>
      <c r="EDS4" s="37"/>
      <c r="EDT4" s="37"/>
      <c r="EDU4" s="37"/>
      <c r="EDV4" s="37"/>
      <c r="EDW4" s="37"/>
      <c r="EDX4" s="37"/>
      <c r="EDY4" s="37"/>
      <c r="EDZ4" s="37"/>
      <c r="EEA4" s="37"/>
      <c r="EEB4" s="37"/>
      <c r="EEC4" s="37"/>
      <c r="EED4" s="37"/>
      <c r="EEE4" s="37"/>
      <c r="EEF4" s="37"/>
      <c r="EEG4" s="37"/>
      <c r="EEH4" s="37"/>
      <c r="EEI4" s="37"/>
      <c r="EEJ4" s="37"/>
      <c r="EEK4" s="37"/>
      <c r="EEL4" s="37"/>
      <c r="EEM4" s="37"/>
      <c r="EEN4" s="37"/>
      <c r="EEO4" s="37"/>
      <c r="EEP4" s="37"/>
      <c r="EEQ4" s="37"/>
      <c r="EER4" s="37"/>
      <c r="EES4" s="37"/>
      <c r="EET4" s="37"/>
      <c r="EEU4" s="37"/>
      <c r="EEV4" s="37"/>
      <c r="EEW4" s="37"/>
      <c r="EEX4" s="37"/>
      <c r="EEY4" s="37"/>
      <c r="EEZ4" s="37"/>
      <c r="EFA4" s="37"/>
      <c r="EFB4" s="37"/>
      <c r="EFC4" s="37"/>
      <c r="EFD4" s="37"/>
      <c r="EFE4" s="37"/>
      <c r="EFF4" s="37"/>
      <c r="EFG4" s="37"/>
      <c r="EFH4" s="37"/>
      <c r="EFI4" s="37"/>
      <c r="EFJ4" s="37"/>
      <c r="EFK4" s="37"/>
      <c r="EFL4" s="37"/>
      <c r="EFM4" s="37"/>
      <c r="EFN4" s="37"/>
      <c r="EFO4" s="37"/>
      <c r="EFP4" s="37"/>
      <c r="EFQ4" s="37"/>
      <c r="EFR4" s="37"/>
      <c r="EFS4" s="37"/>
      <c r="EFT4" s="37"/>
      <c r="EFU4" s="37"/>
      <c r="EFV4" s="37"/>
      <c r="EFW4" s="37"/>
      <c r="EFX4" s="37"/>
      <c r="EFY4" s="37"/>
      <c r="EFZ4" s="37"/>
      <c r="EGA4" s="37"/>
      <c r="EGB4" s="37"/>
      <c r="EGC4" s="37"/>
      <c r="EGD4" s="37"/>
      <c r="EGE4" s="37"/>
      <c r="EGF4" s="37"/>
      <c r="EGG4" s="37"/>
      <c r="EGH4" s="37"/>
      <c r="EGI4" s="37"/>
      <c r="EGJ4" s="37"/>
      <c r="EGK4" s="37"/>
      <c r="EGL4" s="37"/>
      <c r="EGM4" s="37"/>
      <c r="EGN4" s="37"/>
      <c r="EGO4" s="37"/>
      <c r="EGP4" s="37"/>
      <c r="EGQ4" s="37"/>
      <c r="EGR4" s="37"/>
      <c r="EGS4" s="37"/>
      <c r="EGT4" s="37"/>
      <c r="EGU4" s="37"/>
      <c r="EGV4" s="37"/>
      <c r="EGW4" s="37"/>
      <c r="EGX4" s="37"/>
      <c r="EGY4" s="37"/>
      <c r="EGZ4" s="37"/>
      <c r="EHA4" s="37"/>
      <c r="EHB4" s="37"/>
      <c r="EHC4" s="37"/>
      <c r="EHD4" s="37"/>
      <c r="EHE4" s="37"/>
      <c r="EHF4" s="37"/>
      <c r="EHG4" s="37"/>
      <c r="EHH4" s="37"/>
      <c r="EHI4" s="37"/>
      <c r="EHJ4" s="37"/>
      <c r="EHK4" s="37"/>
      <c r="EHL4" s="37"/>
      <c r="EHM4" s="37"/>
      <c r="EHN4" s="37"/>
      <c r="EHO4" s="37"/>
      <c r="EHP4" s="37"/>
      <c r="EHQ4" s="37"/>
      <c r="EHR4" s="37"/>
      <c r="EHS4" s="37"/>
      <c r="EHT4" s="37"/>
      <c r="EHU4" s="37"/>
      <c r="EHV4" s="37"/>
      <c r="EHW4" s="37"/>
      <c r="EHX4" s="37"/>
      <c r="EHY4" s="37"/>
      <c r="EHZ4" s="37"/>
      <c r="EIA4" s="37"/>
      <c r="EIB4" s="37"/>
      <c r="EIC4" s="37"/>
      <c r="EID4" s="37"/>
      <c r="EIE4" s="37"/>
      <c r="EIF4" s="37"/>
      <c r="EIG4" s="37"/>
      <c r="EIH4" s="37"/>
      <c r="EII4" s="37"/>
      <c r="EIJ4" s="37"/>
      <c r="EIK4" s="37"/>
      <c r="EIL4" s="37"/>
      <c r="EIM4" s="37"/>
      <c r="EIN4" s="37"/>
      <c r="EIO4" s="37"/>
      <c r="EIP4" s="37"/>
      <c r="EIQ4" s="37"/>
      <c r="EIR4" s="37"/>
      <c r="EIS4" s="37"/>
      <c r="EIT4" s="37"/>
      <c r="EIU4" s="37"/>
      <c r="EIV4" s="37"/>
      <c r="EIW4" s="37"/>
      <c r="EIX4" s="37"/>
      <c r="EIY4" s="37"/>
      <c r="EIZ4" s="37"/>
      <c r="EJA4" s="37"/>
      <c r="EJB4" s="37"/>
      <c r="EJC4" s="37"/>
      <c r="EJD4" s="37"/>
      <c r="EJE4" s="37"/>
      <c r="EJF4" s="37"/>
      <c r="EJG4" s="37"/>
      <c r="EJH4" s="37"/>
      <c r="EJI4" s="37"/>
      <c r="EJJ4" s="37"/>
      <c r="EJK4" s="37"/>
      <c r="EJL4" s="37"/>
      <c r="EJM4" s="37"/>
      <c r="EJN4" s="37"/>
      <c r="EJO4" s="37"/>
      <c r="EJP4" s="37"/>
      <c r="EJQ4" s="37"/>
      <c r="EJR4" s="37"/>
      <c r="EJS4" s="37"/>
      <c r="EJT4" s="37"/>
      <c r="EJU4" s="37"/>
      <c r="EJV4" s="37"/>
      <c r="EJW4" s="37"/>
      <c r="EJX4" s="37"/>
      <c r="EJY4" s="37"/>
      <c r="EJZ4" s="37"/>
      <c r="EKA4" s="37"/>
      <c r="EKB4" s="37"/>
      <c r="EKC4" s="37"/>
      <c r="EKD4" s="37"/>
      <c r="EKE4" s="37"/>
      <c r="EKF4" s="37"/>
      <c r="EKG4" s="37"/>
      <c r="EKH4" s="37"/>
      <c r="EKI4" s="37"/>
      <c r="EKJ4" s="37"/>
      <c r="EKK4" s="37"/>
      <c r="EKL4" s="37"/>
      <c r="EKM4" s="37"/>
      <c r="EKN4" s="37"/>
      <c r="EKO4" s="37"/>
      <c r="EKP4" s="37"/>
      <c r="EKQ4" s="37"/>
      <c r="EKR4" s="37"/>
      <c r="EKS4" s="37"/>
      <c r="EKT4" s="37"/>
      <c r="EKU4" s="37"/>
      <c r="EKV4" s="37"/>
      <c r="EKW4" s="37"/>
      <c r="EKX4" s="37"/>
      <c r="EKY4" s="37"/>
      <c r="EKZ4" s="37"/>
      <c r="ELA4" s="37"/>
      <c r="ELB4" s="37"/>
      <c r="ELC4" s="37"/>
      <c r="ELD4" s="37"/>
      <c r="ELE4" s="37"/>
      <c r="ELF4" s="37"/>
      <c r="ELG4" s="37"/>
      <c r="ELH4" s="37"/>
      <c r="ELI4" s="37"/>
      <c r="ELJ4" s="37"/>
      <c r="ELK4" s="37"/>
      <c r="ELL4" s="37"/>
      <c r="ELM4" s="37"/>
      <c r="ELN4" s="37"/>
      <c r="ELO4" s="37"/>
      <c r="ELP4" s="37"/>
      <c r="ELQ4" s="37"/>
      <c r="ELR4" s="37"/>
      <c r="ELS4" s="37"/>
      <c r="ELT4" s="37"/>
      <c r="ELU4" s="37"/>
      <c r="ELV4" s="37"/>
      <c r="ELW4" s="37"/>
      <c r="ELX4" s="37"/>
      <c r="ELY4" s="37"/>
      <c r="ELZ4" s="37"/>
      <c r="EMA4" s="37"/>
      <c r="EMB4" s="37"/>
      <c r="EMC4" s="37"/>
      <c r="EMD4" s="37"/>
      <c r="EME4" s="37"/>
      <c r="EMF4" s="37"/>
      <c r="EMG4" s="37"/>
      <c r="EMH4" s="37"/>
      <c r="EMI4" s="37"/>
      <c r="EMJ4" s="37"/>
      <c r="EMK4" s="37"/>
      <c r="EML4" s="37"/>
      <c r="EMM4" s="37"/>
      <c r="EMN4" s="37"/>
      <c r="EMO4" s="37"/>
      <c r="EMP4" s="37"/>
      <c r="EMQ4" s="37"/>
      <c r="EMR4" s="37"/>
      <c r="EMS4" s="37"/>
      <c r="EMT4" s="37"/>
      <c r="EMU4" s="37"/>
      <c r="EMV4" s="37"/>
      <c r="EMW4" s="37"/>
      <c r="EMX4" s="37"/>
      <c r="EMY4" s="37"/>
      <c r="EMZ4" s="37"/>
      <c r="ENA4" s="37"/>
      <c r="ENB4" s="37"/>
      <c r="ENC4" s="37"/>
      <c r="END4" s="37"/>
      <c r="ENE4" s="37"/>
      <c r="ENF4" s="37"/>
      <c r="ENG4" s="37"/>
      <c r="ENH4" s="37"/>
      <c r="ENI4" s="37"/>
      <c r="ENJ4" s="37"/>
      <c r="ENK4" s="37"/>
      <c r="ENL4" s="37"/>
      <c r="ENM4" s="37"/>
      <c r="ENN4" s="37"/>
      <c r="ENO4" s="37"/>
      <c r="ENP4" s="37"/>
      <c r="ENQ4" s="37"/>
      <c r="ENR4" s="37"/>
      <c r="ENS4" s="37"/>
      <c r="ENT4" s="37"/>
      <c r="ENU4" s="37"/>
      <c r="ENV4" s="37"/>
      <c r="ENW4" s="37"/>
      <c r="ENX4" s="37"/>
      <c r="ENY4" s="37"/>
      <c r="ENZ4" s="37"/>
      <c r="EOA4" s="37"/>
      <c r="EOB4" s="37"/>
      <c r="EOC4" s="37"/>
      <c r="EOD4" s="37"/>
      <c r="EOE4" s="37"/>
      <c r="EOF4" s="37"/>
      <c r="EOG4" s="37"/>
      <c r="EOH4" s="37"/>
      <c r="EOI4" s="37"/>
      <c r="EOJ4" s="37"/>
      <c r="EOK4" s="37"/>
      <c r="EOL4" s="37"/>
      <c r="EOM4" s="37"/>
      <c r="EON4" s="37"/>
      <c r="EOO4" s="37"/>
      <c r="EOP4" s="37"/>
      <c r="EOQ4" s="37"/>
      <c r="EOR4" s="37"/>
      <c r="EOS4" s="37"/>
      <c r="EOT4" s="37"/>
      <c r="EOU4" s="37"/>
      <c r="EOV4" s="37"/>
      <c r="EOW4" s="37"/>
      <c r="EOX4" s="37"/>
      <c r="EOY4" s="37"/>
      <c r="EOZ4" s="37"/>
      <c r="EPA4" s="37"/>
      <c r="EPB4" s="37"/>
      <c r="EPC4" s="37"/>
      <c r="EPD4" s="37"/>
      <c r="EPE4" s="37"/>
      <c r="EPF4" s="37"/>
      <c r="EPG4" s="37"/>
      <c r="EPH4" s="37"/>
      <c r="EPI4" s="37"/>
      <c r="EPJ4" s="37"/>
      <c r="EPK4" s="37"/>
      <c r="EPL4" s="37"/>
      <c r="EPM4" s="37"/>
      <c r="EPN4" s="37"/>
      <c r="EPO4" s="37"/>
      <c r="EPP4" s="37"/>
      <c r="EPQ4" s="37"/>
      <c r="EPR4" s="37"/>
      <c r="EPS4" s="37"/>
      <c r="EPT4" s="37"/>
      <c r="EPU4" s="37"/>
      <c r="EPV4" s="37"/>
      <c r="EPW4" s="37"/>
      <c r="EPX4" s="37"/>
      <c r="EPY4" s="37"/>
      <c r="EPZ4" s="37"/>
      <c r="EQA4" s="37"/>
      <c r="EQB4" s="37"/>
      <c r="EQC4" s="37"/>
      <c r="EQD4" s="37"/>
      <c r="EQE4" s="37"/>
      <c r="EQF4" s="37"/>
      <c r="EQG4" s="37"/>
      <c r="EQH4" s="37"/>
      <c r="EQI4" s="37"/>
      <c r="EQJ4" s="37"/>
      <c r="EQK4" s="37"/>
      <c r="EQL4" s="37"/>
      <c r="EQM4" s="37"/>
      <c r="EQN4" s="37"/>
      <c r="EQO4" s="37"/>
      <c r="EQP4" s="37"/>
      <c r="EQQ4" s="37"/>
      <c r="EQR4" s="37"/>
      <c r="EQS4" s="37"/>
      <c r="EQT4" s="37"/>
      <c r="EQU4" s="37"/>
      <c r="EQV4" s="37"/>
      <c r="EQW4" s="37"/>
      <c r="EQX4" s="37"/>
      <c r="EQY4" s="37"/>
      <c r="EQZ4" s="37"/>
      <c r="ERA4" s="37"/>
      <c r="ERB4" s="37"/>
      <c r="ERC4" s="37"/>
      <c r="ERD4" s="37"/>
      <c r="ERE4" s="37"/>
      <c r="ERF4" s="37"/>
      <c r="ERG4" s="37"/>
      <c r="ERH4" s="37"/>
      <c r="ERI4" s="37"/>
      <c r="ERJ4" s="37"/>
      <c r="ERK4" s="37"/>
      <c r="ERL4" s="37"/>
      <c r="ERM4" s="37"/>
      <c r="ERN4" s="37"/>
      <c r="ERO4" s="37"/>
      <c r="ERP4" s="37"/>
      <c r="ERQ4" s="37"/>
      <c r="ERR4" s="37"/>
      <c r="ERS4" s="37"/>
      <c r="ERT4" s="37"/>
      <c r="ERU4" s="37"/>
      <c r="ERV4" s="37"/>
      <c r="ERW4" s="37"/>
      <c r="ERX4" s="37"/>
      <c r="ERY4" s="37"/>
      <c r="ERZ4" s="37"/>
      <c r="ESA4" s="37"/>
      <c r="ESB4" s="37"/>
      <c r="ESC4" s="37"/>
      <c r="ESD4" s="37"/>
      <c r="ESE4" s="37"/>
      <c r="ESF4" s="37"/>
      <c r="ESG4" s="37"/>
      <c r="ESH4" s="37"/>
      <c r="ESI4" s="37"/>
      <c r="ESJ4" s="37"/>
      <c r="ESK4" s="37"/>
      <c r="ESL4" s="37"/>
      <c r="ESM4" s="37"/>
      <c r="ESN4" s="37"/>
      <c r="ESO4" s="37"/>
      <c r="ESP4" s="37"/>
      <c r="ESQ4" s="37"/>
      <c r="ESR4" s="37"/>
      <c r="ESS4" s="37"/>
      <c r="EST4" s="37"/>
      <c r="ESU4" s="37"/>
      <c r="ESV4" s="37"/>
      <c r="ESW4" s="37"/>
      <c r="ESX4" s="37"/>
      <c r="ESY4" s="37"/>
      <c r="ESZ4" s="37"/>
      <c r="ETA4" s="37"/>
      <c r="ETB4" s="37"/>
      <c r="ETC4" s="37"/>
      <c r="ETD4" s="37"/>
      <c r="ETE4" s="37"/>
      <c r="ETF4" s="37"/>
      <c r="ETG4" s="37"/>
      <c r="ETH4" s="37"/>
      <c r="ETI4" s="37"/>
      <c r="ETJ4" s="37"/>
      <c r="ETK4" s="37"/>
      <c r="ETL4" s="37"/>
      <c r="ETM4" s="37"/>
      <c r="ETN4" s="37"/>
      <c r="ETO4" s="37"/>
      <c r="ETP4" s="37"/>
      <c r="ETQ4" s="37"/>
      <c r="ETR4" s="37"/>
      <c r="ETS4" s="37"/>
      <c r="ETT4" s="37"/>
      <c r="ETU4" s="37"/>
      <c r="ETV4" s="37"/>
      <c r="ETW4" s="37"/>
      <c r="ETX4" s="37"/>
      <c r="ETY4" s="37"/>
      <c r="ETZ4" s="37"/>
      <c r="EUA4" s="37"/>
      <c r="EUB4" s="37"/>
      <c r="EUC4" s="37"/>
      <c r="EUD4" s="37"/>
      <c r="EUE4" s="37"/>
      <c r="EUF4" s="37"/>
      <c r="EUG4" s="37"/>
      <c r="EUH4" s="37"/>
      <c r="EUI4" s="37"/>
      <c r="EUJ4" s="37"/>
      <c r="EUK4" s="37"/>
      <c r="EUL4" s="37"/>
      <c r="EUM4" s="37"/>
      <c r="EUN4" s="37"/>
      <c r="EUO4" s="37"/>
      <c r="EUP4" s="37"/>
      <c r="EUQ4" s="37"/>
      <c r="EUR4" s="37"/>
      <c r="EUS4" s="37"/>
      <c r="EUT4" s="37"/>
      <c r="EUU4" s="37"/>
      <c r="EUV4" s="37"/>
      <c r="EUW4" s="37"/>
      <c r="EUX4" s="37"/>
      <c r="EUY4" s="37"/>
      <c r="EUZ4" s="37"/>
      <c r="EVA4" s="37"/>
      <c r="EVB4" s="37"/>
      <c r="EVC4" s="37"/>
      <c r="EVD4" s="37"/>
      <c r="EVE4" s="37"/>
      <c r="EVF4" s="37"/>
      <c r="EVG4" s="37"/>
      <c r="EVH4" s="37"/>
      <c r="EVI4" s="37"/>
      <c r="EVJ4" s="37"/>
      <c r="EVK4" s="37"/>
      <c r="EVL4" s="37"/>
      <c r="EVM4" s="37"/>
      <c r="EVN4" s="37"/>
      <c r="EVO4" s="37"/>
      <c r="EVP4" s="37"/>
      <c r="EVQ4" s="37"/>
      <c r="EVR4" s="37"/>
      <c r="EVS4" s="37"/>
      <c r="EVT4" s="37"/>
      <c r="EVU4" s="37"/>
      <c r="EVV4" s="37"/>
      <c r="EVW4" s="37"/>
      <c r="EVX4" s="37"/>
      <c r="EVY4" s="37"/>
      <c r="EVZ4" s="37"/>
      <c r="EWA4" s="37"/>
      <c r="EWB4" s="37"/>
      <c r="EWC4" s="37"/>
      <c r="EWD4" s="37"/>
      <c r="EWE4" s="37"/>
      <c r="EWF4" s="37"/>
      <c r="EWG4" s="37"/>
      <c r="EWH4" s="37"/>
      <c r="EWI4" s="37"/>
      <c r="EWJ4" s="37"/>
      <c r="EWK4" s="37"/>
      <c r="EWL4" s="37"/>
      <c r="EWM4" s="37"/>
      <c r="EWN4" s="37"/>
      <c r="EWO4" s="37"/>
      <c r="EWP4" s="37"/>
      <c r="EWQ4" s="37"/>
      <c r="EWR4" s="37"/>
      <c r="EWS4" s="37"/>
      <c r="EWT4" s="37"/>
      <c r="EWU4" s="37"/>
      <c r="EWV4" s="37"/>
      <c r="EWW4" s="37"/>
      <c r="EWX4" s="37"/>
      <c r="EWY4" s="37"/>
      <c r="EWZ4" s="37"/>
      <c r="EXA4" s="37"/>
      <c r="EXB4" s="37"/>
      <c r="EXC4" s="37"/>
      <c r="EXD4" s="37"/>
      <c r="EXE4" s="37"/>
      <c r="EXF4" s="37"/>
      <c r="EXG4" s="37"/>
      <c r="EXH4" s="37"/>
      <c r="EXI4" s="37"/>
      <c r="EXJ4" s="37"/>
      <c r="EXK4" s="37"/>
      <c r="EXL4" s="37"/>
      <c r="EXM4" s="37"/>
      <c r="EXN4" s="37"/>
      <c r="EXO4" s="37"/>
      <c r="EXP4" s="37"/>
      <c r="EXQ4" s="37"/>
      <c r="EXR4" s="37"/>
      <c r="EXS4" s="37"/>
      <c r="EXT4" s="37"/>
      <c r="EXU4" s="37"/>
      <c r="EXV4" s="37"/>
      <c r="EXW4" s="37"/>
      <c r="EXX4" s="37"/>
      <c r="EXY4" s="37"/>
      <c r="EXZ4" s="37"/>
      <c r="EYA4" s="37"/>
      <c r="EYB4" s="37"/>
      <c r="EYC4" s="37"/>
      <c r="EYD4" s="37"/>
      <c r="EYE4" s="37"/>
      <c r="EYF4" s="37"/>
      <c r="EYG4" s="37"/>
      <c r="EYH4" s="37"/>
      <c r="EYI4" s="37"/>
      <c r="EYJ4" s="37"/>
      <c r="EYK4" s="37"/>
      <c r="EYL4" s="37"/>
      <c r="EYM4" s="37"/>
      <c r="EYN4" s="37"/>
      <c r="EYO4" s="37"/>
      <c r="EYP4" s="37"/>
      <c r="EYQ4" s="37"/>
      <c r="EYR4" s="37"/>
      <c r="EYS4" s="37"/>
      <c r="EYT4" s="37"/>
      <c r="EYU4" s="37"/>
      <c r="EYV4" s="37"/>
      <c r="EYW4" s="37"/>
      <c r="EYX4" s="37"/>
      <c r="EYY4" s="37"/>
      <c r="EYZ4" s="37"/>
      <c r="EZA4" s="37"/>
      <c r="EZB4" s="37"/>
      <c r="EZC4" s="37"/>
      <c r="EZD4" s="37"/>
      <c r="EZE4" s="37"/>
      <c r="EZF4" s="37"/>
      <c r="EZG4" s="37"/>
      <c r="EZH4" s="37"/>
      <c r="EZI4" s="37"/>
      <c r="EZJ4" s="37"/>
      <c r="EZK4" s="37"/>
      <c r="EZL4" s="37"/>
      <c r="EZM4" s="37"/>
      <c r="EZN4" s="37"/>
      <c r="EZO4" s="37"/>
      <c r="EZP4" s="37"/>
      <c r="EZQ4" s="37"/>
      <c r="EZR4" s="37"/>
      <c r="EZS4" s="37"/>
      <c r="EZT4" s="37"/>
      <c r="EZU4" s="37"/>
      <c r="EZV4" s="37"/>
      <c r="EZW4" s="37"/>
      <c r="EZX4" s="37"/>
      <c r="EZY4" s="37"/>
      <c r="EZZ4" s="37"/>
      <c r="FAA4" s="37"/>
      <c r="FAB4" s="37"/>
      <c r="FAC4" s="37"/>
      <c r="FAD4" s="37"/>
      <c r="FAE4" s="37"/>
      <c r="FAF4" s="37"/>
      <c r="FAG4" s="37"/>
      <c r="FAH4" s="37"/>
      <c r="FAI4" s="37"/>
      <c r="FAJ4" s="37"/>
      <c r="FAK4" s="37"/>
      <c r="FAL4" s="37"/>
      <c r="FAM4" s="37"/>
      <c r="FAN4" s="37"/>
      <c r="FAO4" s="37"/>
      <c r="FAP4" s="37"/>
      <c r="FAQ4" s="37"/>
      <c r="FAR4" s="37"/>
      <c r="FAS4" s="37"/>
      <c r="FAT4" s="37"/>
      <c r="FAU4" s="37"/>
      <c r="FAV4" s="37"/>
      <c r="FAW4" s="37"/>
      <c r="FAX4" s="37"/>
      <c r="FAY4" s="37"/>
      <c r="FAZ4" s="37"/>
      <c r="FBA4" s="37"/>
      <c r="FBB4" s="37"/>
      <c r="FBC4" s="37"/>
      <c r="FBD4" s="37"/>
      <c r="FBE4" s="37"/>
      <c r="FBF4" s="37"/>
      <c r="FBG4" s="37"/>
      <c r="FBH4" s="37"/>
      <c r="FBI4" s="37"/>
      <c r="FBJ4" s="37"/>
      <c r="FBK4" s="37"/>
      <c r="FBL4" s="37"/>
      <c r="FBM4" s="37"/>
      <c r="FBN4" s="37"/>
      <c r="FBO4" s="37"/>
      <c r="FBP4" s="37"/>
      <c r="FBQ4" s="37"/>
      <c r="FBR4" s="37"/>
      <c r="FBS4" s="37"/>
      <c r="FBT4" s="37"/>
      <c r="FBU4" s="37"/>
      <c r="FBV4" s="37"/>
      <c r="FBW4" s="37"/>
      <c r="FBX4" s="37"/>
      <c r="FBY4" s="37"/>
      <c r="FBZ4" s="37"/>
      <c r="FCA4" s="37"/>
      <c r="FCB4" s="37"/>
      <c r="FCC4" s="37"/>
      <c r="FCD4" s="37"/>
      <c r="FCE4" s="37"/>
      <c r="FCF4" s="37"/>
      <c r="FCG4" s="37"/>
      <c r="FCH4" s="37"/>
      <c r="FCI4" s="37"/>
      <c r="FCJ4" s="37"/>
      <c r="FCK4" s="37"/>
      <c r="FCL4" s="37"/>
      <c r="FCM4" s="37"/>
      <c r="FCN4" s="37"/>
      <c r="FCO4" s="37"/>
      <c r="FCP4" s="37"/>
      <c r="FCQ4" s="37"/>
      <c r="FCR4" s="37"/>
      <c r="FCS4" s="37"/>
      <c r="FCT4" s="37"/>
      <c r="FCU4" s="37"/>
      <c r="FCV4" s="37"/>
      <c r="FCW4" s="37"/>
      <c r="FCX4" s="37"/>
      <c r="FCY4" s="37"/>
      <c r="FCZ4" s="37"/>
      <c r="FDA4" s="37"/>
      <c r="FDB4" s="37"/>
      <c r="FDC4" s="37"/>
      <c r="FDD4" s="37"/>
      <c r="FDE4" s="37"/>
      <c r="FDF4" s="37"/>
      <c r="FDG4" s="37"/>
      <c r="FDH4" s="37"/>
      <c r="FDI4" s="37"/>
      <c r="FDJ4" s="37"/>
      <c r="FDK4" s="37"/>
      <c r="FDL4" s="37"/>
      <c r="FDM4" s="37"/>
      <c r="FDN4" s="37"/>
      <c r="FDO4" s="37"/>
      <c r="FDP4" s="37"/>
      <c r="FDQ4" s="37"/>
      <c r="FDR4" s="37"/>
      <c r="FDS4" s="37"/>
      <c r="FDT4" s="37"/>
      <c r="FDU4" s="37"/>
      <c r="FDV4" s="37"/>
      <c r="FDW4" s="37"/>
      <c r="FDX4" s="37"/>
      <c r="FDY4" s="37"/>
      <c r="FDZ4" s="37"/>
      <c r="FEA4" s="37"/>
      <c r="FEB4" s="37"/>
      <c r="FEC4" s="37"/>
      <c r="FED4" s="37"/>
      <c r="FEE4" s="37"/>
      <c r="FEF4" s="37"/>
      <c r="FEG4" s="37"/>
      <c r="FEH4" s="37"/>
      <c r="FEI4" s="37"/>
      <c r="FEJ4" s="37"/>
      <c r="FEK4" s="37"/>
      <c r="FEL4" s="37"/>
      <c r="FEM4" s="37"/>
      <c r="FEN4" s="37"/>
      <c r="FEO4" s="37"/>
      <c r="FEP4" s="37"/>
      <c r="FEQ4" s="37"/>
      <c r="FER4" s="37"/>
      <c r="FES4" s="37"/>
      <c r="FET4" s="37"/>
      <c r="FEU4" s="37"/>
      <c r="FEV4" s="37"/>
      <c r="FEW4" s="37"/>
      <c r="FEX4" s="37"/>
      <c r="FEY4" s="37"/>
      <c r="FEZ4" s="37"/>
      <c r="FFA4" s="37"/>
      <c r="FFB4" s="37"/>
      <c r="FFC4" s="37"/>
      <c r="FFD4" s="37"/>
      <c r="FFE4" s="37"/>
      <c r="FFF4" s="37"/>
      <c r="FFG4" s="37"/>
      <c r="FFH4" s="37"/>
      <c r="FFI4" s="37"/>
      <c r="FFJ4" s="37"/>
      <c r="FFK4" s="37"/>
      <c r="FFL4" s="37"/>
      <c r="FFM4" s="37"/>
      <c r="FFN4" s="37"/>
      <c r="FFO4" s="37"/>
      <c r="FFP4" s="37"/>
      <c r="FFQ4" s="37"/>
      <c r="FFR4" s="37"/>
      <c r="FFS4" s="37"/>
      <c r="FFT4" s="37"/>
      <c r="FFU4" s="37"/>
      <c r="FFV4" s="37"/>
      <c r="FFW4" s="37"/>
      <c r="FFX4" s="37"/>
      <c r="FFY4" s="37"/>
      <c r="FFZ4" s="37"/>
      <c r="FGA4" s="37"/>
      <c r="FGB4" s="37"/>
      <c r="FGC4" s="37"/>
      <c r="FGD4" s="37"/>
      <c r="FGE4" s="37"/>
      <c r="FGF4" s="37"/>
      <c r="FGG4" s="37"/>
      <c r="FGH4" s="37"/>
      <c r="FGI4" s="37"/>
      <c r="FGJ4" s="37"/>
      <c r="FGK4" s="37"/>
      <c r="FGL4" s="37"/>
      <c r="FGM4" s="37"/>
      <c r="FGN4" s="37"/>
      <c r="FGO4" s="37"/>
      <c r="FGP4" s="37"/>
      <c r="FGQ4" s="37"/>
      <c r="FGR4" s="37"/>
      <c r="FGS4" s="37"/>
      <c r="FGT4" s="37"/>
      <c r="FGU4" s="37"/>
      <c r="FGV4" s="37"/>
      <c r="FGW4" s="37"/>
      <c r="FGX4" s="37"/>
      <c r="FGY4" s="37"/>
      <c r="FGZ4" s="37"/>
      <c r="FHA4" s="37"/>
      <c r="FHB4" s="37"/>
      <c r="FHC4" s="37"/>
      <c r="FHD4" s="37"/>
      <c r="FHE4" s="37"/>
      <c r="FHF4" s="37"/>
      <c r="FHG4" s="37"/>
      <c r="FHH4" s="37"/>
      <c r="FHI4" s="37"/>
      <c r="FHJ4" s="37"/>
      <c r="FHK4" s="37"/>
      <c r="FHL4" s="37"/>
      <c r="FHM4" s="37"/>
      <c r="FHN4" s="37"/>
      <c r="FHO4" s="37"/>
      <c r="FHP4" s="37"/>
      <c r="FHQ4" s="37"/>
      <c r="FHR4" s="37"/>
      <c r="FHS4" s="37"/>
      <c r="FHT4" s="37"/>
      <c r="FHU4" s="37"/>
      <c r="FHV4" s="37"/>
      <c r="FHW4" s="37"/>
      <c r="FHX4" s="37"/>
      <c r="FHY4" s="37"/>
      <c r="FHZ4" s="37"/>
      <c r="FIA4" s="37"/>
      <c r="FIB4" s="37"/>
      <c r="FIC4" s="37"/>
      <c r="FID4" s="37"/>
      <c r="FIE4" s="37"/>
      <c r="FIF4" s="37"/>
      <c r="FIG4" s="37"/>
      <c r="FIH4" s="37"/>
      <c r="FII4" s="37"/>
      <c r="FIJ4" s="37"/>
      <c r="FIK4" s="37"/>
      <c r="FIL4" s="37"/>
      <c r="FIM4" s="37"/>
      <c r="FIN4" s="37"/>
      <c r="FIO4" s="37"/>
      <c r="FIP4" s="37"/>
      <c r="FIQ4" s="37"/>
      <c r="FIR4" s="37"/>
      <c r="FIS4" s="37"/>
      <c r="FIT4" s="37"/>
      <c r="FIU4" s="37"/>
      <c r="FIV4" s="37"/>
      <c r="FIW4" s="37"/>
      <c r="FIX4" s="37"/>
      <c r="FIY4" s="37"/>
      <c r="FIZ4" s="37"/>
      <c r="FJA4" s="37"/>
      <c r="FJB4" s="37"/>
      <c r="FJC4" s="37"/>
      <c r="FJD4" s="37"/>
      <c r="FJE4" s="37"/>
      <c r="FJF4" s="37"/>
      <c r="FJG4" s="37"/>
      <c r="FJH4" s="37"/>
      <c r="FJI4" s="37"/>
      <c r="FJJ4" s="37"/>
      <c r="FJK4" s="37"/>
      <c r="FJL4" s="37"/>
      <c r="FJM4" s="37"/>
      <c r="FJN4" s="37"/>
      <c r="FJO4" s="37"/>
      <c r="FJP4" s="37"/>
      <c r="FJQ4" s="37"/>
      <c r="FJR4" s="37"/>
      <c r="FJS4" s="37"/>
      <c r="FJT4" s="37"/>
      <c r="FJU4" s="37"/>
      <c r="FJV4" s="37"/>
      <c r="FJW4" s="37"/>
      <c r="FJX4" s="37"/>
      <c r="FJY4" s="37"/>
      <c r="FJZ4" s="37"/>
      <c r="FKA4" s="37"/>
      <c r="FKB4" s="37"/>
      <c r="FKC4" s="37"/>
      <c r="FKD4" s="37"/>
      <c r="FKE4" s="37"/>
      <c r="FKF4" s="37"/>
      <c r="FKG4" s="37"/>
      <c r="FKH4" s="37"/>
      <c r="FKI4" s="37"/>
      <c r="FKJ4" s="37"/>
      <c r="FKK4" s="37"/>
      <c r="FKL4" s="37"/>
      <c r="FKM4" s="37"/>
      <c r="FKN4" s="37"/>
      <c r="FKO4" s="37"/>
      <c r="FKP4" s="37"/>
      <c r="FKQ4" s="37"/>
      <c r="FKR4" s="37"/>
      <c r="FKS4" s="37"/>
      <c r="FKT4" s="37"/>
      <c r="FKU4" s="37"/>
      <c r="FKV4" s="37"/>
      <c r="FKW4" s="37"/>
      <c r="FKX4" s="37"/>
      <c r="FKY4" s="37"/>
      <c r="FKZ4" s="37"/>
      <c r="FLA4" s="37"/>
      <c r="FLB4" s="37"/>
      <c r="FLC4" s="37"/>
      <c r="FLD4" s="37"/>
      <c r="FLE4" s="37"/>
      <c r="FLF4" s="37"/>
      <c r="FLG4" s="37"/>
      <c r="FLH4" s="37"/>
      <c r="FLI4" s="37"/>
      <c r="FLJ4" s="37"/>
      <c r="FLK4" s="37"/>
      <c r="FLL4" s="37"/>
      <c r="FLM4" s="37"/>
      <c r="FLN4" s="37"/>
      <c r="FLO4" s="37"/>
      <c r="FLP4" s="37"/>
      <c r="FLQ4" s="37"/>
      <c r="FLR4" s="37"/>
      <c r="FLS4" s="37"/>
      <c r="FLT4" s="37"/>
      <c r="FLU4" s="37"/>
      <c r="FLV4" s="37"/>
      <c r="FLW4" s="37"/>
      <c r="FLX4" s="37"/>
      <c r="FLY4" s="37"/>
      <c r="FLZ4" s="37"/>
      <c r="FMA4" s="37"/>
      <c r="FMB4" s="37"/>
      <c r="FMC4" s="37"/>
      <c r="FMD4" s="37"/>
      <c r="FME4" s="37"/>
      <c r="FMF4" s="37"/>
      <c r="FMG4" s="37"/>
      <c r="FMH4" s="37"/>
      <c r="FMI4" s="37"/>
      <c r="FMJ4" s="37"/>
      <c r="FMK4" s="37"/>
      <c r="FML4" s="37"/>
      <c r="FMM4" s="37"/>
      <c r="FMN4" s="37"/>
      <c r="FMO4" s="37"/>
      <c r="FMP4" s="37"/>
      <c r="FMQ4" s="37"/>
      <c r="FMR4" s="37"/>
      <c r="FMS4" s="37"/>
      <c r="FMT4" s="37"/>
      <c r="FMU4" s="37"/>
      <c r="FMV4" s="37"/>
      <c r="FMW4" s="37"/>
      <c r="FMX4" s="37"/>
      <c r="FMY4" s="37"/>
      <c r="FMZ4" s="37"/>
      <c r="FNA4" s="37"/>
      <c r="FNB4" s="37"/>
      <c r="FNC4" s="37"/>
      <c r="FND4" s="37"/>
      <c r="FNE4" s="37"/>
      <c r="FNF4" s="37"/>
      <c r="FNG4" s="37"/>
      <c r="FNH4" s="37"/>
      <c r="FNI4" s="37"/>
      <c r="FNJ4" s="37"/>
      <c r="FNK4" s="37"/>
      <c r="FNL4" s="37"/>
      <c r="FNM4" s="37"/>
      <c r="FNN4" s="37"/>
      <c r="FNO4" s="37"/>
      <c r="FNP4" s="37"/>
      <c r="FNQ4" s="37"/>
      <c r="FNR4" s="37"/>
      <c r="FNS4" s="37"/>
      <c r="FNT4" s="37"/>
      <c r="FNU4" s="37"/>
      <c r="FNV4" s="37"/>
      <c r="FNW4" s="37"/>
      <c r="FNX4" s="37"/>
      <c r="FNY4" s="37"/>
      <c r="FNZ4" s="37"/>
      <c r="FOA4" s="37"/>
      <c r="FOB4" s="37"/>
      <c r="FOC4" s="37"/>
      <c r="FOD4" s="37"/>
      <c r="FOE4" s="37"/>
      <c r="FOF4" s="37"/>
      <c r="FOG4" s="37"/>
      <c r="FOH4" s="37"/>
      <c r="FOI4" s="37"/>
      <c r="FOJ4" s="37"/>
      <c r="FOK4" s="37"/>
      <c r="FOL4" s="37"/>
      <c r="FOM4" s="37"/>
      <c r="FON4" s="37"/>
      <c r="FOO4" s="37"/>
      <c r="FOP4" s="37"/>
      <c r="FOQ4" s="37"/>
      <c r="FOR4" s="37"/>
      <c r="FOS4" s="37"/>
      <c r="FOT4" s="37"/>
      <c r="FOU4" s="37"/>
      <c r="FOV4" s="37"/>
      <c r="FOW4" s="37"/>
      <c r="FOX4" s="37"/>
      <c r="FOY4" s="37"/>
      <c r="FOZ4" s="37"/>
      <c r="FPA4" s="37"/>
      <c r="FPB4" s="37"/>
      <c r="FPC4" s="37"/>
      <c r="FPD4" s="37"/>
      <c r="FPE4" s="37"/>
      <c r="FPF4" s="37"/>
      <c r="FPG4" s="37"/>
      <c r="FPH4" s="37"/>
      <c r="FPI4" s="37"/>
      <c r="FPJ4" s="37"/>
      <c r="FPK4" s="37"/>
      <c r="FPL4" s="37"/>
      <c r="FPM4" s="37"/>
      <c r="FPN4" s="37"/>
      <c r="FPO4" s="37"/>
      <c r="FPP4" s="37"/>
      <c r="FPQ4" s="37"/>
      <c r="FPR4" s="37"/>
      <c r="FPS4" s="37"/>
      <c r="FPT4" s="37"/>
      <c r="FPU4" s="37"/>
      <c r="FPV4" s="37"/>
      <c r="FPW4" s="37"/>
      <c r="FPX4" s="37"/>
      <c r="FPY4" s="37"/>
      <c r="FPZ4" s="37"/>
      <c r="FQA4" s="37"/>
      <c r="FQB4" s="37"/>
      <c r="FQC4" s="37"/>
      <c r="FQD4" s="37"/>
      <c r="FQE4" s="37"/>
      <c r="FQF4" s="37"/>
      <c r="FQG4" s="37"/>
      <c r="FQH4" s="37"/>
      <c r="FQI4" s="37"/>
      <c r="FQJ4" s="37"/>
      <c r="FQK4" s="37"/>
      <c r="FQL4" s="37"/>
      <c r="FQM4" s="37"/>
      <c r="FQN4" s="37"/>
      <c r="FQO4" s="37"/>
      <c r="FQP4" s="37"/>
      <c r="FQQ4" s="37"/>
      <c r="FQR4" s="37"/>
      <c r="FQS4" s="37"/>
      <c r="FQT4" s="37"/>
      <c r="FQU4" s="37"/>
      <c r="FQV4" s="37"/>
      <c r="FQW4" s="37"/>
      <c r="FQX4" s="37"/>
      <c r="FQY4" s="37"/>
      <c r="FQZ4" s="37"/>
      <c r="FRA4" s="37"/>
      <c r="FRB4" s="37"/>
      <c r="FRC4" s="37"/>
      <c r="FRD4" s="37"/>
      <c r="FRE4" s="37"/>
      <c r="FRF4" s="37"/>
      <c r="FRG4" s="37"/>
      <c r="FRH4" s="37"/>
      <c r="FRI4" s="37"/>
      <c r="FRJ4" s="37"/>
      <c r="FRK4" s="37"/>
      <c r="FRL4" s="37"/>
      <c r="FRM4" s="37"/>
      <c r="FRN4" s="37"/>
      <c r="FRO4" s="37"/>
      <c r="FRP4" s="37"/>
      <c r="FRQ4" s="37"/>
      <c r="FRR4" s="37"/>
      <c r="FRS4" s="37"/>
      <c r="FRT4" s="37"/>
      <c r="FRU4" s="37"/>
      <c r="FRV4" s="37"/>
      <c r="FRW4" s="37"/>
      <c r="FRX4" s="37"/>
      <c r="FRY4" s="37"/>
      <c r="FRZ4" s="37"/>
      <c r="FSA4" s="37"/>
      <c r="FSB4" s="37"/>
      <c r="FSC4" s="37"/>
      <c r="FSD4" s="37"/>
      <c r="FSE4" s="37"/>
      <c r="FSF4" s="37"/>
      <c r="FSG4" s="37"/>
      <c r="FSH4" s="37"/>
      <c r="FSI4" s="37"/>
      <c r="FSJ4" s="37"/>
      <c r="FSK4" s="37"/>
      <c r="FSL4" s="37"/>
      <c r="FSM4" s="37"/>
      <c r="FSN4" s="37"/>
      <c r="FSO4" s="37"/>
      <c r="FSP4" s="37"/>
      <c r="FSQ4" s="37"/>
      <c r="FSR4" s="37"/>
      <c r="FSS4" s="37"/>
      <c r="FST4" s="37"/>
      <c r="FSU4" s="37"/>
      <c r="FSV4" s="37"/>
      <c r="FSW4" s="37"/>
      <c r="FSX4" s="37"/>
      <c r="FSY4" s="37"/>
      <c r="FSZ4" s="37"/>
      <c r="FTA4" s="37"/>
      <c r="FTB4" s="37"/>
      <c r="FTC4" s="37"/>
      <c r="FTD4" s="37"/>
      <c r="FTE4" s="37"/>
      <c r="FTF4" s="37"/>
      <c r="FTG4" s="37"/>
      <c r="FTH4" s="37"/>
      <c r="FTI4" s="37"/>
      <c r="FTJ4" s="37"/>
      <c r="FTK4" s="37"/>
      <c r="FTL4" s="37"/>
      <c r="FTM4" s="37"/>
      <c r="FTN4" s="37"/>
      <c r="FTO4" s="37"/>
      <c r="FTP4" s="37"/>
      <c r="FTQ4" s="37"/>
      <c r="FTR4" s="37"/>
      <c r="FTS4" s="37"/>
      <c r="FTT4" s="37"/>
      <c r="FTU4" s="37"/>
      <c r="FTV4" s="37"/>
      <c r="FTW4" s="37"/>
      <c r="FTX4" s="37"/>
      <c r="FTY4" s="37"/>
      <c r="FTZ4" s="37"/>
      <c r="FUA4" s="37"/>
      <c r="FUB4" s="37"/>
      <c r="FUC4" s="37"/>
      <c r="FUD4" s="37"/>
      <c r="FUE4" s="37"/>
      <c r="FUF4" s="37"/>
      <c r="FUG4" s="37"/>
      <c r="FUH4" s="37"/>
      <c r="FUI4" s="37"/>
      <c r="FUJ4" s="37"/>
      <c r="FUK4" s="37"/>
      <c r="FUL4" s="37"/>
      <c r="FUM4" s="37"/>
      <c r="FUN4" s="37"/>
      <c r="FUO4" s="37"/>
      <c r="FUP4" s="37"/>
      <c r="FUQ4" s="37"/>
      <c r="FUR4" s="37"/>
      <c r="FUS4" s="37"/>
      <c r="FUT4" s="37"/>
      <c r="FUU4" s="37"/>
      <c r="FUV4" s="37"/>
      <c r="FUW4" s="37"/>
      <c r="FUX4" s="37"/>
      <c r="FUY4" s="37"/>
      <c r="FUZ4" s="37"/>
      <c r="FVA4" s="37"/>
      <c r="FVB4" s="37"/>
      <c r="FVC4" s="37"/>
      <c r="FVD4" s="37"/>
      <c r="FVE4" s="37"/>
      <c r="FVF4" s="37"/>
      <c r="FVG4" s="37"/>
      <c r="FVH4" s="37"/>
      <c r="FVI4" s="37"/>
      <c r="FVJ4" s="37"/>
      <c r="FVK4" s="37"/>
      <c r="FVL4" s="37"/>
      <c r="FVM4" s="37"/>
      <c r="FVN4" s="37"/>
      <c r="FVO4" s="37"/>
      <c r="FVP4" s="37"/>
      <c r="FVQ4" s="37"/>
      <c r="FVR4" s="37"/>
      <c r="FVS4" s="37"/>
      <c r="FVT4" s="37"/>
      <c r="FVU4" s="37"/>
      <c r="FVV4" s="37"/>
      <c r="FVW4" s="37"/>
      <c r="FVX4" s="37"/>
      <c r="FVY4" s="37"/>
      <c r="FVZ4" s="37"/>
      <c r="FWA4" s="37"/>
      <c r="FWB4" s="37"/>
      <c r="FWC4" s="37"/>
      <c r="FWD4" s="37"/>
      <c r="FWE4" s="37"/>
      <c r="FWF4" s="37"/>
      <c r="FWG4" s="37"/>
      <c r="FWH4" s="37"/>
      <c r="FWI4" s="37"/>
      <c r="FWJ4" s="37"/>
      <c r="FWK4" s="37"/>
      <c r="FWL4" s="37"/>
      <c r="FWM4" s="37"/>
      <c r="FWN4" s="37"/>
      <c r="FWO4" s="37"/>
      <c r="FWP4" s="37"/>
      <c r="FWQ4" s="37"/>
      <c r="FWR4" s="37"/>
      <c r="FWS4" s="37"/>
      <c r="FWT4" s="37"/>
      <c r="FWU4" s="37"/>
      <c r="FWV4" s="37"/>
      <c r="FWW4" s="37"/>
      <c r="FWX4" s="37"/>
      <c r="FWY4" s="37"/>
      <c r="FWZ4" s="37"/>
      <c r="FXA4" s="37"/>
      <c r="FXB4" s="37"/>
      <c r="FXC4" s="37"/>
      <c r="FXD4" s="37"/>
      <c r="FXE4" s="37"/>
      <c r="FXF4" s="37"/>
      <c r="FXG4" s="37"/>
      <c r="FXH4" s="37"/>
      <c r="FXI4" s="37"/>
      <c r="FXJ4" s="37"/>
      <c r="FXK4" s="37"/>
      <c r="FXL4" s="37"/>
      <c r="FXM4" s="37"/>
      <c r="FXN4" s="37"/>
      <c r="FXO4" s="37"/>
      <c r="FXP4" s="37"/>
      <c r="FXQ4" s="37"/>
      <c r="FXR4" s="37"/>
      <c r="FXS4" s="37"/>
      <c r="FXT4" s="37"/>
      <c r="FXU4" s="37"/>
      <c r="FXV4" s="37"/>
      <c r="FXW4" s="37"/>
      <c r="FXX4" s="37"/>
      <c r="FXY4" s="37"/>
      <c r="FXZ4" s="37"/>
      <c r="FYA4" s="37"/>
      <c r="FYB4" s="37"/>
      <c r="FYC4" s="37"/>
      <c r="FYD4" s="37"/>
      <c r="FYE4" s="37"/>
      <c r="FYF4" s="37"/>
      <c r="FYG4" s="37"/>
      <c r="FYH4" s="37"/>
      <c r="FYI4" s="37"/>
      <c r="FYJ4" s="37"/>
      <c r="FYK4" s="37"/>
      <c r="FYL4" s="37"/>
      <c r="FYM4" s="37"/>
      <c r="FYN4" s="37"/>
      <c r="FYO4" s="37"/>
      <c r="FYP4" s="37"/>
      <c r="FYQ4" s="37"/>
      <c r="FYR4" s="37"/>
      <c r="FYS4" s="37"/>
      <c r="FYT4" s="37"/>
      <c r="FYU4" s="37"/>
      <c r="FYV4" s="37"/>
      <c r="FYW4" s="37"/>
      <c r="FYX4" s="37"/>
      <c r="FYY4" s="37"/>
      <c r="FYZ4" s="37"/>
      <c r="FZA4" s="37"/>
      <c r="FZB4" s="37"/>
      <c r="FZC4" s="37"/>
      <c r="FZD4" s="37"/>
      <c r="FZE4" s="37"/>
      <c r="FZF4" s="37"/>
      <c r="FZG4" s="37"/>
      <c r="FZH4" s="37"/>
      <c r="FZI4" s="37"/>
      <c r="FZJ4" s="37"/>
      <c r="FZK4" s="37"/>
      <c r="FZL4" s="37"/>
      <c r="FZM4" s="37"/>
      <c r="FZN4" s="37"/>
      <c r="FZO4" s="37"/>
      <c r="FZP4" s="37"/>
      <c r="FZQ4" s="37"/>
      <c r="FZR4" s="37"/>
      <c r="FZS4" s="37"/>
      <c r="FZT4" s="37"/>
      <c r="FZU4" s="37"/>
      <c r="FZV4" s="37"/>
      <c r="FZW4" s="37"/>
      <c r="FZX4" s="37"/>
      <c r="FZY4" s="37"/>
      <c r="FZZ4" s="37"/>
      <c r="GAA4" s="37"/>
      <c r="GAB4" s="37"/>
      <c r="GAC4" s="37"/>
      <c r="GAD4" s="37"/>
      <c r="GAE4" s="37"/>
      <c r="GAF4" s="37"/>
      <c r="GAG4" s="37"/>
      <c r="GAH4" s="37"/>
      <c r="GAI4" s="37"/>
      <c r="GAJ4" s="37"/>
      <c r="GAK4" s="37"/>
      <c r="GAL4" s="37"/>
      <c r="GAM4" s="37"/>
      <c r="GAN4" s="37"/>
      <c r="GAO4" s="37"/>
      <c r="GAP4" s="37"/>
      <c r="GAQ4" s="37"/>
      <c r="GAR4" s="37"/>
      <c r="GAS4" s="37"/>
      <c r="GAT4" s="37"/>
      <c r="GAU4" s="37"/>
      <c r="GAV4" s="37"/>
      <c r="GAW4" s="37"/>
      <c r="GAX4" s="37"/>
      <c r="GAY4" s="37"/>
      <c r="GAZ4" s="37"/>
      <c r="GBA4" s="37"/>
      <c r="GBB4" s="37"/>
      <c r="GBC4" s="37"/>
      <c r="GBD4" s="37"/>
      <c r="GBE4" s="37"/>
      <c r="GBF4" s="37"/>
      <c r="GBG4" s="37"/>
      <c r="GBH4" s="37"/>
      <c r="GBI4" s="37"/>
      <c r="GBJ4" s="37"/>
      <c r="GBK4" s="37"/>
      <c r="GBL4" s="37"/>
      <c r="GBM4" s="37"/>
      <c r="GBN4" s="37"/>
      <c r="GBO4" s="37"/>
      <c r="GBP4" s="37"/>
      <c r="GBQ4" s="37"/>
      <c r="GBR4" s="37"/>
      <c r="GBS4" s="37"/>
      <c r="GBT4" s="37"/>
      <c r="GBU4" s="37"/>
      <c r="GBV4" s="37"/>
      <c r="GBW4" s="37"/>
      <c r="GBX4" s="37"/>
      <c r="GBY4" s="37"/>
      <c r="GBZ4" s="37"/>
      <c r="GCA4" s="37"/>
      <c r="GCB4" s="37"/>
      <c r="GCC4" s="37"/>
      <c r="GCD4" s="37"/>
      <c r="GCE4" s="37"/>
      <c r="GCF4" s="37"/>
      <c r="GCG4" s="37"/>
      <c r="GCH4" s="37"/>
      <c r="GCI4" s="37"/>
      <c r="GCJ4" s="37"/>
      <c r="GCK4" s="37"/>
      <c r="GCL4" s="37"/>
      <c r="GCM4" s="37"/>
      <c r="GCN4" s="37"/>
      <c r="GCO4" s="37"/>
      <c r="GCP4" s="37"/>
      <c r="GCQ4" s="37"/>
      <c r="GCR4" s="37"/>
      <c r="GCS4" s="37"/>
      <c r="GCT4" s="37"/>
      <c r="GCU4" s="37"/>
      <c r="GCV4" s="37"/>
      <c r="GCW4" s="37"/>
      <c r="GCX4" s="37"/>
      <c r="GCY4" s="37"/>
      <c r="GCZ4" s="37"/>
      <c r="GDA4" s="37"/>
      <c r="GDB4" s="37"/>
      <c r="GDC4" s="37"/>
      <c r="GDD4" s="37"/>
      <c r="GDE4" s="37"/>
      <c r="GDF4" s="37"/>
      <c r="GDG4" s="37"/>
      <c r="GDH4" s="37"/>
      <c r="GDI4" s="37"/>
      <c r="GDJ4" s="37"/>
      <c r="GDK4" s="37"/>
      <c r="GDL4" s="37"/>
      <c r="GDM4" s="37"/>
      <c r="GDN4" s="37"/>
      <c r="GDO4" s="37"/>
      <c r="GDP4" s="37"/>
      <c r="GDQ4" s="37"/>
      <c r="GDR4" s="37"/>
      <c r="GDS4" s="37"/>
      <c r="GDT4" s="37"/>
      <c r="GDU4" s="37"/>
      <c r="GDV4" s="37"/>
      <c r="GDW4" s="37"/>
      <c r="GDX4" s="37"/>
      <c r="GDY4" s="37"/>
      <c r="GDZ4" s="37"/>
      <c r="GEA4" s="37"/>
      <c r="GEB4" s="37"/>
      <c r="GEC4" s="37"/>
      <c r="GED4" s="37"/>
      <c r="GEE4" s="37"/>
      <c r="GEF4" s="37"/>
      <c r="GEG4" s="37"/>
      <c r="GEH4" s="37"/>
      <c r="GEI4" s="37"/>
      <c r="GEJ4" s="37"/>
      <c r="GEK4" s="37"/>
      <c r="GEL4" s="37"/>
      <c r="GEM4" s="37"/>
      <c r="GEN4" s="37"/>
      <c r="GEO4" s="37"/>
      <c r="GEP4" s="37"/>
      <c r="GEQ4" s="37"/>
      <c r="GER4" s="37"/>
      <c r="GES4" s="37"/>
      <c r="GET4" s="37"/>
      <c r="GEU4" s="37"/>
      <c r="GEV4" s="37"/>
      <c r="GEW4" s="37"/>
      <c r="GEX4" s="37"/>
      <c r="GEY4" s="37"/>
      <c r="GEZ4" s="37"/>
      <c r="GFA4" s="37"/>
      <c r="GFB4" s="37"/>
      <c r="GFC4" s="37"/>
      <c r="GFD4" s="37"/>
      <c r="GFE4" s="37"/>
      <c r="GFF4" s="37"/>
      <c r="GFG4" s="37"/>
      <c r="GFH4" s="37"/>
      <c r="GFI4" s="37"/>
      <c r="GFJ4" s="37"/>
      <c r="GFK4" s="37"/>
      <c r="GFL4" s="37"/>
      <c r="GFM4" s="37"/>
      <c r="GFN4" s="37"/>
      <c r="GFO4" s="37"/>
      <c r="GFP4" s="37"/>
      <c r="GFQ4" s="37"/>
      <c r="GFR4" s="37"/>
      <c r="GFS4" s="37"/>
      <c r="GFT4" s="37"/>
      <c r="GFU4" s="37"/>
      <c r="GFV4" s="37"/>
      <c r="GFW4" s="37"/>
      <c r="GFX4" s="37"/>
      <c r="GFY4" s="37"/>
      <c r="GFZ4" s="37"/>
      <c r="GGA4" s="37"/>
      <c r="GGB4" s="37"/>
      <c r="GGC4" s="37"/>
      <c r="GGD4" s="37"/>
      <c r="GGE4" s="37"/>
      <c r="GGF4" s="37"/>
      <c r="GGG4" s="37"/>
      <c r="GGH4" s="37"/>
      <c r="GGI4" s="37"/>
      <c r="GGJ4" s="37"/>
      <c r="GGK4" s="37"/>
      <c r="GGL4" s="37"/>
      <c r="GGM4" s="37"/>
      <c r="GGN4" s="37"/>
      <c r="GGO4" s="37"/>
      <c r="GGP4" s="37"/>
      <c r="GGQ4" s="37"/>
      <c r="GGR4" s="37"/>
      <c r="GGS4" s="37"/>
      <c r="GGT4" s="37"/>
      <c r="GGU4" s="37"/>
      <c r="GGV4" s="37"/>
      <c r="GGW4" s="37"/>
      <c r="GGX4" s="37"/>
      <c r="GGY4" s="37"/>
      <c r="GGZ4" s="37"/>
      <c r="GHA4" s="37"/>
      <c r="GHB4" s="37"/>
      <c r="GHC4" s="37"/>
      <c r="GHD4" s="37"/>
      <c r="GHE4" s="37"/>
      <c r="GHF4" s="37"/>
      <c r="GHG4" s="37"/>
      <c r="GHH4" s="37"/>
      <c r="GHI4" s="37"/>
      <c r="GHJ4" s="37"/>
      <c r="GHK4" s="37"/>
      <c r="GHL4" s="37"/>
      <c r="GHM4" s="37"/>
      <c r="GHN4" s="37"/>
      <c r="GHO4" s="37"/>
      <c r="GHP4" s="37"/>
      <c r="GHQ4" s="37"/>
      <c r="GHR4" s="37"/>
      <c r="GHS4" s="37"/>
      <c r="GHT4" s="37"/>
      <c r="GHU4" s="37"/>
      <c r="GHV4" s="37"/>
      <c r="GHW4" s="37"/>
      <c r="GHX4" s="37"/>
      <c r="GHY4" s="37"/>
      <c r="GHZ4" s="37"/>
      <c r="GIA4" s="37"/>
      <c r="GIB4" s="37"/>
      <c r="GIC4" s="37"/>
      <c r="GID4" s="37"/>
      <c r="GIE4" s="37"/>
      <c r="GIF4" s="37"/>
      <c r="GIG4" s="37"/>
      <c r="GIH4" s="37"/>
      <c r="GII4" s="37"/>
      <c r="GIJ4" s="37"/>
      <c r="GIK4" s="37"/>
      <c r="GIL4" s="37"/>
      <c r="GIM4" s="37"/>
      <c r="GIN4" s="37"/>
      <c r="GIO4" s="37"/>
      <c r="GIP4" s="37"/>
      <c r="GIQ4" s="37"/>
      <c r="GIR4" s="37"/>
      <c r="GIS4" s="37"/>
      <c r="GIT4" s="37"/>
      <c r="GIU4" s="37"/>
      <c r="GIV4" s="37"/>
      <c r="GIW4" s="37"/>
      <c r="GIX4" s="37"/>
      <c r="GIY4" s="37"/>
      <c r="GIZ4" s="37"/>
      <c r="GJA4" s="37"/>
      <c r="GJB4" s="37"/>
      <c r="GJC4" s="37"/>
      <c r="GJD4" s="37"/>
      <c r="GJE4" s="37"/>
      <c r="GJF4" s="37"/>
      <c r="GJG4" s="37"/>
      <c r="GJH4" s="37"/>
      <c r="GJI4" s="37"/>
      <c r="GJJ4" s="37"/>
      <c r="GJK4" s="37"/>
      <c r="GJL4" s="37"/>
      <c r="GJM4" s="37"/>
      <c r="GJN4" s="37"/>
      <c r="GJO4" s="37"/>
      <c r="GJP4" s="37"/>
      <c r="GJQ4" s="37"/>
      <c r="GJR4" s="37"/>
      <c r="GJS4" s="37"/>
      <c r="GJT4" s="37"/>
      <c r="GJU4" s="37"/>
      <c r="GJV4" s="37"/>
      <c r="GJW4" s="37"/>
      <c r="GJX4" s="37"/>
      <c r="GJY4" s="37"/>
      <c r="GJZ4" s="37"/>
      <c r="GKA4" s="37"/>
      <c r="GKB4" s="37"/>
      <c r="GKC4" s="37"/>
      <c r="GKD4" s="37"/>
      <c r="GKE4" s="37"/>
      <c r="GKF4" s="37"/>
      <c r="GKG4" s="37"/>
      <c r="GKH4" s="37"/>
      <c r="GKI4" s="37"/>
      <c r="GKJ4" s="37"/>
      <c r="GKK4" s="37"/>
      <c r="GKL4" s="37"/>
      <c r="GKM4" s="37"/>
      <c r="GKN4" s="37"/>
      <c r="GKO4" s="37"/>
      <c r="GKP4" s="37"/>
      <c r="GKQ4" s="37"/>
      <c r="GKR4" s="37"/>
      <c r="GKS4" s="37"/>
      <c r="GKT4" s="37"/>
      <c r="GKU4" s="37"/>
      <c r="GKV4" s="37"/>
      <c r="GKW4" s="37"/>
      <c r="GKX4" s="37"/>
      <c r="GKY4" s="37"/>
      <c r="GKZ4" s="37"/>
      <c r="GLA4" s="37"/>
      <c r="GLB4" s="37"/>
      <c r="GLC4" s="37"/>
      <c r="GLD4" s="37"/>
      <c r="GLE4" s="37"/>
      <c r="GLF4" s="37"/>
      <c r="GLG4" s="37"/>
      <c r="GLH4" s="37"/>
      <c r="GLI4" s="37"/>
      <c r="GLJ4" s="37"/>
      <c r="GLK4" s="37"/>
      <c r="GLL4" s="37"/>
      <c r="GLM4" s="37"/>
      <c r="GLN4" s="37"/>
      <c r="GLO4" s="37"/>
      <c r="GLP4" s="37"/>
      <c r="GLQ4" s="37"/>
      <c r="GLR4" s="37"/>
      <c r="GLS4" s="37"/>
      <c r="GLT4" s="37"/>
      <c r="GLU4" s="37"/>
      <c r="GLV4" s="37"/>
      <c r="GLW4" s="37"/>
      <c r="GLX4" s="37"/>
      <c r="GLY4" s="37"/>
      <c r="GLZ4" s="37"/>
      <c r="GMA4" s="37"/>
      <c r="GMB4" s="37"/>
      <c r="GMC4" s="37"/>
      <c r="GMD4" s="37"/>
      <c r="GME4" s="37"/>
      <c r="GMF4" s="37"/>
      <c r="GMG4" s="37"/>
      <c r="GMH4" s="37"/>
      <c r="GMI4" s="37"/>
      <c r="GMJ4" s="37"/>
      <c r="GMK4" s="37"/>
      <c r="GML4" s="37"/>
      <c r="GMM4" s="37"/>
      <c r="GMN4" s="37"/>
      <c r="GMO4" s="37"/>
      <c r="GMP4" s="37"/>
      <c r="GMQ4" s="37"/>
      <c r="GMR4" s="37"/>
      <c r="GMS4" s="37"/>
      <c r="GMT4" s="37"/>
      <c r="GMU4" s="37"/>
      <c r="GMV4" s="37"/>
      <c r="GMW4" s="37"/>
      <c r="GMX4" s="37"/>
      <c r="GMY4" s="37"/>
      <c r="GMZ4" s="37"/>
      <c r="GNA4" s="37"/>
      <c r="GNB4" s="37"/>
      <c r="GNC4" s="37"/>
      <c r="GND4" s="37"/>
      <c r="GNE4" s="37"/>
      <c r="GNF4" s="37"/>
      <c r="GNG4" s="37"/>
      <c r="GNH4" s="37"/>
      <c r="GNI4" s="37"/>
      <c r="GNJ4" s="37"/>
      <c r="GNK4" s="37"/>
      <c r="GNL4" s="37"/>
      <c r="GNM4" s="37"/>
      <c r="GNN4" s="37"/>
      <c r="GNO4" s="37"/>
      <c r="GNP4" s="37"/>
      <c r="GNQ4" s="37"/>
      <c r="GNR4" s="37"/>
      <c r="GNS4" s="37"/>
      <c r="GNT4" s="37"/>
      <c r="GNU4" s="37"/>
      <c r="GNV4" s="37"/>
      <c r="GNW4" s="37"/>
      <c r="GNX4" s="37"/>
      <c r="GNY4" s="37"/>
      <c r="GNZ4" s="37"/>
      <c r="GOA4" s="37"/>
      <c r="GOB4" s="37"/>
      <c r="GOC4" s="37"/>
      <c r="GOD4" s="37"/>
      <c r="GOE4" s="37"/>
      <c r="GOF4" s="37"/>
      <c r="GOG4" s="37"/>
      <c r="GOH4" s="37"/>
      <c r="GOI4" s="37"/>
      <c r="GOJ4" s="37"/>
      <c r="GOK4" s="37"/>
      <c r="GOL4" s="37"/>
      <c r="GOM4" s="37"/>
      <c r="GON4" s="37"/>
      <c r="GOO4" s="37"/>
      <c r="GOP4" s="37"/>
      <c r="GOQ4" s="37"/>
      <c r="GOR4" s="37"/>
      <c r="GOS4" s="37"/>
      <c r="GOT4" s="37"/>
      <c r="GOU4" s="37"/>
      <c r="GOV4" s="37"/>
      <c r="GOW4" s="37"/>
      <c r="GOX4" s="37"/>
      <c r="GOY4" s="37"/>
      <c r="GOZ4" s="37"/>
      <c r="GPA4" s="37"/>
      <c r="GPB4" s="37"/>
      <c r="GPC4" s="37"/>
      <c r="GPD4" s="37"/>
      <c r="GPE4" s="37"/>
      <c r="GPF4" s="37"/>
      <c r="GPG4" s="37"/>
      <c r="GPH4" s="37"/>
      <c r="GPI4" s="37"/>
      <c r="GPJ4" s="37"/>
      <c r="GPK4" s="37"/>
      <c r="GPL4" s="37"/>
      <c r="GPM4" s="37"/>
      <c r="GPN4" s="37"/>
      <c r="GPO4" s="37"/>
      <c r="GPP4" s="37"/>
      <c r="GPQ4" s="37"/>
      <c r="GPR4" s="37"/>
      <c r="GPS4" s="37"/>
      <c r="GPT4" s="37"/>
      <c r="GPU4" s="37"/>
      <c r="GPV4" s="37"/>
      <c r="GPW4" s="37"/>
      <c r="GPX4" s="37"/>
      <c r="GPY4" s="37"/>
      <c r="GPZ4" s="37"/>
      <c r="GQA4" s="37"/>
      <c r="GQB4" s="37"/>
      <c r="GQC4" s="37"/>
      <c r="GQD4" s="37"/>
      <c r="GQE4" s="37"/>
      <c r="GQF4" s="37"/>
      <c r="GQG4" s="37"/>
      <c r="GQH4" s="37"/>
      <c r="GQI4" s="37"/>
      <c r="GQJ4" s="37"/>
      <c r="GQK4" s="37"/>
      <c r="GQL4" s="37"/>
      <c r="GQM4" s="37"/>
      <c r="GQN4" s="37"/>
      <c r="GQO4" s="37"/>
      <c r="GQP4" s="37"/>
      <c r="GQQ4" s="37"/>
      <c r="GQR4" s="37"/>
      <c r="GQS4" s="37"/>
      <c r="GQT4" s="37"/>
      <c r="GQU4" s="37"/>
      <c r="GQV4" s="37"/>
      <c r="GQW4" s="37"/>
      <c r="GQX4" s="37"/>
      <c r="GQY4" s="37"/>
      <c r="GQZ4" s="37"/>
      <c r="GRA4" s="37"/>
      <c r="GRB4" s="37"/>
      <c r="GRC4" s="37"/>
      <c r="GRD4" s="37"/>
      <c r="GRE4" s="37"/>
      <c r="GRF4" s="37"/>
      <c r="GRG4" s="37"/>
      <c r="GRH4" s="37"/>
      <c r="GRI4" s="37"/>
      <c r="GRJ4" s="37"/>
      <c r="GRK4" s="37"/>
      <c r="GRL4" s="37"/>
      <c r="GRM4" s="37"/>
      <c r="GRN4" s="37"/>
      <c r="GRO4" s="37"/>
      <c r="GRP4" s="37"/>
      <c r="GRQ4" s="37"/>
      <c r="GRR4" s="37"/>
      <c r="GRS4" s="37"/>
      <c r="GRT4" s="37"/>
      <c r="GRU4" s="37"/>
      <c r="GRV4" s="37"/>
      <c r="GRW4" s="37"/>
      <c r="GRX4" s="37"/>
      <c r="GRY4" s="37"/>
      <c r="GRZ4" s="37"/>
      <c r="GSA4" s="37"/>
      <c r="GSB4" s="37"/>
      <c r="GSC4" s="37"/>
      <c r="GSD4" s="37"/>
      <c r="GSE4" s="37"/>
      <c r="GSF4" s="37"/>
      <c r="GSG4" s="37"/>
      <c r="GSH4" s="37"/>
      <c r="GSI4" s="37"/>
      <c r="GSJ4" s="37"/>
      <c r="GSK4" s="37"/>
      <c r="GSL4" s="37"/>
      <c r="GSM4" s="37"/>
      <c r="GSN4" s="37"/>
      <c r="GSO4" s="37"/>
      <c r="GSP4" s="37"/>
      <c r="GSQ4" s="37"/>
      <c r="GSR4" s="37"/>
      <c r="GSS4" s="37"/>
      <c r="GST4" s="37"/>
      <c r="GSU4" s="37"/>
      <c r="GSV4" s="37"/>
      <c r="GSW4" s="37"/>
      <c r="GSX4" s="37"/>
      <c r="GSY4" s="37"/>
      <c r="GSZ4" s="37"/>
      <c r="GTA4" s="37"/>
      <c r="GTB4" s="37"/>
      <c r="GTC4" s="37"/>
      <c r="GTD4" s="37"/>
      <c r="GTE4" s="37"/>
      <c r="GTF4" s="37"/>
      <c r="GTG4" s="37"/>
      <c r="GTH4" s="37"/>
      <c r="GTI4" s="37"/>
      <c r="GTJ4" s="37"/>
      <c r="GTK4" s="37"/>
      <c r="GTL4" s="37"/>
      <c r="GTM4" s="37"/>
      <c r="GTN4" s="37"/>
      <c r="GTO4" s="37"/>
      <c r="GTP4" s="37"/>
      <c r="GTQ4" s="37"/>
      <c r="GTR4" s="37"/>
      <c r="GTS4" s="37"/>
      <c r="GTT4" s="37"/>
      <c r="GTU4" s="37"/>
      <c r="GTV4" s="37"/>
      <c r="GTW4" s="37"/>
      <c r="GTX4" s="37"/>
      <c r="GTY4" s="37"/>
      <c r="GTZ4" s="37"/>
      <c r="GUA4" s="37"/>
      <c r="GUB4" s="37"/>
      <c r="GUC4" s="37"/>
      <c r="GUD4" s="37"/>
      <c r="GUE4" s="37"/>
      <c r="GUF4" s="37"/>
      <c r="GUG4" s="37"/>
      <c r="GUH4" s="37"/>
      <c r="GUI4" s="37"/>
      <c r="GUJ4" s="37"/>
      <c r="GUK4" s="37"/>
      <c r="GUL4" s="37"/>
      <c r="GUM4" s="37"/>
      <c r="GUN4" s="37"/>
      <c r="GUO4" s="37"/>
      <c r="GUP4" s="37"/>
      <c r="GUQ4" s="37"/>
      <c r="GUR4" s="37"/>
      <c r="GUS4" s="37"/>
      <c r="GUT4" s="37"/>
      <c r="GUU4" s="37"/>
      <c r="GUV4" s="37"/>
      <c r="GUW4" s="37"/>
      <c r="GUX4" s="37"/>
      <c r="GUY4" s="37"/>
      <c r="GUZ4" s="37"/>
      <c r="GVA4" s="37"/>
      <c r="GVB4" s="37"/>
      <c r="GVC4" s="37"/>
      <c r="GVD4" s="37"/>
      <c r="GVE4" s="37"/>
      <c r="GVF4" s="37"/>
      <c r="GVG4" s="37"/>
      <c r="GVH4" s="37"/>
      <c r="GVI4" s="37"/>
      <c r="GVJ4" s="37"/>
      <c r="GVK4" s="37"/>
      <c r="GVL4" s="37"/>
      <c r="GVM4" s="37"/>
      <c r="GVN4" s="37"/>
      <c r="GVO4" s="37"/>
      <c r="GVP4" s="37"/>
      <c r="GVQ4" s="37"/>
      <c r="GVR4" s="37"/>
      <c r="GVS4" s="37"/>
      <c r="GVT4" s="37"/>
      <c r="GVU4" s="37"/>
      <c r="GVV4" s="37"/>
      <c r="GVW4" s="37"/>
      <c r="GVX4" s="37"/>
      <c r="GVY4" s="37"/>
      <c r="GVZ4" s="37"/>
      <c r="GWA4" s="37"/>
      <c r="GWB4" s="37"/>
      <c r="GWC4" s="37"/>
      <c r="GWD4" s="37"/>
      <c r="GWE4" s="37"/>
      <c r="GWF4" s="37"/>
      <c r="GWG4" s="37"/>
      <c r="GWH4" s="37"/>
      <c r="GWI4" s="37"/>
      <c r="GWJ4" s="37"/>
      <c r="GWK4" s="37"/>
      <c r="GWL4" s="37"/>
      <c r="GWM4" s="37"/>
      <c r="GWN4" s="37"/>
      <c r="GWO4" s="37"/>
      <c r="GWP4" s="37"/>
      <c r="GWQ4" s="37"/>
      <c r="GWR4" s="37"/>
      <c r="GWS4" s="37"/>
      <c r="GWT4" s="37"/>
      <c r="GWU4" s="37"/>
      <c r="GWV4" s="37"/>
      <c r="GWW4" s="37"/>
      <c r="GWX4" s="37"/>
      <c r="GWY4" s="37"/>
      <c r="GWZ4" s="37"/>
      <c r="GXA4" s="37"/>
      <c r="GXB4" s="37"/>
      <c r="GXC4" s="37"/>
      <c r="GXD4" s="37"/>
      <c r="GXE4" s="37"/>
      <c r="GXF4" s="37"/>
      <c r="GXG4" s="37"/>
      <c r="GXH4" s="37"/>
      <c r="GXI4" s="37"/>
      <c r="GXJ4" s="37"/>
      <c r="GXK4" s="37"/>
      <c r="GXL4" s="37"/>
      <c r="GXM4" s="37"/>
      <c r="GXN4" s="37"/>
      <c r="GXO4" s="37"/>
      <c r="GXP4" s="37"/>
      <c r="GXQ4" s="37"/>
      <c r="GXR4" s="37"/>
      <c r="GXS4" s="37"/>
      <c r="GXT4" s="37"/>
      <c r="GXU4" s="37"/>
      <c r="GXV4" s="37"/>
      <c r="GXW4" s="37"/>
      <c r="GXX4" s="37"/>
      <c r="GXY4" s="37"/>
      <c r="GXZ4" s="37"/>
      <c r="GYA4" s="37"/>
      <c r="GYB4" s="37"/>
      <c r="GYC4" s="37"/>
      <c r="GYD4" s="37"/>
      <c r="GYE4" s="37"/>
      <c r="GYF4" s="37"/>
      <c r="GYG4" s="37"/>
      <c r="GYH4" s="37"/>
      <c r="GYI4" s="37"/>
      <c r="GYJ4" s="37"/>
      <c r="GYK4" s="37"/>
      <c r="GYL4" s="37"/>
      <c r="GYM4" s="37"/>
      <c r="GYN4" s="37"/>
      <c r="GYO4" s="37"/>
      <c r="GYP4" s="37"/>
      <c r="GYQ4" s="37"/>
      <c r="GYR4" s="37"/>
      <c r="GYS4" s="37"/>
      <c r="GYT4" s="37"/>
      <c r="GYU4" s="37"/>
      <c r="GYV4" s="37"/>
      <c r="GYW4" s="37"/>
      <c r="GYX4" s="37"/>
      <c r="GYY4" s="37"/>
      <c r="GYZ4" s="37"/>
      <c r="GZA4" s="37"/>
      <c r="GZB4" s="37"/>
      <c r="GZC4" s="37"/>
      <c r="GZD4" s="37"/>
      <c r="GZE4" s="37"/>
      <c r="GZF4" s="37"/>
      <c r="GZG4" s="37"/>
      <c r="GZH4" s="37"/>
      <c r="GZI4" s="37"/>
      <c r="GZJ4" s="37"/>
      <c r="GZK4" s="37"/>
      <c r="GZL4" s="37"/>
      <c r="GZM4" s="37"/>
      <c r="GZN4" s="37"/>
      <c r="GZO4" s="37"/>
      <c r="GZP4" s="37"/>
      <c r="GZQ4" s="37"/>
      <c r="GZR4" s="37"/>
      <c r="GZS4" s="37"/>
      <c r="GZT4" s="37"/>
      <c r="GZU4" s="37"/>
      <c r="GZV4" s="37"/>
      <c r="GZW4" s="37"/>
      <c r="GZX4" s="37"/>
      <c r="GZY4" s="37"/>
      <c r="GZZ4" s="37"/>
      <c r="HAA4" s="37"/>
      <c r="HAB4" s="37"/>
      <c r="HAC4" s="37"/>
      <c r="HAD4" s="37"/>
      <c r="HAE4" s="37"/>
      <c r="HAF4" s="37"/>
      <c r="HAG4" s="37"/>
      <c r="HAH4" s="37"/>
      <c r="HAI4" s="37"/>
      <c r="HAJ4" s="37"/>
      <c r="HAK4" s="37"/>
      <c r="HAL4" s="37"/>
      <c r="HAM4" s="37"/>
      <c r="HAN4" s="37"/>
      <c r="HAO4" s="37"/>
      <c r="HAP4" s="37"/>
      <c r="HAQ4" s="37"/>
      <c r="HAR4" s="37"/>
      <c r="HAS4" s="37"/>
      <c r="HAT4" s="37"/>
      <c r="HAU4" s="37"/>
      <c r="HAV4" s="37"/>
      <c r="HAW4" s="37"/>
      <c r="HAX4" s="37"/>
      <c r="HAY4" s="37"/>
      <c r="HAZ4" s="37"/>
      <c r="HBA4" s="37"/>
      <c r="HBB4" s="37"/>
      <c r="HBC4" s="37"/>
      <c r="HBD4" s="37"/>
      <c r="HBE4" s="37"/>
      <c r="HBF4" s="37"/>
      <c r="HBG4" s="37"/>
      <c r="HBH4" s="37"/>
      <c r="HBI4" s="37"/>
      <c r="HBJ4" s="37"/>
      <c r="HBK4" s="37"/>
      <c r="HBL4" s="37"/>
      <c r="HBM4" s="37"/>
      <c r="HBN4" s="37"/>
      <c r="HBO4" s="37"/>
      <c r="HBP4" s="37"/>
      <c r="HBQ4" s="37"/>
      <c r="HBR4" s="37"/>
      <c r="HBS4" s="37"/>
      <c r="HBT4" s="37"/>
      <c r="HBU4" s="37"/>
      <c r="HBV4" s="37"/>
      <c r="HBW4" s="37"/>
      <c r="HBX4" s="37"/>
      <c r="HBY4" s="37"/>
      <c r="HBZ4" s="37"/>
      <c r="HCA4" s="37"/>
      <c r="HCB4" s="37"/>
      <c r="HCC4" s="37"/>
      <c r="HCD4" s="37"/>
      <c r="HCE4" s="37"/>
      <c r="HCF4" s="37"/>
      <c r="HCG4" s="37"/>
      <c r="HCH4" s="37"/>
      <c r="HCI4" s="37"/>
      <c r="HCJ4" s="37"/>
      <c r="HCK4" s="37"/>
      <c r="HCL4" s="37"/>
      <c r="HCM4" s="37"/>
      <c r="HCN4" s="37"/>
      <c r="HCO4" s="37"/>
      <c r="HCP4" s="37"/>
      <c r="HCQ4" s="37"/>
      <c r="HCR4" s="37"/>
      <c r="HCS4" s="37"/>
      <c r="HCT4" s="37"/>
      <c r="HCU4" s="37"/>
      <c r="HCV4" s="37"/>
      <c r="HCW4" s="37"/>
      <c r="HCX4" s="37"/>
      <c r="HCY4" s="37"/>
      <c r="HCZ4" s="37"/>
      <c r="HDA4" s="37"/>
      <c r="HDB4" s="37"/>
      <c r="HDC4" s="37"/>
      <c r="HDD4" s="37"/>
      <c r="HDE4" s="37"/>
      <c r="HDF4" s="37"/>
      <c r="HDG4" s="37"/>
      <c r="HDH4" s="37"/>
      <c r="HDI4" s="37"/>
      <c r="HDJ4" s="37"/>
      <c r="HDK4" s="37"/>
      <c r="HDL4" s="37"/>
      <c r="HDM4" s="37"/>
      <c r="HDN4" s="37"/>
      <c r="HDO4" s="37"/>
      <c r="HDP4" s="37"/>
      <c r="HDQ4" s="37"/>
      <c r="HDR4" s="37"/>
      <c r="HDS4" s="37"/>
      <c r="HDT4" s="37"/>
      <c r="HDU4" s="37"/>
      <c r="HDV4" s="37"/>
      <c r="HDW4" s="37"/>
      <c r="HDX4" s="37"/>
      <c r="HDY4" s="37"/>
      <c r="HDZ4" s="37"/>
      <c r="HEA4" s="37"/>
      <c r="HEB4" s="37"/>
      <c r="HEC4" s="37"/>
      <c r="HED4" s="37"/>
      <c r="HEE4" s="37"/>
      <c r="HEF4" s="37"/>
      <c r="HEG4" s="37"/>
      <c r="HEH4" s="37"/>
      <c r="HEI4" s="37"/>
      <c r="HEJ4" s="37"/>
      <c r="HEK4" s="37"/>
      <c r="HEL4" s="37"/>
      <c r="HEM4" s="37"/>
      <c r="HEN4" s="37"/>
      <c r="HEO4" s="37"/>
      <c r="HEP4" s="37"/>
      <c r="HEQ4" s="37"/>
      <c r="HER4" s="37"/>
      <c r="HES4" s="37"/>
      <c r="HET4" s="37"/>
      <c r="HEU4" s="37"/>
      <c r="HEV4" s="37"/>
      <c r="HEW4" s="37"/>
      <c r="HEX4" s="37"/>
      <c r="HEY4" s="37"/>
      <c r="HEZ4" s="37"/>
      <c r="HFA4" s="37"/>
      <c r="HFB4" s="37"/>
      <c r="HFC4" s="37"/>
      <c r="HFD4" s="37"/>
      <c r="HFE4" s="37"/>
      <c r="HFF4" s="37"/>
      <c r="HFG4" s="37"/>
      <c r="HFH4" s="37"/>
      <c r="HFI4" s="37"/>
      <c r="HFJ4" s="37"/>
      <c r="HFK4" s="37"/>
      <c r="HFL4" s="37"/>
      <c r="HFM4" s="37"/>
      <c r="HFN4" s="37"/>
      <c r="HFO4" s="37"/>
      <c r="HFP4" s="37"/>
      <c r="HFQ4" s="37"/>
      <c r="HFR4" s="37"/>
      <c r="HFS4" s="37"/>
      <c r="HFT4" s="37"/>
      <c r="HFU4" s="37"/>
      <c r="HFV4" s="37"/>
      <c r="HFW4" s="37"/>
      <c r="HFX4" s="37"/>
      <c r="HFY4" s="37"/>
      <c r="HFZ4" s="37"/>
      <c r="HGA4" s="37"/>
      <c r="HGB4" s="37"/>
      <c r="HGC4" s="37"/>
      <c r="HGD4" s="37"/>
      <c r="HGE4" s="37"/>
      <c r="HGF4" s="37"/>
      <c r="HGG4" s="37"/>
      <c r="HGH4" s="37"/>
      <c r="HGI4" s="37"/>
      <c r="HGJ4" s="37"/>
      <c r="HGK4" s="37"/>
      <c r="HGL4" s="37"/>
      <c r="HGM4" s="37"/>
      <c r="HGN4" s="37"/>
      <c r="HGO4" s="37"/>
      <c r="HGP4" s="37"/>
      <c r="HGQ4" s="37"/>
      <c r="HGR4" s="37"/>
      <c r="HGS4" s="37"/>
      <c r="HGT4" s="37"/>
      <c r="HGU4" s="37"/>
      <c r="HGV4" s="37"/>
      <c r="HGW4" s="37"/>
      <c r="HGX4" s="37"/>
      <c r="HGY4" s="37"/>
      <c r="HGZ4" s="37"/>
      <c r="HHA4" s="37"/>
      <c r="HHB4" s="37"/>
      <c r="HHC4" s="37"/>
      <c r="HHD4" s="37"/>
      <c r="HHE4" s="37"/>
      <c r="HHF4" s="37"/>
      <c r="HHG4" s="37"/>
      <c r="HHH4" s="37"/>
      <c r="HHI4" s="37"/>
      <c r="HHJ4" s="37"/>
      <c r="HHK4" s="37"/>
      <c r="HHL4" s="37"/>
      <c r="HHM4" s="37"/>
      <c r="HHN4" s="37"/>
      <c r="HHO4" s="37"/>
      <c r="HHP4" s="37"/>
      <c r="HHQ4" s="37"/>
      <c r="HHR4" s="37"/>
      <c r="HHS4" s="37"/>
      <c r="HHT4" s="37"/>
      <c r="HHU4" s="37"/>
      <c r="HHV4" s="37"/>
      <c r="HHW4" s="37"/>
      <c r="HHX4" s="37"/>
      <c r="HHY4" s="37"/>
      <c r="HHZ4" s="37"/>
      <c r="HIA4" s="37"/>
      <c r="HIB4" s="37"/>
      <c r="HIC4" s="37"/>
      <c r="HID4" s="37"/>
      <c r="HIE4" s="37"/>
      <c r="HIF4" s="37"/>
      <c r="HIG4" s="37"/>
      <c r="HIH4" s="37"/>
      <c r="HII4" s="37"/>
      <c r="HIJ4" s="37"/>
      <c r="HIK4" s="37"/>
      <c r="HIL4" s="37"/>
      <c r="HIM4" s="37"/>
      <c r="HIN4" s="37"/>
      <c r="HIO4" s="37"/>
      <c r="HIP4" s="37"/>
      <c r="HIQ4" s="37"/>
      <c r="HIR4" s="37"/>
      <c r="HIS4" s="37"/>
      <c r="HIT4" s="37"/>
      <c r="HIU4" s="37"/>
      <c r="HIV4" s="37"/>
      <c r="HIW4" s="37"/>
      <c r="HIX4" s="37"/>
      <c r="HIY4" s="37"/>
      <c r="HIZ4" s="37"/>
      <c r="HJA4" s="37"/>
      <c r="HJB4" s="37"/>
      <c r="HJC4" s="37"/>
      <c r="HJD4" s="37"/>
      <c r="HJE4" s="37"/>
      <c r="HJF4" s="37"/>
      <c r="HJG4" s="37"/>
      <c r="HJH4" s="37"/>
      <c r="HJI4" s="37"/>
      <c r="HJJ4" s="37"/>
      <c r="HJK4" s="37"/>
      <c r="HJL4" s="37"/>
      <c r="HJM4" s="37"/>
      <c r="HJN4" s="37"/>
      <c r="HJO4" s="37"/>
      <c r="HJP4" s="37"/>
      <c r="HJQ4" s="37"/>
      <c r="HJR4" s="37"/>
      <c r="HJS4" s="37"/>
      <c r="HJT4" s="37"/>
      <c r="HJU4" s="37"/>
      <c r="HJV4" s="37"/>
      <c r="HJW4" s="37"/>
      <c r="HJX4" s="37"/>
      <c r="HJY4" s="37"/>
      <c r="HJZ4" s="37"/>
      <c r="HKA4" s="37"/>
      <c r="HKB4" s="37"/>
      <c r="HKC4" s="37"/>
      <c r="HKD4" s="37"/>
      <c r="HKE4" s="37"/>
      <c r="HKF4" s="37"/>
      <c r="HKG4" s="37"/>
      <c r="HKH4" s="37"/>
      <c r="HKI4" s="37"/>
      <c r="HKJ4" s="37"/>
      <c r="HKK4" s="37"/>
      <c r="HKL4" s="37"/>
      <c r="HKM4" s="37"/>
      <c r="HKN4" s="37"/>
      <c r="HKO4" s="37"/>
      <c r="HKP4" s="37"/>
      <c r="HKQ4" s="37"/>
      <c r="HKR4" s="37"/>
      <c r="HKS4" s="37"/>
      <c r="HKT4" s="37"/>
      <c r="HKU4" s="37"/>
      <c r="HKV4" s="37"/>
      <c r="HKW4" s="37"/>
      <c r="HKX4" s="37"/>
      <c r="HKY4" s="37"/>
      <c r="HKZ4" s="37"/>
      <c r="HLA4" s="37"/>
      <c r="HLB4" s="37"/>
      <c r="HLC4" s="37"/>
      <c r="HLD4" s="37"/>
      <c r="HLE4" s="37"/>
      <c r="HLF4" s="37"/>
      <c r="HLG4" s="37"/>
      <c r="HLH4" s="37"/>
      <c r="HLI4" s="37"/>
      <c r="HLJ4" s="37"/>
      <c r="HLK4" s="37"/>
      <c r="HLL4" s="37"/>
      <c r="HLM4" s="37"/>
      <c r="HLN4" s="37"/>
      <c r="HLO4" s="37"/>
      <c r="HLP4" s="37"/>
      <c r="HLQ4" s="37"/>
      <c r="HLR4" s="37"/>
      <c r="HLS4" s="37"/>
      <c r="HLT4" s="37"/>
      <c r="HLU4" s="37"/>
      <c r="HLV4" s="37"/>
      <c r="HLW4" s="37"/>
      <c r="HLX4" s="37"/>
      <c r="HLY4" s="37"/>
      <c r="HLZ4" s="37"/>
      <c r="HMA4" s="37"/>
      <c r="HMB4" s="37"/>
      <c r="HMC4" s="37"/>
      <c r="HMD4" s="37"/>
      <c r="HME4" s="37"/>
      <c r="HMF4" s="37"/>
      <c r="HMG4" s="37"/>
      <c r="HMH4" s="37"/>
      <c r="HMI4" s="37"/>
      <c r="HMJ4" s="37"/>
      <c r="HMK4" s="37"/>
      <c r="HML4" s="37"/>
      <c r="HMM4" s="37"/>
      <c r="HMN4" s="37"/>
      <c r="HMO4" s="37"/>
      <c r="HMP4" s="37"/>
      <c r="HMQ4" s="37"/>
      <c r="HMR4" s="37"/>
      <c r="HMS4" s="37"/>
      <c r="HMT4" s="37"/>
      <c r="HMU4" s="37"/>
      <c r="HMV4" s="37"/>
      <c r="HMW4" s="37"/>
      <c r="HMX4" s="37"/>
      <c r="HMY4" s="37"/>
      <c r="HMZ4" s="37"/>
      <c r="HNA4" s="37"/>
      <c r="HNB4" s="37"/>
      <c r="HNC4" s="37"/>
      <c r="HND4" s="37"/>
      <c r="HNE4" s="37"/>
      <c r="HNF4" s="37"/>
      <c r="HNG4" s="37"/>
      <c r="HNH4" s="37"/>
      <c r="HNI4" s="37"/>
      <c r="HNJ4" s="37"/>
      <c r="HNK4" s="37"/>
      <c r="HNL4" s="37"/>
      <c r="HNM4" s="37"/>
      <c r="HNN4" s="37"/>
      <c r="HNO4" s="37"/>
      <c r="HNP4" s="37"/>
      <c r="HNQ4" s="37"/>
      <c r="HNR4" s="37"/>
      <c r="HNS4" s="37"/>
      <c r="HNT4" s="37"/>
      <c r="HNU4" s="37"/>
      <c r="HNV4" s="37"/>
      <c r="HNW4" s="37"/>
      <c r="HNX4" s="37"/>
      <c r="HNY4" s="37"/>
      <c r="HNZ4" s="37"/>
      <c r="HOA4" s="37"/>
      <c r="HOB4" s="37"/>
      <c r="HOC4" s="37"/>
      <c r="HOD4" s="37"/>
      <c r="HOE4" s="37"/>
      <c r="HOF4" s="37"/>
      <c r="HOG4" s="37"/>
      <c r="HOH4" s="37"/>
      <c r="HOI4" s="37"/>
      <c r="HOJ4" s="37"/>
      <c r="HOK4" s="37"/>
      <c r="HOL4" s="37"/>
      <c r="HOM4" s="37"/>
      <c r="HON4" s="37"/>
      <c r="HOO4" s="37"/>
      <c r="HOP4" s="37"/>
      <c r="HOQ4" s="37"/>
      <c r="HOR4" s="37"/>
      <c r="HOS4" s="37"/>
      <c r="HOT4" s="37"/>
      <c r="HOU4" s="37"/>
      <c r="HOV4" s="37"/>
      <c r="HOW4" s="37"/>
      <c r="HOX4" s="37"/>
      <c r="HOY4" s="37"/>
      <c r="HOZ4" s="37"/>
      <c r="HPA4" s="37"/>
      <c r="HPB4" s="37"/>
      <c r="HPC4" s="37"/>
      <c r="HPD4" s="37"/>
      <c r="HPE4" s="37"/>
      <c r="HPF4" s="37"/>
      <c r="HPG4" s="37"/>
      <c r="HPH4" s="37"/>
      <c r="HPI4" s="37"/>
      <c r="HPJ4" s="37"/>
      <c r="HPK4" s="37"/>
      <c r="HPL4" s="37"/>
      <c r="HPM4" s="37"/>
      <c r="HPN4" s="37"/>
      <c r="HPO4" s="37"/>
      <c r="HPP4" s="37"/>
      <c r="HPQ4" s="37"/>
      <c r="HPR4" s="37"/>
      <c r="HPS4" s="37"/>
      <c r="HPT4" s="37"/>
      <c r="HPU4" s="37"/>
      <c r="HPV4" s="37"/>
      <c r="HPW4" s="37"/>
      <c r="HPX4" s="37"/>
      <c r="HPY4" s="37"/>
      <c r="HPZ4" s="37"/>
      <c r="HQA4" s="37"/>
      <c r="HQB4" s="37"/>
      <c r="HQC4" s="37"/>
      <c r="HQD4" s="37"/>
      <c r="HQE4" s="37"/>
      <c r="HQF4" s="37"/>
      <c r="HQG4" s="37"/>
      <c r="HQH4" s="37"/>
      <c r="HQI4" s="37"/>
      <c r="HQJ4" s="37"/>
      <c r="HQK4" s="37"/>
      <c r="HQL4" s="37"/>
      <c r="HQM4" s="37"/>
      <c r="HQN4" s="37"/>
      <c r="HQO4" s="37"/>
      <c r="HQP4" s="37"/>
      <c r="HQQ4" s="37"/>
      <c r="HQR4" s="37"/>
      <c r="HQS4" s="37"/>
      <c r="HQT4" s="37"/>
      <c r="HQU4" s="37"/>
      <c r="HQV4" s="37"/>
      <c r="HQW4" s="37"/>
      <c r="HQX4" s="37"/>
      <c r="HQY4" s="37"/>
      <c r="HQZ4" s="37"/>
      <c r="HRA4" s="37"/>
      <c r="HRB4" s="37"/>
      <c r="HRC4" s="37"/>
      <c r="HRD4" s="37"/>
      <c r="HRE4" s="37"/>
      <c r="HRF4" s="37"/>
      <c r="HRG4" s="37"/>
      <c r="HRH4" s="37"/>
      <c r="HRI4" s="37"/>
      <c r="HRJ4" s="37"/>
      <c r="HRK4" s="37"/>
      <c r="HRL4" s="37"/>
      <c r="HRM4" s="37"/>
      <c r="HRN4" s="37"/>
      <c r="HRO4" s="37"/>
      <c r="HRP4" s="37"/>
      <c r="HRQ4" s="37"/>
      <c r="HRR4" s="37"/>
      <c r="HRS4" s="37"/>
      <c r="HRT4" s="37"/>
      <c r="HRU4" s="37"/>
      <c r="HRV4" s="37"/>
      <c r="HRW4" s="37"/>
      <c r="HRX4" s="37"/>
      <c r="HRY4" s="37"/>
      <c r="HRZ4" s="37"/>
      <c r="HSA4" s="37"/>
      <c r="HSB4" s="37"/>
      <c r="HSC4" s="37"/>
      <c r="HSD4" s="37"/>
      <c r="HSE4" s="37"/>
      <c r="HSF4" s="37"/>
      <c r="HSG4" s="37"/>
      <c r="HSH4" s="37"/>
      <c r="HSI4" s="37"/>
      <c r="HSJ4" s="37"/>
      <c r="HSK4" s="37"/>
      <c r="HSL4" s="37"/>
      <c r="HSM4" s="37"/>
      <c r="HSN4" s="37"/>
      <c r="HSO4" s="37"/>
      <c r="HSP4" s="37"/>
      <c r="HSQ4" s="37"/>
      <c r="HSR4" s="37"/>
      <c r="HSS4" s="37"/>
      <c r="HST4" s="37"/>
      <c r="HSU4" s="37"/>
      <c r="HSV4" s="37"/>
      <c r="HSW4" s="37"/>
      <c r="HSX4" s="37"/>
      <c r="HSY4" s="37"/>
      <c r="HSZ4" s="37"/>
      <c r="HTA4" s="37"/>
      <c r="HTB4" s="37"/>
      <c r="HTC4" s="37"/>
      <c r="HTD4" s="37"/>
      <c r="HTE4" s="37"/>
      <c r="HTF4" s="37"/>
      <c r="HTG4" s="37"/>
      <c r="HTH4" s="37"/>
      <c r="HTI4" s="37"/>
      <c r="HTJ4" s="37"/>
      <c r="HTK4" s="37"/>
      <c r="HTL4" s="37"/>
      <c r="HTM4" s="37"/>
      <c r="HTN4" s="37"/>
      <c r="HTO4" s="37"/>
      <c r="HTP4" s="37"/>
      <c r="HTQ4" s="37"/>
      <c r="HTR4" s="37"/>
      <c r="HTS4" s="37"/>
      <c r="HTT4" s="37"/>
      <c r="HTU4" s="37"/>
      <c r="HTV4" s="37"/>
      <c r="HTW4" s="37"/>
      <c r="HTX4" s="37"/>
      <c r="HTY4" s="37"/>
      <c r="HTZ4" s="37"/>
      <c r="HUA4" s="37"/>
      <c r="HUB4" s="37"/>
      <c r="HUC4" s="37"/>
      <c r="HUD4" s="37"/>
      <c r="HUE4" s="37"/>
      <c r="HUF4" s="37"/>
      <c r="HUG4" s="37"/>
      <c r="HUH4" s="37"/>
      <c r="HUI4" s="37"/>
      <c r="HUJ4" s="37"/>
      <c r="HUK4" s="37"/>
      <c r="HUL4" s="37"/>
      <c r="HUM4" s="37"/>
      <c r="HUN4" s="37"/>
      <c r="HUO4" s="37"/>
      <c r="HUP4" s="37"/>
      <c r="HUQ4" s="37"/>
      <c r="HUR4" s="37"/>
      <c r="HUS4" s="37"/>
      <c r="HUT4" s="37"/>
      <c r="HUU4" s="37"/>
      <c r="HUV4" s="37"/>
      <c r="HUW4" s="37"/>
      <c r="HUX4" s="37"/>
      <c r="HUY4" s="37"/>
      <c r="HUZ4" s="37"/>
      <c r="HVA4" s="37"/>
      <c r="HVB4" s="37"/>
      <c r="HVC4" s="37"/>
      <c r="HVD4" s="37"/>
      <c r="HVE4" s="37"/>
      <c r="HVF4" s="37"/>
      <c r="HVG4" s="37"/>
      <c r="HVH4" s="37"/>
      <c r="HVI4" s="37"/>
      <c r="HVJ4" s="37"/>
      <c r="HVK4" s="37"/>
      <c r="HVL4" s="37"/>
      <c r="HVM4" s="37"/>
      <c r="HVN4" s="37"/>
      <c r="HVO4" s="37"/>
      <c r="HVP4" s="37"/>
      <c r="HVQ4" s="37"/>
      <c r="HVR4" s="37"/>
      <c r="HVS4" s="37"/>
      <c r="HVT4" s="37"/>
      <c r="HVU4" s="37"/>
      <c r="HVV4" s="37"/>
      <c r="HVW4" s="37"/>
      <c r="HVX4" s="37"/>
      <c r="HVY4" s="37"/>
      <c r="HVZ4" s="37"/>
      <c r="HWA4" s="37"/>
      <c r="HWB4" s="37"/>
      <c r="HWC4" s="37"/>
      <c r="HWD4" s="37"/>
      <c r="HWE4" s="37"/>
      <c r="HWF4" s="37"/>
      <c r="HWG4" s="37"/>
      <c r="HWH4" s="37"/>
      <c r="HWI4" s="37"/>
      <c r="HWJ4" s="37"/>
      <c r="HWK4" s="37"/>
      <c r="HWL4" s="37"/>
      <c r="HWM4" s="37"/>
      <c r="HWN4" s="37"/>
      <c r="HWO4" s="37"/>
      <c r="HWP4" s="37"/>
      <c r="HWQ4" s="37"/>
      <c r="HWR4" s="37"/>
      <c r="HWS4" s="37"/>
      <c r="HWT4" s="37"/>
      <c r="HWU4" s="37"/>
      <c r="HWV4" s="37"/>
      <c r="HWW4" s="37"/>
      <c r="HWX4" s="37"/>
      <c r="HWY4" s="37"/>
      <c r="HWZ4" s="37"/>
      <c r="HXA4" s="37"/>
      <c r="HXB4" s="37"/>
      <c r="HXC4" s="37"/>
      <c r="HXD4" s="37"/>
      <c r="HXE4" s="37"/>
      <c r="HXF4" s="37"/>
      <c r="HXG4" s="37"/>
      <c r="HXH4" s="37"/>
      <c r="HXI4" s="37"/>
      <c r="HXJ4" s="37"/>
      <c r="HXK4" s="37"/>
      <c r="HXL4" s="37"/>
      <c r="HXM4" s="37"/>
      <c r="HXN4" s="37"/>
      <c r="HXO4" s="37"/>
      <c r="HXP4" s="37"/>
      <c r="HXQ4" s="37"/>
      <c r="HXR4" s="37"/>
      <c r="HXS4" s="37"/>
      <c r="HXT4" s="37"/>
      <c r="HXU4" s="37"/>
      <c r="HXV4" s="37"/>
      <c r="HXW4" s="37"/>
      <c r="HXX4" s="37"/>
      <c r="HXY4" s="37"/>
      <c r="HXZ4" s="37"/>
      <c r="HYA4" s="37"/>
      <c r="HYB4" s="37"/>
      <c r="HYC4" s="37"/>
      <c r="HYD4" s="37"/>
      <c r="HYE4" s="37"/>
      <c r="HYF4" s="37"/>
      <c r="HYG4" s="37"/>
      <c r="HYH4" s="37"/>
      <c r="HYI4" s="37"/>
      <c r="HYJ4" s="37"/>
      <c r="HYK4" s="37"/>
      <c r="HYL4" s="37"/>
      <c r="HYM4" s="37"/>
      <c r="HYN4" s="37"/>
      <c r="HYO4" s="37"/>
      <c r="HYP4" s="37"/>
      <c r="HYQ4" s="37"/>
      <c r="HYR4" s="37"/>
      <c r="HYS4" s="37"/>
      <c r="HYT4" s="37"/>
      <c r="HYU4" s="37"/>
      <c r="HYV4" s="37"/>
      <c r="HYW4" s="37"/>
      <c r="HYX4" s="37"/>
      <c r="HYY4" s="37"/>
      <c r="HYZ4" s="37"/>
      <c r="HZA4" s="37"/>
      <c r="HZB4" s="37"/>
      <c r="HZC4" s="37"/>
      <c r="HZD4" s="37"/>
      <c r="HZE4" s="37"/>
      <c r="HZF4" s="37"/>
      <c r="HZG4" s="37"/>
      <c r="HZH4" s="37"/>
      <c r="HZI4" s="37"/>
      <c r="HZJ4" s="37"/>
      <c r="HZK4" s="37"/>
      <c r="HZL4" s="37"/>
      <c r="HZM4" s="37"/>
      <c r="HZN4" s="37"/>
      <c r="HZO4" s="37"/>
      <c r="HZP4" s="37"/>
      <c r="HZQ4" s="37"/>
      <c r="HZR4" s="37"/>
      <c r="HZS4" s="37"/>
      <c r="HZT4" s="37"/>
      <c r="HZU4" s="37"/>
      <c r="HZV4" s="37"/>
      <c r="HZW4" s="37"/>
      <c r="HZX4" s="37"/>
      <c r="HZY4" s="37"/>
      <c r="HZZ4" s="37"/>
      <c r="IAA4" s="37"/>
      <c r="IAB4" s="37"/>
      <c r="IAC4" s="37"/>
      <c r="IAD4" s="37"/>
      <c r="IAE4" s="37"/>
      <c r="IAF4" s="37"/>
      <c r="IAG4" s="37"/>
      <c r="IAH4" s="37"/>
      <c r="IAI4" s="37"/>
      <c r="IAJ4" s="37"/>
      <c r="IAK4" s="37"/>
      <c r="IAL4" s="37"/>
      <c r="IAM4" s="37"/>
      <c r="IAN4" s="37"/>
      <c r="IAO4" s="37"/>
      <c r="IAP4" s="37"/>
      <c r="IAQ4" s="37"/>
      <c r="IAR4" s="37"/>
      <c r="IAS4" s="37"/>
      <c r="IAT4" s="37"/>
      <c r="IAU4" s="37"/>
      <c r="IAV4" s="37"/>
      <c r="IAW4" s="37"/>
      <c r="IAX4" s="37"/>
      <c r="IAY4" s="37"/>
      <c r="IAZ4" s="37"/>
      <c r="IBA4" s="37"/>
      <c r="IBB4" s="37"/>
      <c r="IBC4" s="37"/>
      <c r="IBD4" s="37"/>
      <c r="IBE4" s="37"/>
      <c r="IBF4" s="37"/>
      <c r="IBG4" s="37"/>
      <c r="IBH4" s="37"/>
      <c r="IBI4" s="37"/>
      <c r="IBJ4" s="37"/>
      <c r="IBK4" s="37"/>
      <c r="IBL4" s="37"/>
      <c r="IBM4" s="37"/>
      <c r="IBN4" s="37"/>
      <c r="IBO4" s="37"/>
      <c r="IBP4" s="37"/>
      <c r="IBQ4" s="37"/>
      <c r="IBR4" s="37"/>
      <c r="IBS4" s="37"/>
      <c r="IBT4" s="37"/>
      <c r="IBU4" s="37"/>
      <c r="IBV4" s="37"/>
      <c r="IBW4" s="37"/>
      <c r="IBX4" s="37"/>
      <c r="IBY4" s="37"/>
      <c r="IBZ4" s="37"/>
      <c r="ICA4" s="37"/>
      <c r="ICB4" s="37"/>
      <c r="ICC4" s="37"/>
      <c r="ICD4" s="37"/>
      <c r="ICE4" s="37"/>
      <c r="ICF4" s="37"/>
      <c r="ICG4" s="37"/>
      <c r="ICH4" s="37"/>
      <c r="ICI4" s="37"/>
      <c r="ICJ4" s="37"/>
      <c r="ICK4" s="37"/>
      <c r="ICL4" s="37"/>
      <c r="ICM4" s="37"/>
      <c r="ICN4" s="37"/>
      <c r="ICO4" s="37"/>
      <c r="ICP4" s="37"/>
      <c r="ICQ4" s="37"/>
      <c r="ICR4" s="37"/>
      <c r="ICS4" s="37"/>
      <c r="ICT4" s="37"/>
      <c r="ICU4" s="37"/>
      <c r="ICV4" s="37"/>
      <c r="ICW4" s="37"/>
      <c r="ICX4" s="37"/>
      <c r="ICY4" s="37"/>
      <c r="ICZ4" s="37"/>
      <c r="IDA4" s="37"/>
      <c r="IDB4" s="37"/>
      <c r="IDC4" s="37"/>
      <c r="IDD4" s="37"/>
      <c r="IDE4" s="37"/>
      <c r="IDF4" s="37"/>
      <c r="IDG4" s="37"/>
      <c r="IDH4" s="37"/>
      <c r="IDI4" s="37"/>
      <c r="IDJ4" s="37"/>
      <c r="IDK4" s="37"/>
      <c r="IDL4" s="37"/>
      <c r="IDM4" s="37"/>
      <c r="IDN4" s="37"/>
      <c r="IDO4" s="37"/>
      <c r="IDP4" s="37"/>
      <c r="IDQ4" s="37"/>
      <c r="IDR4" s="37"/>
      <c r="IDS4" s="37"/>
      <c r="IDT4" s="37"/>
      <c r="IDU4" s="37"/>
      <c r="IDV4" s="37"/>
      <c r="IDW4" s="37"/>
      <c r="IDX4" s="37"/>
      <c r="IDY4" s="37"/>
      <c r="IDZ4" s="37"/>
      <c r="IEA4" s="37"/>
      <c r="IEB4" s="37"/>
      <c r="IEC4" s="37"/>
      <c r="IED4" s="37"/>
      <c r="IEE4" s="37"/>
      <c r="IEF4" s="37"/>
      <c r="IEG4" s="37"/>
      <c r="IEH4" s="37"/>
      <c r="IEI4" s="37"/>
      <c r="IEJ4" s="37"/>
      <c r="IEK4" s="37"/>
      <c r="IEL4" s="37"/>
      <c r="IEM4" s="37"/>
      <c r="IEN4" s="37"/>
      <c r="IEO4" s="37"/>
      <c r="IEP4" s="37"/>
      <c r="IEQ4" s="37"/>
      <c r="IER4" s="37"/>
      <c r="IES4" s="37"/>
      <c r="IET4" s="37"/>
      <c r="IEU4" s="37"/>
      <c r="IEV4" s="37"/>
      <c r="IEW4" s="37"/>
      <c r="IEX4" s="37"/>
      <c r="IEY4" s="37"/>
      <c r="IEZ4" s="37"/>
      <c r="IFA4" s="37"/>
      <c r="IFB4" s="37"/>
      <c r="IFC4" s="37"/>
      <c r="IFD4" s="37"/>
      <c r="IFE4" s="37"/>
      <c r="IFF4" s="37"/>
      <c r="IFG4" s="37"/>
      <c r="IFH4" s="37"/>
      <c r="IFI4" s="37"/>
      <c r="IFJ4" s="37"/>
      <c r="IFK4" s="37"/>
      <c r="IFL4" s="37"/>
      <c r="IFM4" s="37"/>
      <c r="IFN4" s="37"/>
      <c r="IFO4" s="37"/>
      <c r="IFP4" s="37"/>
      <c r="IFQ4" s="37"/>
      <c r="IFR4" s="37"/>
      <c r="IFS4" s="37"/>
      <c r="IFT4" s="37"/>
      <c r="IFU4" s="37"/>
      <c r="IFV4" s="37"/>
      <c r="IFW4" s="37"/>
      <c r="IFX4" s="37"/>
      <c r="IFY4" s="37"/>
      <c r="IFZ4" s="37"/>
      <c r="IGA4" s="37"/>
      <c r="IGB4" s="37"/>
      <c r="IGC4" s="37"/>
      <c r="IGD4" s="37"/>
      <c r="IGE4" s="37"/>
      <c r="IGF4" s="37"/>
      <c r="IGG4" s="37"/>
      <c r="IGH4" s="37"/>
      <c r="IGI4" s="37"/>
      <c r="IGJ4" s="37"/>
      <c r="IGK4" s="37"/>
      <c r="IGL4" s="37"/>
      <c r="IGM4" s="37"/>
      <c r="IGN4" s="37"/>
      <c r="IGO4" s="37"/>
      <c r="IGP4" s="37"/>
      <c r="IGQ4" s="37"/>
      <c r="IGR4" s="37"/>
      <c r="IGS4" s="37"/>
      <c r="IGT4" s="37"/>
      <c r="IGU4" s="37"/>
      <c r="IGV4" s="37"/>
      <c r="IGW4" s="37"/>
      <c r="IGX4" s="37"/>
      <c r="IGY4" s="37"/>
      <c r="IGZ4" s="37"/>
      <c r="IHA4" s="37"/>
      <c r="IHB4" s="37"/>
      <c r="IHC4" s="37"/>
      <c r="IHD4" s="37"/>
      <c r="IHE4" s="37"/>
      <c r="IHF4" s="37"/>
      <c r="IHG4" s="37"/>
      <c r="IHH4" s="37"/>
      <c r="IHI4" s="37"/>
      <c r="IHJ4" s="37"/>
      <c r="IHK4" s="37"/>
      <c r="IHL4" s="37"/>
      <c r="IHM4" s="37"/>
      <c r="IHN4" s="37"/>
      <c r="IHO4" s="37"/>
      <c r="IHP4" s="37"/>
      <c r="IHQ4" s="37"/>
      <c r="IHR4" s="37"/>
      <c r="IHS4" s="37"/>
      <c r="IHT4" s="37"/>
      <c r="IHU4" s="37"/>
      <c r="IHV4" s="37"/>
      <c r="IHW4" s="37"/>
      <c r="IHX4" s="37"/>
      <c r="IHY4" s="37"/>
      <c r="IHZ4" s="37"/>
      <c r="IIA4" s="37"/>
      <c r="IIB4" s="37"/>
      <c r="IIC4" s="37"/>
      <c r="IID4" s="37"/>
      <c r="IIE4" s="37"/>
      <c r="IIF4" s="37"/>
      <c r="IIG4" s="37"/>
      <c r="IIH4" s="37"/>
      <c r="III4" s="37"/>
      <c r="IIJ4" s="37"/>
      <c r="IIK4" s="37"/>
      <c r="IIL4" s="37"/>
      <c r="IIM4" s="37"/>
      <c r="IIN4" s="37"/>
      <c r="IIO4" s="37"/>
      <c r="IIP4" s="37"/>
      <c r="IIQ4" s="37"/>
      <c r="IIR4" s="37"/>
      <c r="IIS4" s="37"/>
      <c r="IIT4" s="37"/>
      <c r="IIU4" s="37"/>
      <c r="IIV4" s="37"/>
      <c r="IIW4" s="37"/>
      <c r="IIX4" s="37"/>
      <c r="IIY4" s="37"/>
      <c r="IIZ4" s="37"/>
      <c r="IJA4" s="37"/>
      <c r="IJB4" s="37"/>
      <c r="IJC4" s="37"/>
      <c r="IJD4" s="37"/>
      <c r="IJE4" s="37"/>
      <c r="IJF4" s="37"/>
      <c r="IJG4" s="37"/>
      <c r="IJH4" s="37"/>
      <c r="IJI4" s="37"/>
      <c r="IJJ4" s="37"/>
      <c r="IJK4" s="37"/>
      <c r="IJL4" s="37"/>
      <c r="IJM4" s="37"/>
      <c r="IJN4" s="37"/>
      <c r="IJO4" s="37"/>
      <c r="IJP4" s="37"/>
      <c r="IJQ4" s="37"/>
      <c r="IJR4" s="37"/>
      <c r="IJS4" s="37"/>
      <c r="IJT4" s="37"/>
      <c r="IJU4" s="37"/>
      <c r="IJV4" s="37"/>
      <c r="IJW4" s="37"/>
      <c r="IJX4" s="37"/>
      <c r="IJY4" s="37"/>
      <c r="IJZ4" s="37"/>
      <c r="IKA4" s="37"/>
      <c r="IKB4" s="37"/>
      <c r="IKC4" s="37"/>
      <c r="IKD4" s="37"/>
      <c r="IKE4" s="37"/>
      <c r="IKF4" s="37"/>
      <c r="IKG4" s="37"/>
      <c r="IKH4" s="37"/>
      <c r="IKI4" s="37"/>
      <c r="IKJ4" s="37"/>
      <c r="IKK4" s="37"/>
      <c r="IKL4" s="37"/>
      <c r="IKM4" s="37"/>
      <c r="IKN4" s="37"/>
      <c r="IKO4" s="37"/>
      <c r="IKP4" s="37"/>
      <c r="IKQ4" s="37"/>
      <c r="IKR4" s="37"/>
      <c r="IKS4" s="37"/>
      <c r="IKT4" s="37"/>
      <c r="IKU4" s="37"/>
      <c r="IKV4" s="37"/>
      <c r="IKW4" s="37"/>
      <c r="IKX4" s="37"/>
      <c r="IKY4" s="37"/>
      <c r="IKZ4" s="37"/>
      <c r="ILA4" s="37"/>
      <c r="ILB4" s="37"/>
      <c r="ILC4" s="37"/>
      <c r="ILD4" s="37"/>
      <c r="ILE4" s="37"/>
      <c r="ILF4" s="37"/>
      <c r="ILG4" s="37"/>
      <c r="ILH4" s="37"/>
      <c r="ILI4" s="37"/>
      <c r="ILJ4" s="37"/>
      <c r="ILK4" s="37"/>
      <c r="ILL4" s="37"/>
      <c r="ILM4" s="37"/>
      <c r="ILN4" s="37"/>
      <c r="ILO4" s="37"/>
      <c r="ILP4" s="37"/>
      <c r="ILQ4" s="37"/>
      <c r="ILR4" s="37"/>
      <c r="ILS4" s="37"/>
      <c r="ILT4" s="37"/>
      <c r="ILU4" s="37"/>
      <c r="ILV4" s="37"/>
      <c r="ILW4" s="37"/>
      <c r="ILX4" s="37"/>
      <c r="ILY4" s="37"/>
      <c r="ILZ4" s="37"/>
      <c r="IMA4" s="37"/>
      <c r="IMB4" s="37"/>
      <c r="IMC4" s="37"/>
      <c r="IMD4" s="37"/>
      <c r="IME4" s="37"/>
      <c r="IMF4" s="37"/>
      <c r="IMG4" s="37"/>
      <c r="IMH4" s="37"/>
      <c r="IMI4" s="37"/>
      <c r="IMJ4" s="37"/>
      <c r="IMK4" s="37"/>
      <c r="IML4" s="37"/>
      <c r="IMM4" s="37"/>
      <c r="IMN4" s="37"/>
      <c r="IMO4" s="37"/>
      <c r="IMP4" s="37"/>
      <c r="IMQ4" s="37"/>
      <c r="IMR4" s="37"/>
      <c r="IMS4" s="37"/>
      <c r="IMT4" s="37"/>
      <c r="IMU4" s="37"/>
      <c r="IMV4" s="37"/>
      <c r="IMW4" s="37"/>
      <c r="IMX4" s="37"/>
      <c r="IMY4" s="37"/>
      <c r="IMZ4" s="37"/>
      <c r="INA4" s="37"/>
      <c r="INB4" s="37"/>
      <c r="INC4" s="37"/>
      <c r="IND4" s="37"/>
      <c r="INE4" s="37"/>
      <c r="INF4" s="37"/>
      <c r="ING4" s="37"/>
      <c r="INH4" s="37"/>
      <c r="INI4" s="37"/>
      <c r="INJ4" s="37"/>
      <c r="INK4" s="37"/>
      <c r="INL4" s="37"/>
      <c r="INM4" s="37"/>
      <c r="INN4" s="37"/>
      <c r="INO4" s="37"/>
      <c r="INP4" s="37"/>
      <c r="INQ4" s="37"/>
      <c r="INR4" s="37"/>
      <c r="INS4" s="37"/>
      <c r="INT4" s="37"/>
      <c r="INU4" s="37"/>
      <c r="INV4" s="37"/>
      <c r="INW4" s="37"/>
      <c r="INX4" s="37"/>
      <c r="INY4" s="37"/>
      <c r="INZ4" s="37"/>
      <c r="IOA4" s="37"/>
      <c r="IOB4" s="37"/>
      <c r="IOC4" s="37"/>
      <c r="IOD4" s="37"/>
      <c r="IOE4" s="37"/>
      <c r="IOF4" s="37"/>
      <c r="IOG4" s="37"/>
      <c r="IOH4" s="37"/>
      <c r="IOI4" s="37"/>
      <c r="IOJ4" s="37"/>
      <c r="IOK4" s="37"/>
      <c r="IOL4" s="37"/>
      <c r="IOM4" s="37"/>
      <c r="ION4" s="37"/>
      <c r="IOO4" s="37"/>
      <c r="IOP4" s="37"/>
      <c r="IOQ4" s="37"/>
      <c r="IOR4" s="37"/>
      <c r="IOS4" s="37"/>
      <c r="IOT4" s="37"/>
      <c r="IOU4" s="37"/>
      <c r="IOV4" s="37"/>
      <c r="IOW4" s="37"/>
      <c r="IOX4" s="37"/>
      <c r="IOY4" s="37"/>
      <c r="IOZ4" s="37"/>
      <c r="IPA4" s="37"/>
      <c r="IPB4" s="37"/>
      <c r="IPC4" s="37"/>
      <c r="IPD4" s="37"/>
      <c r="IPE4" s="37"/>
      <c r="IPF4" s="37"/>
      <c r="IPG4" s="37"/>
      <c r="IPH4" s="37"/>
      <c r="IPI4" s="37"/>
      <c r="IPJ4" s="37"/>
      <c r="IPK4" s="37"/>
      <c r="IPL4" s="37"/>
      <c r="IPM4" s="37"/>
      <c r="IPN4" s="37"/>
      <c r="IPO4" s="37"/>
      <c r="IPP4" s="37"/>
      <c r="IPQ4" s="37"/>
      <c r="IPR4" s="37"/>
      <c r="IPS4" s="37"/>
      <c r="IPT4" s="37"/>
      <c r="IPU4" s="37"/>
      <c r="IPV4" s="37"/>
      <c r="IPW4" s="37"/>
      <c r="IPX4" s="37"/>
      <c r="IPY4" s="37"/>
      <c r="IPZ4" s="37"/>
      <c r="IQA4" s="37"/>
      <c r="IQB4" s="37"/>
      <c r="IQC4" s="37"/>
      <c r="IQD4" s="37"/>
      <c r="IQE4" s="37"/>
      <c r="IQF4" s="37"/>
      <c r="IQG4" s="37"/>
      <c r="IQH4" s="37"/>
      <c r="IQI4" s="37"/>
      <c r="IQJ4" s="37"/>
      <c r="IQK4" s="37"/>
      <c r="IQL4" s="37"/>
      <c r="IQM4" s="37"/>
      <c r="IQN4" s="37"/>
      <c r="IQO4" s="37"/>
      <c r="IQP4" s="37"/>
      <c r="IQQ4" s="37"/>
      <c r="IQR4" s="37"/>
      <c r="IQS4" s="37"/>
      <c r="IQT4" s="37"/>
      <c r="IQU4" s="37"/>
      <c r="IQV4" s="37"/>
      <c r="IQW4" s="37"/>
      <c r="IQX4" s="37"/>
      <c r="IQY4" s="37"/>
      <c r="IQZ4" s="37"/>
      <c r="IRA4" s="37"/>
      <c r="IRB4" s="37"/>
      <c r="IRC4" s="37"/>
      <c r="IRD4" s="37"/>
      <c r="IRE4" s="37"/>
      <c r="IRF4" s="37"/>
      <c r="IRG4" s="37"/>
      <c r="IRH4" s="37"/>
      <c r="IRI4" s="37"/>
      <c r="IRJ4" s="37"/>
      <c r="IRK4" s="37"/>
      <c r="IRL4" s="37"/>
      <c r="IRM4" s="37"/>
      <c r="IRN4" s="37"/>
      <c r="IRO4" s="37"/>
      <c r="IRP4" s="37"/>
      <c r="IRQ4" s="37"/>
      <c r="IRR4" s="37"/>
      <c r="IRS4" s="37"/>
      <c r="IRT4" s="37"/>
      <c r="IRU4" s="37"/>
      <c r="IRV4" s="37"/>
      <c r="IRW4" s="37"/>
      <c r="IRX4" s="37"/>
      <c r="IRY4" s="37"/>
      <c r="IRZ4" s="37"/>
      <c r="ISA4" s="37"/>
      <c r="ISB4" s="37"/>
      <c r="ISC4" s="37"/>
      <c r="ISD4" s="37"/>
      <c r="ISE4" s="37"/>
      <c r="ISF4" s="37"/>
      <c r="ISG4" s="37"/>
      <c r="ISH4" s="37"/>
      <c r="ISI4" s="37"/>
      <c r="ISJ4" s="37"/>
      <c r="ISK4" s="37"/>
      <c r="ISL4" s="37"/>
      <c r="ISM4" s="37"/>
      <c r="ISN4" s="37"/>
      <c r="ISO4" s="37"/>
      <c r="ISP4" s="37"/>
      <c r="ISQ4" s="37"/>
      <c r="ISR4" s="37"/>
      <c r="ISS4" s="37"/>
      <c r="IST4" s="37"/>
      <c r="ISU4" s="37"/>
      <c r="ISV4" s="37"/>
      <c r="ISW4" s="37"/>
      <c r="ISX4" s="37"/>
      <c r="ISY4" s="37"/>
      <c r="ISZ4" s="37"/>
      <c r="ITA4" s="37"/>
      <c r="ITB4" s="37"/>
      <c r="ITC4" s="37"/>
      <c r="ITD4" s="37"/>
      <c r="ITE4" s="37"/>
      <c r="ITF4" s="37"/>
      <c r="ITG4" s="37"/>
      <c r="ITH4" s="37"/>
      <c r="ITI4" s="37"/>
      <c r="ITJ4" s="37"/>
      <c r="ITK4" s="37"/>
      <c r="ITL4" s="37"/>
      <c r="ITM4" s="37"/>
      <c r="ITN4" s="37"/>
      <c r="ITO4" s="37"/>
      <c r="ITP4" s="37"/>
      <c r="ITQ4" s="37"/>
      <c r="ITR4" s="37"/>
      <c r="ITS4" s="37"/>
      <c r="ITT4" s="37"/>
      <c r="ITU4" s="37"/>
      <c r="ITV4" s="37"/>
      <c r="ITW4" s="37"/>
      <c r="ITX4" s="37"/>
      <c r="ITY4" s="37"/>
      <c r="ITZ4" s="37"/>
      <c r="IUA4" s="37"/>
      <c r="IUB4" s="37"/>
      <c r="IUC4" s="37"/>
      <c r="IUD4" s="37"/>
      <c r="IUE4" s="37"/>
      <c r="IUF4" s="37"/>
      <c r="IUG4" s="37"/>
      <c r="IUH4" s="37"/>
      <c r="IUI4" s="37"/>
      <c r="IUJ4" s="37"/>
      <c r="IUK4" s="37"/>
      <c r="IUL4" s="37"/>
      <c r="IUM4" s="37"/>
      <c r="IUN4" s="37"/>
      <c r="IUO4" s="37"/>
      <c r="IUP4" s="37"/>
      <c r="IUQ4" s="37"/>
      <c r="IUR4" s="37"/>
      <c r="IUS4" s="37"/>
      <c r="IUT4" s="37"/>
      <c r="IUU4" s="37"/>
      <c r="IUV4" s="37"/>
      <c r="IUW4" s="37"/>
      <c r="IUX4" s="37"/>
      <c r="IUY4" s="37"/>
      <c r="IUZ4" s="37"/>
      <c r="IVA4" s="37"/>
      <c r="IVB4" s="37"/>
      <c r="IVC4" s="37"/>
      <c r="IVD4" s="37"/>
      <c r="IVE4" s="37"/>
      <c r="IVF4" s="37"/>
      <c r="IVG4" s="37"/>
      <c r="IVH4" s="37"/>
      <c r="IVI4" s="37"/>
      <c r="IVJ4" s="37"/>
      <c r="IVK4" s="37"/>
      <c r="IVL4" s="37"/>
      <c r="IVM4" s="37"/>
      <c r="IVN4" s="37"/>
      <c r="IVO4" s="37"/>
      <c r="IVP4" s="37"/>
      <c r="IVQ4" s="37"/>
      <c r="IVR4" s="37"/>
      <c r="IVS4" s="37"/>
      <c r="IVT4" s="37"/>
      <c r="IVU4" s="37"/>
      <c r="IVV4" s="37"/>
      <c r="IVW4" s="37"/>
      <c r="IVX4" s="37"/>
      <c r="IVY4" s="37"/>
      <c r="IVZ4" s="37"/>
      <c r="IWA4" s="37"/>
      <c r="IWB4" s="37"/>
      <c r="IWC4" s="37"/>
      <c r="IWD4" s="37"/>
      <c r="IWE4" s="37"/>
      <c r="IWF4" s="37"/>
      <c r="IWG4" s="37"/>
      <c r="IWH4" s="37"/>
      <c r="IWI4" s="37"/>
      <c r="IWJ4" s="37"/>
      <c r="IWK4" s="37"/>
      <c r="IWL4" s="37"/>
      <c r="IWM4" s="37"/>
      <c r="IWN4" s="37"/>
      <c r="IWO4" s="37"/>
      <c r="IWP4" s="37"/>
      <c r="IWQ4" s="37"/>
      <c r="IWR4" s="37"/>
      <c r="IWS4" s="37"/>
      <c r="IWT4" s="37"/>
      <c r="IWU4" s="37"/>
      <c r="IWV4" s="37"/>
      <c r="IWW4" s="37"/>
      <c r="IWX4" s="37"/>
      <c r="IWY4" s="37"/>
      <c r="IWZ4" s="37"/>
      <c r="IXA4" s="37"/>
      <c r="IXB4" s="37"/>
      <c r="IXC4" s="37"/>
      <c r="IXD4" s="37"/>
      <c r="IXE4" s="37"/>
      <c r="IXF4" s="37"/>
      <c r="IXG4" s="37"/>
      <c r="IXH4" s="37"/>
      <c r="IXI4" s="37"/>
      <c r="IXJ4" s="37"/>
      <c r="IXK4" s="37"/>
      <c r="IXL4" s="37"/>
      <c r="IXM4" s="37"/>
      <c r="IXN4" s="37"/>
      <c r="IXO4" s="37"/>
      <c r="IXP4" s="37"/>
      <c r="IXQ4" s="37"/>
      <c r="IXR4" s="37"/>
      <c r="IXS4" s="37"/>
      <c r="IXT4" s="37"/>
      <c r="IXU4" s="37"/>
      <c r="IXV4" s="37"/>
      <c r="IXW4" s="37"/>
      <c r="IXX4" s="37"/>
      <c r="IXY4" s="37"/>
      <c r="IXZ4" s="37"/>
      <c r="IYA4" s="37"/>
      <c r="IYB4" s="37"/>
      <c r="IYC4" s="37"/>
      <c r="IYD4" s="37"/>
      <c r="IYE4" s="37"/>
      <c r="IYF4" s="37"/>
      <c r="IYG4" s="37"/>
      <c r="IYH4" s="37"/>
      <c r="IYI4" s="37"/>
      <c r="IYJ4" s="37"/>
      <c r="IYK4" s="37"/>
      <c r="IYL4" s="37"/>
      <c r="IYM4" s="37"/>
      <c r="IYN4" s="37"/>
      <c r="IYO4" s="37"/>
      <c r="IYP4" s="37"/>
      <c r="IYQ4" s="37"/>
      <c r="IYR4" s="37"/>
      <c r="IYS4" s="37"/>
      <c r="IYT4" s="37"/>
      <c r="IYU4" s="37"/>
      <c r="IYV4" s="37"/>
      <c r="IYW4" s="37"/>
      <c r="IYX4" s="37"/>
      <c r="IYY4" s="37"/>
      <c r="IYZ4" s="37"/>
      <c r="IZA4" s="37"/>
      <c r="IZB4" s="37"/>
      <c r="IZC4" s="37"/>
      <c r="IZD4" s="37"/>
      <c r="IZE4" s="37"/>
      <c r="IZF4" s="37"/>
      <c r="IZG4" s="37"/>
      <c r="IZH4" s="37"/>
      <c r="IZI4" s="37"/>
      <c r="IZJ4" s="37"/>
      <c r="IZK4" s="37"/>
      <c r="IZL4" s="37"/>
      <c r="IZM4" s="37"/>
      <c r="IZN4" s="37"/>
      <c r="IZO4" s="37"/>
      <c r="IZP4" s="37"/>
      <c r="IZQ4" s="37"/>
      <c r="IZR4" s="37"/>
      <c r="IZS4" s="37"/>
      <c r="IZT4" s="37"/>
      <c r="IZU4" s="37"/>
      <c r="IZV4" s="37"/>
      <c r="IZW4" s="37"/>
      <c r="IZX4" s="37"/>
      <c r="IZY4" s="37"/>
      <c r="IZZ4" s="37"/>
      <c r="JAA4" s="37"/>
      <c r="JAB4" s="37"/>
      <c r="JAC4" s="37"/>
      <c r="JAD4" s="37"/>
      <c r="JAE4" s="37"/>
      <c r="JAF4" s="37"/>
      <c r="JAG4" s="37"/>
      <c r="JAH4" s="37"/>
      <c r="JAI4" s="37"/>
      <c r="JAJ4" s="37"/>
      <c r="JAK4" s="37"/>
      <c r="JAL4" s="37"/>
      <c r="JAM4" s="37"/>
      <c r="JAN4" s="37"/>
      <c r="JAO4" s="37"/>
      <c r="JAP4" s="37"/>
      <c r="JAQ4" s="37"/>
      <c r="JAR4" s="37"/>
      <c r="JAS4" s="37"/>
      <c r="JAT4" s="37"/>
      <c r="JAU4" s="37"/>
      <c r="JAV4" s="37"/>
      <c r="JAW4" s="37"/>
      <c r="JAX4" s="37"/>
      <c r="JAY4" s="37"/>
      <c r="JAZ4" s="37"/>
      <c r="JBA4" s="37"/>
      <c r="JBB4" s="37"/>
      <c r="JBC4" s="37"/>
      <c r="JBD4" s="37"/>
      <c r="JBE4" s="37"/>
      <c r="JBF4" s="37"/>
      <c r="JBG4" s="37"/>
      <c r="JBH4" s="37"/>
      <c r="JBI4" s="37"/>
      <c r="JBJ4" s="37"/>
      <c r="JBK4" s="37"/>
      <c r="JBL4" s="37"/>
      <c r="JBM4" s="37"/>
      <c r="JBN4" s="37"/>
      <c r="JBO4" s="37"/>
      <c r="JBP4" s="37"/>
      <c r="JBQ4" s="37"/>
      <c r="JBR4" s="37"/>
      <c r="JBS4" s="37"/>
      <c r="JBT4" s="37"/>
      <c r="JBU4" s="37"/>
      <c r="JBV4" s="37"/>
      <c r="JBW4" s="37"/>
      <c r="JBX4" s="37"/>
      <c r="JBY4" s="37"/>
      <c r="JBZ4" s="37"/>
      <c r="JCA4" s="37"/>
      <c r="JCB4" s="37"/>
      <c r="JCC4" s="37"/>
      <c r="JCD4" s="37"/>
      <c r="JCE4" s="37"/>
      <c r="JCF4" s="37"/>
      <c r="JCG4" s="37"/>
      <c r="JCH4" s="37"/>
      <c r="JCI4" s="37"/>
      <c r="JCJ4" s="37"/>
      <c r="JCK4" s="37"/>
      <c r="JCL4" s="37"/>
      <c r="JCM4" s="37"/>
      <c r="JCN4" s="37"/>
      <c r="JCO4" s="37"/>
      <c r="JCP4" s="37"/>
      <c r="JCQ4" s="37"/>
      <c r="JCR4" s="37"/>
      <c r="JCS4" s="37"/>
      <c r="JCT4" s="37"/>
      <c r="JCU4" s="37"/>
      <c r="JCV4" s="37"/>
      <c r="JCW4" s="37"/>
      <c r="JCX4" s="37"/>
      <c r="JCY4" s="37"/>
      <c r="JCZ4" s="37"/>
      <c r="JDA4" s="37"/>
      <c r="JDB4" s="37"/>
      <c r="JDC4" s="37"/>
      <c r="JDD4" s="37"/>
      <c r="JDE4" s="37"/>
      <c r="JDF4" s="37"/>
      <c r="JDG4" s="37"/>
      <c r="JDH4" s="37"/>
      <c r="JDI4" s="37"/>
      <c r="JDJ4" s="37"/>
      <c r="JDK4" s="37"/>
      <c r="JDL4" s="37"/>
      <c r="JDM4" s="37"/>
      <c r="JDN4" s="37"/>
      <c r="JDO4" s="37"/>
      <c r="JDP4" s="37"/>
      <c r="JDQ4" s="37"/>
      <c r="JDR4" s="37"/>
      <c r="JDS4" s="37"/>
      <c r="JDT4" s="37"/>
      <c r="JDU4" s="37"/>
      <c r="JDV4" s="37"/>
      <c r="JDW4" s="37"/>
      <c r="JDX4" s="37"/>
      <c r="JDY4" s="37"/>
      <c r="JDZ4" s="37"/>
      <c r="JEA4" s="37"/>
      <c r="JEB4" s="37"/>
      <c r="JEC4" s="37"/>
      <c r="JED4" s="37"/>
      <c r="JEE4" s="37"/>
      <c r="JEF4" s="37"/>
      <c r="JEG4" s="37"/>
      <c r="JEH4" s="37"/>
      <c r="JEI4" s="37"/>
      <c r="JEJ4" s="37"/>
      <c r="JEK4" s="37"/>
      <c r="JEL4" s="37"/>
      <c r="JEM4" s="37"/>
      <c r="JEN4" s="37"/>
      <c r="JEO4" s="37"/>
      <c r="JEP4" s="37"/>
      <c r="JEQ4" s="37"/>
      <c r="JER4" s="37"/>
      <c r="JES4" s="37"/>
      <c r="JET4" s="37"/>
      <c r="JEU4" s="37"/>
      <c r="JEV4" s="37"/>
      <c r="JEW4" s="37"/>
      <c r="JEX4" s="37"/>
      <c r="JEY4" s="37"/>
      <c r="JEZ4" s="37"/>
      <c r="JFA4" s="37"/>
      <c r="JFB4" s="37"/>
      <c r="JFC4" s="37"/>
      <c r="JFD4" s="37"/>
      <c r="JFE4" s="37"/>
      <c r="JFF4" s="37"/>
      <c r="JFG4" s="37"/>
      <c r="JFH4" s="37"/>
      <c r="JFI4" s="37"/>
      <c r="JFJ4" s="37"/>
      <c r="JFK4" s="37"/>
      <c r="JFL4" s="37"/>
      <c r="JFM4" s="37"/>
      <c r="JFN4" s="37"/>
      <c r="JFO4" s="37"/>
      <c r="JFP4" s="37"/>
      <c r="JFQ4" s="37"/>
      <c r="JFR4" s="37"/>
      <c r="JFS4" s="37"/>
      <c r="JFT4" s="37"/>
      <c r="JFU4" s="37"/>
      <c r="JFV4" s="37"/>
      <c r="JFW4" s="37"/>
      <c r="JFX4" s="37"/>
      <c r="JFY4" s="37"/>
      <c r="JFZ4" s="37"/>
      <c r="JGA4" s="37"/>
      <c r="JGB4" s="37"/>
      <c r="JGC4" s="37"/>
      <c r="JGD4" s="37"/>
      <c r="JGE4" s="37"/>
      <c r="JGF4" s="37"/>
      <c r="JGG4" s="37"/>
      <c r="JGH4" s="37"/>
      <c r="JGI4" s="37"/>
      <c r="JGJ4" s="37"/>
      <c r="JGK4" s="37"/>
      <c r="JGL4" s="37"/>
      <c r="JGM4" s="37"/>
      <c r="JGN4" s="37"/>
      <c r="JGO4" s="37"/>
      <c r="JGP4" s="37"/>
      <c r="JGQ4" s="37"/>
      <c r="JGR4" s="37"/>
      <c r="JGS4" s="37"/>
      <c r="JGT4" s="37"/>
      <c r="JGU4" s="37"/>
      <c r="JGV4" s="37"/>
      <c r="JGW4" s="37"/>
      <c r="JGX4" s="37"/>
      <c r="JGY4" s="37"/>
      <c r="JGZ4" s="37"/>
      <c r="JHA4" s="37"/>
      <c r="JHB4" s="37"/>
      <c r="JHC4" s="37"/>
      <c r="JHD4" s="37"/>
      <c r="JHE4" s="37"/>
      <c r="JHF4" s="37"/>
      <c r="JHG4" s="37"/>
      <c r="JHH4" s="37"/>
      <c r="JHI4" s="37"/>
      <c r="JHJ4" s="37"/>
      <c r="JHK4" s="37"/>
      <c r="JHL4" s="37"/>
      <c r="JHM4" s="37"/>
      <c r="JHN4" s="37"/>
      <c r="JHO4" s="37"/>
      <c r="JHP4" s="37"/>
      <c r="JHQ4" s="37"/>
      <c r="JHR4" s="37"/>
      <c r="JHS4" s="37"/>
      <c r="JHT4" s="37"/>
      <c r="JHU4" s="37"/>
      <c r="JHV4" s="37"/>
      <c r="JHW4" s="37"/>
      <c r="JHX4" s="37"/>
      <c r="JHY4" s="37"/>
      <c r="JHZ4" s="37"/>
      <c r="JIA4" s="37"/>
      <c r="JIB4" s="37"/>
      <c r="JIC4" s="37"/>
      <c r="JID4" s="37"/>
      <c r="JIE4" s="37"/>
      <c r="JIF4" s="37"/>
      <c r="JIG4" s="37"/>
      <c r="JIH4" s="37"/>
      <c r="JII4" s="37"/>
      <c r="JIJ4" s="37"/>
      <c r="JIK4" s="37"/>
      <c r="JIL4" s="37"/>
      <c r="JIM4" s="37"/>
      <c r="JIN4" s="37"/>
      <c r="JIO4" s="37"/>
      <c r="JIP4" s="37"/>
      <c r="JIQ4" s="37"/>
      <c r="JIR4" s="37"/>
      <c r="JIS4" s="37"/>
      <c r="JIT4" s="37"/>
      <c r="JIU4" s="37"/>
      <c r="JIV4" s="37"/>
      <c r="JIW4" s="37"/>
      <c r="JIX4" s="37"/>
      <c r="JIY4" s="37"/>
      <c r="JIZ4" s="37"/>
      <c r="JJA4" s="37"/>
      <c r="JJB4" s="37"/>
      <c r="JJC4" s="37"/>
      <c r="JJD4" s="37"/>
      <c r="JJE4" s="37"/>
      <c r="JJF4" s="37"/>
      <c r="JJG4" s="37"/>
      <c r="JJH4" s="37"/>
      <c r="JJI4" s="37"/>
      <c r="JJJ4" s="37"/>
      <c r="JJK4" s="37"/>
      <c r="JJL4" s="37"/>
      <c r="JJM4" s="37"/>
      <c r="JJN4" s="37"/>
      <c r="JJO4" s="37"/>
      <c r="JJP4" s="37"/>
      <c r="JJQ4" s="37"/>
      <c r="JJR4" s="37"/>
      <c r="JJS4" s="37"/>
      <c r="JJT4" s="37"/>
      <c r="JJU4" s="37"/>
      <c r="JJV4" s="37"/>
      <c r="JJW4" s="37"/>
      <c r="JJX4" s="37"/>
      <c r="JJY4" s="37"/>
      <c r="JJZ4" s="37"/>
      <c r="JKA4" s="37"/>
      <c r="JKB4" s="37"/>
      <c r="JKC4" s="37"/>
      <c r="JKD4" s="37"/>
      <c r="JKE4" s="37"/>
      <c r="JKF4" s="37"/>
      <c r="JKG4" s="37"/>
      <c r="JKH4" s="37"/>
      <c r="JKI4" s="37"/>
      <c r="JKJ4" s="37"/>
      <c r="JKK4" s="37"/>
      <c r="JKL4" s="37"/>
      <c r="JKM4" s="37"/>
      <c r="JKN4" s="37"/>
      <c r="JKO4" s="37"/>
      <c r="JKP4" s="37"/>
      <c r="JKQ4" s="37"/>
      <c r="JKR4" s="37"/>
      <c r="JKS4" s="37"/>
      <c r="JKT4" s="37"/>
      <c r="JKU4" s="37"/>
      <c r="JKV4" s="37"/>
      <c r="JKW4" s="37"/>
      <c r="JKX4" s="37"/>
      <c r="JKY4" s="37"/>
      <c r="JKZ4" s="37"/>
      <c r="JLA4" s="37"/>
      <c r="JLB4" s="37"/>
      <c r="JLC4" s="37"/>
      <c r="JLD4" s="37"/>
      <c r="JLE4" s="37"/>
      <c r="JLF4" s="37"/>
      <c r="JLG4" s="37"/>
      <c r="JLH4" s="37"/>
      <c r="JLI4" s="37"/>
      <c r="JLJ4" s="37"/>
      <c r="JLK4" s="37"/>
      <c r="JLL4" s="37"/>
      <c r="JLM4" s="37"/>
      <c r="JLN4" s="37"/>
      <c r="JLO4" s="37"/>
      <c r="JLP4" s="37"/>
      <c r="JLQ4" s="37"/>
      <c r="JLR4" s="37"/>
      <c r="JLS4" s="37"/>
      <c r="JLT4" s="37"/>
      <c r="JLU4" s="37"/>
      <c r="JLV4" s="37"/>
      <c r="JLW4" s="37"/>
      <c r="JLX4" s="37"/>
      <c r="JLY4" s="37"/>
      <c r="JLZ4" s="37"/>
      <c r="JMA4" s="37"/>
      <c r="JMB4" s="37"/>
      <c r="JMC4" s="37"/>
      <c r="JMD4" s="37"/>
      <c r="JME4" s="37"/>
      <c r="JMF4" s="37"/>
      <c r="JMG4" s="37"/>
      <c r="JMH4" s="37"/>
      <c r="JMI4" s="37"/>
      <c r="JMJ4" s="37"/>
      <c r="JMK4" s="37"/>
      <c r="JML4" s="37"/>
      <c r="JMM4" s="37"/>
      <c r="JMN4" s="37"/>
      <c r="JMO4" s="37"/>
      <c r="JMP4" s="37"/>
      <c r="JMQ4" s="37"/>
      <c r="JMR4" s="37"/>
      <c r="JMS4" s="37"/>
      <c r="JMT4" s="37"/>
      <c r="JMU4" s="37"/>
      <c r="JMV4" s="37"/>
      <c r="JMW4" s="37"/>
      <c r="JMX4" s="37"/>
      <c r="JMY4" s="37"/>
      <c r="JMZ4" s="37"/>
      <c r="JNA4" s="37"/>
      <c r="JNB4" s="37"/>
      <c r="JNC4" s="37"/>
      <c r="JND4" s="37"/>
      <c r="JNE4" s="37"/>
      <c r="JNF4" s="37"/>
      <c r="JNG4" s="37"/>
      <c r="JNH4" s="37"/>
      <c r="JNI4" s="37"/>
      <c r="JNJ4" s="37"/>
      <c r="JNK4" s="37"/>
      <c r="JNL4" s="37"/>
      <c r="JNM4" s="37"/>
      <c r="JNN4" s="37"/>
      <c r="JNO4" s="37"/>
      <c r="JNP4" s="37"/>
      <c r="JNQ4" s="37"/>
      <c r="JNR4" s="37"/>
      <c r="JNS4" s="37"/>
      <c r="JNT4" s="37"/>
      <c r="JNU4" s="37"/>
      <c r="JNV4" s="37"/>
      <c r="JNW4" s="37"/>
      <c r="JNX4" s="37"/>
      <c r="JNY4" s="37"/>
      <c r="JNZ4" s="37"/>
      <c r="JOA4" s="37"/>
      <c r="JOB4" s="37"/>
      <c r="JOC4" s="37"/>
      <c r="JOD4" s="37"/>
      <c r="JOE4" s="37"/>
      <c r="JOF4" s="37"/>
      <c r="JOG4" s="37"/>
      <c r="JOH4" s="37"/>
      <c r="JOI4" s="37"/>
      <c r="JOJ4" s="37"/>
      <c r="JOK4" s="37"/>
      <c r="JOL4" s="37"/>
      <c r="JOM4" s="37"/>
      <c r="JON4" s="37"/>
      <c r="JOO4" s="37"/>
      <c r="JOP4" s="37"/>
      <c r="JOQ4" s="37"/>
      <c r="JOR4" s="37"/>
      <c r="JOS4" s="37"/>
      <c r="JOT4" s="37"/>
      <c r="JOU4" s="37"/>
      <c r="JOV4" s="37"/>
      <c r="JOW4" s="37"/>
      <c r="JOX4" s="37"/>
      <c r="JOY4" s="37"/>
      <c r="JOZ4" s="37"/>
      <c r="JPA4" s="37"/>
      <c r="JPB4" s="37"/>
      <c r="JPC4" s="37"/>
      <c r="JPD4" s="37"/>
      <c r="JPE4" s="37"/>
      <c r="JPF4" s="37"/>
      <c r="JPG4" s="37"/>
      <c r="JPH4" s="37"/>
      <c r="JPI4" s="37"/>
      <c r="JPJ4" s="37"/>
      <c r="JPK4" s="37"/>
      <c r="JPL4" s="37"/>
      <c r="JPM4" s="37"/>
      <c r="JPN4" s="37"/>
      <c r="JPO4" s="37"/>
      <c r="JPP4" s="37"/>
      <c r="JPQ4" s="37"/>
      <c r="JPR4" s="37"/>
      <c r="JPS4" s="37"/>
      <c r="JPT4" s="37"/>
      <c r="JPU4" s="37"/>
      <c r="JPV4" s="37"/>
      <c r="JPW4" s="37"/>
      <c r="JPX4" s="37"/>
      <c r="JPY4" s="37"/>
      <c r="JPZ4" s="37"/>
      <c r="JQA4" s="37"/>
      <c r="JQB4" s="37"/>
      <c r="JQC4" s="37"/>
      <c r="JQD4" s="37"/>
      <c r="JQE4" s="37"/>
      <c r="JQF4" s="37"/>
      <c r="JQG4" s="37"/>
      <c r="JQH4" s="37"/>
      <c r="JQI4" s="37"/>
      <c r="JQJ4" s="37"/>
      <c r="JQK4" s="37"/>
      <c r="JQL4" s="37"/>
      <c r="JQM4" s="37"/>
      <c r="JQN4" s="37"/>
      <c r="JQO4" s="37"/>
      <c r="JQP4" s="37"/>
      <c r="JQQ4" s="37"/>
      <c r="JQR4" s="37"/>
      <c r="JQS4" s="37"/>
      <c r="JQT4" s="37"/>
      <c r="JQU4" s="37"/>
      <c r="JQV4" s="37"/>
      <c r="JQW4" s="37"/>
      <c r="JQX4" s="37"/>
      <c r="JQY4" s="37"/>
      <c r="JQZ4" s="37"/>
      <c r="JRA4" s="37"/>
      <c r="JRB4" s="37"/>
      <c r="JRC4" s="37"/>
      <c r="JRD4" s="37"/>
      <c r="JRE4" s="37"/>
      <c r="JRF4" s="37"/>
      <c r="JRG4" s="37"/>
      <c r="JRH4" s="37"/>
      <c r="JRI4" s="37"/>
      <c r="JRJ4" s="37"/>
      <c r="JRK4" s="37"/>
      <c r="JRL4" s="37"/>
      <c r="JRM4" s="37"/>
      <c r="JRN4" s="37"/>
      <c r="JRO4" s="37"/>
      <c r="JRP4" s="37"/>
      <c r="JRQ4" s="37"/>
      <c r="JRR4" s="37"/>
      <c r="JRS4" s="37"/>
      <c r="JRT4" s="37"/>
      <c r="JRU4" s="37"/>
      <c r="JRV4" s="37"/>
      <c r="JRW4" s="37"/>
      <c r="JRX4" s="37"/>
      <c r="JRY4" s="37"/>
      <c r="JRZ4" s="37"/>
      <c r="JSA4" s="37"/>
      <c r="JSB4" s="37"/>
      <c r="JSC4" s="37"/>
      <c r="JSD4" s="37"/>
      <c r="JSE4" s="37"/>
      <c r="JSF4" s="37"/>
      <c r="JSG4" s="37"/>
      <c r="JSH4" s="37"/>
      <c r="JSI4" s="37"/>
      <c r="JSJ4" s="37"/>
      <c r="JSK4" s="37"/>
      <c r="JSL4" s="37"/>
      <c r="JSM4" s="37"/>
      <c r="JSN4" s="37"/>
      <c r="JSO4" s="37"/>
      <c r="JSP4" s="37"/>
      <c r="JSQ4" s="37"/>
      <c r="JSR4" s="37"/>
      <c r="JSS4" s="37"/>
      <c r="JST4" s="37"/>
      <c r="JSU4" s="37"/>
      <c r="JSV4" s="37"/>
      <c r="JSW4" s="37"/>
      <c r="JSX4" s="37"/>
      <c r="JSY4" s="37"/>
      <c r="JSZ4" s="37"/>
      <c r="JTA4" s="37"/>
      <c r="JTB4" s="37"/>
      <c r="JTC4" s="37"/>
      <c r="JTD4" s="37"/>
      <c r="JTE4" s="37"/>
      <c r="JTF4" s="37"/>
      <c r="JTG4" s="37"/>
      <c r="JTH4" s="37"/>
      <c r="JTI4" s="37"/>
      <c r="JTJ4" s="37"/>
      <c r="JTK4" s="37"/>
      <c r="JTL4" s="37"/>
      <c r="JTM4" s="37"/>
      <c r="JTN4" s="37"/>
      <c r="JTO4" s="37"/>
      <c r="JTP4" s="37"/>
      <c r="JTQ4" s="37"/>
      <c r="JTR4" s="37"/>
      <c r="JTS4" s="37"/>
      <c r="JTT4" s="37"/>
      <c r="JTU4" s="37"/>
      <c r="JTV4" s="37"/>
      <c r="JTW4" s="37"/>
      <c r="JTX4" s="37"/>
      <c r="JTY4" s="37"/>
      <c r="JTZ4" s="37"/>
      <c r="JUA4" s="37"/>
      <c r="JUB4" s="37"/>
      <c r="JUC4" s="37"/>
      <c r="JUD4" s="37"/>
      <c r="JUE4" s="37"/>
      <c r="JUF4" s="37"/>
      <c r="JUG4" s="37"/>
      <c r="JUH4" s="37"/>
      <c r="JUI4" s="37"/>
      <c r="JUJ4" s="37"/>
      <c r="JUK4" s="37"/>
      <c r="JUL4" s="37"/>
      <c r="JUM4" s="37"/>
      <c r="JUN4" s="37"/>
      <c r="JUO4" s="37"/>
      <c r="JUP4" s="37"/>
      <c r="JUQ4" s="37"/>
      <c r="JUR4" s="37"/>
      <c r="JUS4" s="37"/>
      <c r="JUT4" s="37"/>
      <c r="JUU4" s="37"/>
      <c r="JUV4" s="37"/>
      <c r="JUW4" s="37"/>
      <c r="JUX4" s="37"/>
      <c r="JUY4" s="37"/>
      <c r="JUZ4" s="37"/>
      <c r="JVA4" s="37"/>
      <c r="JVB4" s="37"/>
      <c r="JVC4" s="37"/>
      <c r="JVD4" s="37"/>
      <c r="JVE4" s="37"/>
      <c r="JVF4" s="37"/>
      <c r="JVG4" s="37"/>
      <c r="JVH4" s="37"/>
      <c r="JVI4" s="37"/>
      <c r="JVJ4" s="37"/>
      <c r="JVK4" s="37"/>
      <c r="JVL4" s="37"/>
      <c r="JVM4" s="37"/>
      <c r="JVN4" s="37"/>
      <c r="JVO4" s="37"/>
      <c r="JVP4" s="37"/>
      <c r="JVQ4" s="37"/>
      <c r="JVR4" s="37"/>
      <c r="JVS4" s="37"/>
      <c r="JVT4" s="37"/>
      <c r="JVU4" s="37"/>
      <c r="JVV4" s="37"/>
      <c r="JVW4" s="37"/>
      <c r="JVX4" s="37"/>
      <c r="JVY4" s="37"/>
      <c r="JVZ4" s="37"/>
      <c r="JWA4" s="37"/>
      <c r="JWB4" s="37"/>
      <c r="JWC4" s="37"/>
      <c r="JWD4" s="37"/>
      <c r="JWE4" s="37"/>
      <c r="JWF4" s="37"/>
      <c r="JWG4" s="37"/>
      <c r="JWH4" s="37"/>
      <c r="JWI4" s="37"/>
      <c r="JWJ4" s="37"/>
      <c r="JWK4" s="37"/>
      <c r="JWL4" s="37"/>
      <c r="JWM4" s="37"/>
      <c r="JWN4" s="37"/>
      <c r="JWO4" s="37"/>
      <c r="JWP4" s="37"/>
      <c r="JWQ4" s="37"/>
      <c r="JWR4" s="37"/>
      <c r="JWS4" s="37"/>
      <c r="JWT4" s="37"/>
      <c r="JWU4" s="37"/>
      <c r="JWV4" s="37"/>
      <c r="JWW4" s="37"/>
      <c r="JWX4" s="37"/>
      <c r="JWY4" s="37"/>
      <c r="JWZ4" s="37"/>
      <c r="JXA4" s="37"/>
      <c r="JXB4" s="37"/>
      <c r="JXC4" s="37"/>
      <c r="JXD4" s="37"/>
      <c r="JXE4" s="37"/>
      <c r="JXF4" s="37"/>
      <c r="JXG4" s="37"/>
      <c r="JXH4" s="37"/>
      <c r="JXI4" s="37"/>
      <c r="JXJ4" s="37"/>
      <c r="JXK4" s="37"/>
      <c r="JXL4" s="37"/>
      <c r="JXM4" s="37"/>
      <c r="JXN4" s="37"/>
      <c r="JXO4" s="37"/>
      <c r="JXP4" s="37"/>
      <c r="JXQ4" s="37"/>
      <c r="JXR4" s="37"/>
      <c r="JXS4" s="37"/>
      <c r="JXT4" s="37"/>
      <c r="JXU4" s="37"/>
      <c r="JXV4" s="37"/>
      <c r="JXW4" s="37"/>
      <c r="JXX4" s="37"/>
      <c r="JXY4" s="37"/>
      <c r="JXZ4" s="37"/>
      <c r="JYA4" s="37"/>
      <c r="JYB4" s="37"/>
      <c r="JYC4" s="37"/>
      <c r="JYD4" s="37"/>
      <c r="JYE4" s="37"/>
      <c r="JYF4" s="37"/>
      <c r="JYG4" s="37"/>
      <c r="JYH4" s="37"/>
      <c r="JYI4" s="37"/>
      <c r="JYJ4" s="37"/>
      <c r="JYK4" s="37"/>
      <c r="JYL4" s="37"/>
      <c r="JYM4" s="37"/>
      <c r="JYN4" s="37"/>
      <c r="JYO4" s="37"/>
      <c r="JYP4" s="37"/>
      <c r="JYQ4" s="37"/>
      <c r="JYR4" s="37"/>
      <c r="JYS4" s="37"/>
      <c r="JYT4" s="37"/>
      <c r="JYU4" s="37"/>
      <c r="JYV4" s="37"/>
      <c r="JYW4" s="37"/>
      <c r="JYX4" s="37"/>
      <c r="JYY4" s="37"/>
      <c r="JYZ4" s="37"/>
      <c r="JZA4" s="37"/>
      <c r="JZB4" s="37"/>
      <c r="JZC4" s="37"/>
      <c r="JZD4" s="37"/>
      <c r="JZE4" s="37"/>
      <c r="JZF4" s="37"/>
      <c r="JZG4" s="37"/>
      <c r="JZH4" s="37"/>
      <c r="JZI4" s="37"/>
      <c r="JZJ4" s="37"/>
      <c r="JZK4" s="37"/>
      <c r="JZL4" s="37"/>
      <c r="JZM4" s="37"/>
      <c r="JZN4" s="37"/>
      <c r="JZO4" s="37"/>
      <c r="JZP4" s="37"/>
      <c r="JZQ4" s="37"/>
      <c r="JZR4" s="37"/>
      <c r="JZS4" s="37"/>
      <c r="JZT4" s="37"/>
      <c r="JZU4" s="37"/>
      <c r="JZV4" s="37"/>
      <c r="JZW4" s="37"/>
      <c r="JZX4" s="37"/>
      <c r="JZY4" s="37"/>
      <c r="JZZ4" s="37"/>
      <c r="KAA4" s="37"/>
      <c r="KAB4" s="37"/>
      <c r="KAC4" s="37"/>
      <c r="KAD4" s="37"/>
      <c r="KAE4" s="37"/>
      <c r="KAF4" s="37"/>
      <c r="KAG4" s="37"/>
      <c r="KAH4" s="37"/>
      <c r="KAI4" s="37"/>
      <c r="KAJ4" s="37"/>
      <c r="KAK4" s="37"/>
      <c r="KAL4" s="37"/>
      <c r="KAM4" s="37"/>
      <c r="KAN4" s="37"/>
      <c r="KAO4" s="37"/>
      <c r="KAP4" s="37"/>
      <c r="KAQ4" s="37"/>
      <c r="KAR4" s="37"/>
      <c r="KAS4" s="37"/>
      <c r="KAT4" s="37"/>
      <c r="KAU4" s="37"/>
      <c r="KAV4" s="37"/>
      <c r="KAW4" s="37"/>
      <c r="KAX4" s="37"/>
      <c r="KAY4" s="37"/>
      <c r="KAZ4" s="37"/>
      <c r="KBA4" s="37"/>
      <c r="KBB4" s="37"/>
      <c r="KBC4" s="37"/>
      <c r="KBD4" s="37"/>
      <c r="KBE4" s="37"/>
      <c r="KBF4" s="37"/>
      <c r="KBG4" s="37"/>
      <c r="KBH4" s="37"/>
      <c r="KBI4" s="37"/>
      <c r="KBJ4" s="37"/>
      <c r="KBK4" s="37"/>
      <c r="KBL4" s="37"/>
      <c r="KBM4" s="37"/>
      <c r="KBN4" s="37"/>
      <c r="KBO4" s="37"/>
      <c r="KBP4" s="37"/>
      <c r="KBQ4" s="37"/>
      <c r="KBR4" s="37"/>
      <c r="KBS4" s="37"/>
      <c r="KBT4" s="37"/>
      <c r="KBU4" s="37"/>
      <c r="KBV4" s="37"/>
      <c r="KBW4" s="37"/>
      <c r="KBX4" s="37"/>
      <c r="KBY4" s="37"/>
      <c r="KBZ4" s="37"/>
      <c r="KCA4" s="37"/>
      <c r="KCB4" s="37"/>
      <c r="KCC4" s="37"/>
      <c r="KCD4" s="37"/>
      <c r="KCE4" s="37"/>
      <c r="KCF4" s="37"/>
      <c r="KCG4" s="37"/>
      <c r="KCH4" s="37"/>
      <c r="KCI4" s="37"/>
      <c r="KCJ4" s="37"/>
      <c r="KCK4" s="37"/>
      <c r="KCL4" s="37"/>
      <c r="KCM4" s="37"/>
      <c r="KCN4" s="37"/>
      <c r="KCO4" s="37"/>
      <c r="KCP4" s="37"/>
      <c r="KCQ4" s="37"/>
      <c r="KCR4" s="37"/>
      <c r="KCS4" s="37"/>
      <c r="KCT4" s="37"/>
      <c r="KCU4" s="37"/>
      <c r="KCV4" s="37"/>
      <c r="KCW4" s="37"/>
      <c r="KCX4" s="37"/>
      <c r="KCY4" s="37"/>
      <c r="KCZ4" s="37"/>
      <c r="KDA4" s="37"/>
      <c r="KDB4" s="37"/>
      <c r="KDC4" s="37"/>
      <c r="KDD4" s="37"/>
      <c r="KDE4" s="37"/>
      <c r="KDF4" s="37"/>
      <c r="KDG4" s="37"/>
      <c r="KDH4" s="37"/>
      <c r="KDI4" s="37"/>
      <c r="KDJ4" s="37"/>
      <c r="KDK4" s="37"/>
      <c r="KDL4" s="37"/>
      <c r="KDM4" s="37"/>
      <c r="KDN4" s="37"/>
      <c r="KDO4" s="37"/>
      <c r="KDP4" s="37"/>
      <c r="KDQ4" s="37"/>
      <c r="KDR4" s="37"/>
      <c r="KDS4" s="37"/>
      <c r="KDT4" s="37"/>
      <c r="KDU4" s="37"/>
      <c r="KDV4" s="37"/>
      <c r="KDW4" s="37"/>
      <c r="KDX4" s="37"/>
      <c r="KDY4" s="37"/>
      <c r="KDZ4" s="37"/>
      <c r="KEA4" s="37"/>
      <c r="KEB4" s="37"/>
      <c r="KEC4" s="37"/>
      <c r="KED4" s="37"/>
      <c r="KEE4" s="37"/>
      <c r="KEF4" s="37"/>
      <c r="KEG4" s="37"/>
      <c r="KEH4" s="37"/>
      <c r="KEI4" s="37"/>
      <c r="KEJ4" s="37"/>
      <c r="KEK4" s="37"/>
      <c r="KEL4" s="37"/>
      <c r="KEM4" s="37"/>
      <c r="KEN4" s="37"/>
      <c r="KEO4" s="37"/>
      <c r="KEP4" s="37"/>
      <c r="KEQ4" s="37"/>
      <c r="KER4" s="37"/>
      <c r="KES4" s="37"/>
      <c r="KET4" s="37"/>
      <c r="KEU4" s="37"/>
      <c r="KEV4" s="37"/>
      <c r="KEW4" s="37"/>
      <c r="KEX4" s="37"/>
      <c r="KEY4" s="37"/>
      <c r="KEZ4" s="37"/>
      <c r="KFA4" s="37"/>
      <c r="KFB4" s="37"/>
      <c r="KFC4" s="37"/>
      <c r="KFD4" s="37"/>
      <c r="KFE4" s="37"/>
      <c r="KFF4" s="37"/>
      <c r="KFG4" s="37"/>
      <c r="KFH4" s="37"/>
      <c r="KFI4" s="37"/>
      <c r="KFJ4" s="37"/>
      <c r="KFK4" s="37"/>
      <c r="KFL4" s="37"/>
      <c r="KFM4" s="37"/>
      <c r="KFN4" s="37"/>
      <c r="KFO4" s="37"/>
      <c r="KFP4" s="37"/>
      <c r="KFQ4" s="37"/>
      <c r="KFR4" s="37"/>
      <c r="KFS4" s="37"/>
      <c r="KFT4" s="37"/>
      <c r="KFU4" s="37"/>
      <c r="KFV4" s="37"/>
      <c r="KFW4" s="37"/>
      <c r="KFX4" s="37"/>
      <c r="KFY4" s="37"/>
      <c r="KFZ4" s="37"/>
      <c r="KGA4" s="37"/>
      <c r="KGB4" s="37"/>
      <c r="KGC4" s="37"/>
      <c r="KGD4" s="37"/>
      <c r="KGE4" s="37"/>
      <c r="KGF4" s="37"/>
      <c r="KGG4" s="37"/>
      <c r="KGH4" s="37"/>
      <c r="KGI4" s="37"/>
      <c r="KGJ4" s="37"/>
      <c r="KGK4" s="37"/>
      <c r="KGL4" s="37"/>
      <c r="KGM4" s="37"/>
      <c r="KGN4" s="37"/>
      <c r="KGO4" s="37"/>
      <c r="KGP4" s="37"/>
      <c r="KGQ4" s="37"/>
      <c r="KGR4" s="37"/>
      <c r="KGS4" s="37"/>
      <c r="KGT4" s="37"/>
      <c r="KGU4" s="37"/>
      <c r="KGV4" s="37"/>
      <c r="KGW4" s="37"/>
      <c r="KGX4" s="37"/>
      <c r="KGY4" s="37"/>
      <c r="KGZ4" s="37"/>
      <c r="KHA4" s="37"/>
      <c r="KHB4" s="37"/>
      <c r="KHC4" s="37"/>
      <c r="KHD4" s="37"/>
      <c r="KHE4" s="37"/>
      <c r="KHF4" s="37"/>
      <c r="KHG4" s="37"/>
      <c r="KHH4" s="37"/>
      <c r="KHI4" s="37"/>
      <c r="KHJ4" s="37"/>
      <c r="KHK4" s="37"/>
      <c r="KHL4" s="37"/>
      <c r="KHM4" s="37"/>
      <c r="KHN4" s="37"/>
      <c r="KHO4" s="37"/>
      <c r="KHP4" s="37"/>
      <c r="KHQ4" s="37"/>
      <c r="KHR4" s="37"/>
      <c r="KHS4" s="37"/>
      <c r="KHT4" s="37"/>
      <c r="KHU4" s="37"/>
      <c r="KHV4" s="37"/>
      <c r="KHW4" s="37"/>
      <c r="KHX4" s="37"/>
      <c r="KHY4" s="37"/>
      <c r="KHZ4" s="37"/>
      <c r="KIA4" s="37"/>
      <c r="KIB4" s="37"/>
      <c r="KIC4" s="37"/>
      <c r="KID4" s="37"/>
      <c r="KIE4" s="37"/>
      <c r="KIF4" s="37"/>
      <c r="KIG4" s="37"/>
      <c r="KIH4" s="37"/>
      <c r="KII4" s="37"/>
      <c r="KIJ4" s="37"/>
      <c r="KIK4" s="37"/>
      <c r="KIL4" s="37"/>
      <c r="KIM4" s="37"/>
      <c r="KIN4" s="37"/>
      <c r="KIO4" s="37"/>
      <c r="KIP4" s="37"/>
      <c r="KIQ4" s="37"/>
      <c r="KIR4" s="37"/>
      <c r="KIS4" s="37"/>
      <c r="KIT4" s="37"/>
      <c r="KIU4" s="37"/>
      <c r="KIV4" s="37"/>
      <c r="KIW4" s="37"/>
      <c r="KIX4" s="37"/>
      <c r="KIY4" s="37"/>
      <c r="KIZ4" s="37"/>
      <c r="KJA4" s="37"/>
      <c r="KJB4" s="37"/>
      <c r="KJC4" s="37"/>
      <c r="KJD4" s="37"/>
      <c r="KJE4" s="37"/>
      <c r="KJF4" s="37"/>
      <c r="KJG4" s="37"/>
      <c r="KJH4" s="37"/>
      <c r="KJI4" s="37"/>
      <c r="KJJ4" s="37"/>
      <c r="KJK4" s="37"/>
      <c r="KJL4" s="37"/>
      <c r="KJM4" s="37"/>
      <c r="KJN4" s="37"/>
      <c r="KJO4" s="37"/>
      <c r="KJP4" s="37"/>
      <c r="KJQ4" s="37"/>
      <c r="KJR4" s="37"/>
      <c r="KJS4" s="37"/>
      <c r="KJT4" s="37"/>
      <c r="KJU4" s="37"/>
      <c r="KJV4" s="37"/>
      <c r="KJW4" s="37"/>
      <c r="KJX4" s="37"/>
      <c r="KJY4" s="37"/>
      <c r="KJZ4" s="37"/>
      <c r="KKA4" s="37"/>
      <c r="KKB4" s="37"/>
      <c r="KKC4" s="37"/>
      <c r="KKD4" s="37"/>
      <c r="KKE4" s="37"/>
      <c r="KKF4" s="37"/>
      <c r="KKG4" s="37"/>
      <c r="KKH4" s="37"/>
      <c r="KKI4" s="37"/>
      <c r="KKJ4" s="37"/>
      <c r="KKK4" s="37"/>
      <c r="KKL4" s="37"/>
      <c r="KKM4" s="37"/>
      <c r="KKN4" s="37"/>
      <c r="KKO4" s="37"/>
      <c r="KKP4" s="37"/>
      <c r="KKQ4" s="37"/>
      <c r="KKR4" s="37"/>
      <c r="KKS4" s="37"/>
      <c r="KKT4" s="37"/>
      <c r="KKU4" s="37"/>
      <c r="KKV4" s="37"/>
      <c r="KKW4" s="37"/>
      <c r="KKX4" s="37"/>
      <c r="KKY4" s="37"/>
      <c r="KKZ4" s="37"/>
      <c r="KLA4" s="37"/>
      <c r="KLB4" s="37"/>
      <c r="KLC4" s="37"/>
      <c r="KLD4" s="37"/>
      <c r="KLE4" s="37"/>
      <c r="KLF4" s="37"/>
      <c r="KLG4" s="37"/>
      <c r="KLH4" s="37"/>
      <c r="KLI4" s="37"/>
      <c r="KLJ4" s="37"/>
      <c r="KLK4" s="37"/>
      <c r="KLL4" s="37"/>
      <c r="KLM4" s="37"/>
      <c r="KLN4" s="37"/>
      <c r="KLO4" s="37"/>
      <c r="KLP4" s="37"/>
      <c r="KLQ4" s="37"/>
      <c r="KLR4" s="37"/>
      <c r="KLS4" s="37"/>
      <c r="KLT4" s="37"/>
      <c r="KLU4" s="37"/>
      <c r="KLV4" s="37"/>
      <c r="KLW4" s="37"/>
      <c r="KLX4" s="37"/>
      <c r="KLY4" s="37"/>
      <c r="KLZ4" s="37"/>
      <c r="KMA4" s="37"/>
      <c r="KMB4" s="37"/>
      <c r="KMC4" s="37"/>
      <c r="KMD4" s="37"/>
      <c r="KME4" s="37"/>
      <c r="KMF4" s="37"/>
      <c r="KMG4" s="37"/>
      <c r="KMH4" s="37"/>
      <c r="KMI4" s="37"/>
      <c r="KMJ4" s="37"/>
      <c r="KMK4" s="37"/>
      <c r="KML4" s="37"/>
      <c r="KMM4" s="37"/>
      <c r="KMN4" s="37"/>
      <c r="KMO4" s="37"/>
      <c r="KMP4" s="37"/>
      <c r="KMQ4" s="37"/>
      <c r="KMR4" s="37"/>
      <c r="KMS4" s="37"/>
      <c r="KMT4" s="37"/>
      <c r="KMU4" s="37"/>
      <c r="KMV4" s="37"/>
      <c r="KMW4" s="37"/>
      <c r="KMX4" s="37"/>
      <c r="KMY4" s="37"/>
      <c r="KMZ4" s="37"/>
      <c r="KNA4" s="37"/>
      <c r="KNB4" s="37"/>
      <c r="KNC4" s="37"/>
      <c r="KND4" s="37"/>
      <c r="KNE4" s="37"/>
      <c r="KNF4" s="37"/>
      <c r="KNG4" s="37"/>
      <c r="KNH4" s="37"/>
      <c r="KNI4" s="37"/>
      <c r="KNJ4" s="37"/>
      <c r="KNK4" s="37"/>
      <c r="KNL4" s="37"/>
      <c r="KNM4" s="37"/>
      <c r="KNN4" s="37"/>
      <c r="KNO4" s="37"/>
      <c r="KNP4" s="37"/>
      <c r="KNQ4" s="37"/>
      <c r="KNR4" s="37"/>
      <c r="KNS4" s="37"/>
      <c r="KNT4" s="37"/>
      <c r="KNU4" s="37"/>
      <c r="KNV4" s="37"/>
      <c r="KNW4" s="37"/>
      <c r="KNX4" s="37"/>
      <c r="KNY4" s="37"/>
      <c r="KNZ4" s="37"/>
      <c r="KOA4" s="37"/>
      <c r="KOB4" s="37"/>
      <c r="KOC4" s="37"/>
      <c r="KOD4" s="37"/>
      <c r="KOE4" s="37"/>
      <c r="KOF4" s="37"/>
      <c r="KOG4" s="37"/>
      <c r="KOH4" s="37"/>
      <c r="KOI4" s="37"/>
      <c r="KOJ4" s="37"/>
      <c r="KOK4" s="37"/>
      <c r="KOL4" s="37"/>
      <c r="KOM4" s="37"/>
      <c r="KON4" s="37"/>
      <c r="KOO4" s="37"/>
      <c r="KOP4" s="37"/>
      <c r="KOQ4" s="37"/>
      <c r="KOR4" s="37"/>
      <c r="KOS4" s="37"/>
      <c r="KOT4" s="37"/>
      <c r="KOU4" s="37"/>
      <c r="KOV4" s="37"/>
      <c r="KOW4" s="37"/>
      <c r="KOX4" s="37"/>
      <c r="KOY4" s="37"/>
      <c r="KOZ4" s="37"/>
      <c r="KPA4" s="37"/>
      <c r="KPB4" s="37"/>
      <c r="KPC4" s="37"/>
      <c r="KPD4" s="37"/>
      <c r="KPE4" s="37"/>
      <c r="KPF4" s="37"/>
      <c r="KPG4" s="37"/>
      <c r="KPH4" s="37"/>
      <c r="KPI4" s="37"/>
      <c r="KPJ4" s="37"/>
      <c r="KPK4" s="37"/>
      <c r="KPL4" s="37"/>
      <c r="KPM4" s="37"/>
      <c r="KPN4" s="37"/>
      <c r="KPO4" s="37"/>
      <c r="KPP4" s="37"/>
      <c r="KPQ4" s="37"/>
      <c r="KPR4" s="37"/>
      <c r="KPS4" s="37"/>
      <c r="KPT4" s="37"/>
      <c r="KPU4" s="37"/>
      <c r="KPV4" s="37"/>
      <c r="KPW4" s="37"/>
      <c r="KPX4" s="37"/>
      <c r="KPY4" s="37"/>
      <c r="KPZ4" s="37"/>
      <c r="KQA4" s="37"/>
      <c r="KQB4" s="37"/>
      <c r="KQC4" s="37"/>
      <c r="KQD4" s="37"/>
      <c r="KQE4" s="37"/>
      <c r="KQF4" s="37"/>
      <c r="KQG4" s="37"/>
      <c r="KQH4" s="37"/>
      <c r="KQI4" s="37"/>
      <c r="KQJ4" s="37"/>
      <c r="KQK4" s="37"/>
      <c r="KQL4" s="37"/>
      <c r="KQM4" s="37"/>
      <c r="KQN4" s="37"/>
      <c r="KQO4" s="37"/>
      <c r="KQP4" s="37"/>
      <c r="KQQ4" s="37"/>
      <c r="KQR4" s="37"/>
      <c r="KQS4" s="37"/>
      <c r="KQT4" s="37"/>
      <c r="KQU4" s="37"/>
      <c r="KQV4" s="37"/>
      <c r="KQW4" s="37"/>
      <c r="KQX4" s="37"/>
      <c r="KQY4" s="37"/>
      <c r="KQZ4" s="37"/>
      <c r="KRA4" s="37"/>
      <c r="KRB4" s="37"/>
      <c r="KRC4" s="37"/>
      <c r="KRD4" s="37"/>
      <c r="KRE4" s="37"/>
      <c r="KRF4" s="37"/>
      <c r="KRG4" s="37"/>
      <c r="KRH4" s="37"/>
      <c r="KRI4" s="37"/>
      <c r="KRJ4" s="37"/>
      <c r="KRK4" s="37"/>
      <c r="KRL4" s="37"/>
      <c r="KRM4" s="37"/>
      <c r="KRN4" s="37"/>
      <c r="KRO4" s="37"/>
      <c r="KRP4" s="37"/>
      <c r="KRQ4" s="37"/>
      <c r="KRR4" s="37"/>
      <c r="KRS4" s="37"/>
      <c r="KRT4" s="37"/>
      <c r="KRU4" s="37"/>
      <c r="KRV4" s="37"/>
      <c r="KRW4" s="37"/>
      <c r="KRX4" s="37"/>
      <c r="KRY4" s="37"/>
      <c r="KRZ4" s="37"/>
      <c r="KSA4" s="37"/>
      <c r="KSB4" s="37"/>
      <c r="KSC4" s="37"/>
      <c r="KSD4" s="37"/>
      <c r="KSE4" s="37"/>
      <c r="KSF4" s="37"/>
      <c r="KSG4" s="37"/>
      <c r="KSH4" s="37"/>
      <c r="KSI4" s="37"/>
      <c r="KSJ4" s="37"/>
      <c r="KSK4" s="37"/>
      <c r="KSL4" s="37"/>
      <c r="KSM4" s="37"/>
      <c r="KSN4" s="37"/>
      <c r="KSO4" s="37"/>
      <c r="KSP4" s="37"/>
      <c r="KSQ4" s="37"/>
      <c r="KSR4" s="37"/>
      <c r="KSS4" s="37"/>
      <c r="KST4" s="37"/>
      <c r="KSU4" s="37"/>
      <c r="KSV4" s="37"/>
      <c r="KSW4" s="37"/>
      <c r="KSX4" s="37"/>
      <c r="KSY4" s="37"/>
      <c r="KSZ4" s="37"/>
      <c r="KTA4" s="37"/>
      <c r="KTB4" s="37"/>
      <c r="KTC4" s="37"/>
      <c r="KTD4" s="37"/>
      <c r="KTE4" s="37"/>
      <c r="KTF4" s="37"/>
      <c r="KTG4" s="37"/>
      <c r="KTH4" s="37"/>
      <c r="KTI4" s="37"/>
      <c r="KTJ4" s="37"/>
      <c r="KTK4" s="37"/>
      <c r="KTL4" s="37"/>
      <c r="KTM4" s="37"/>
      <c r="KTN4" s="37"/>
      <c r="KTO4" s="37"/>
      <c r="KTP4" s="37"/>
      <c r="KTQ4" s="37"/>
      <c r="KTR4" s="37"/>
      <c r="KTS4" s="37"/>
      <c r="KTT4" s="37"/>
      <c r="KTU4" s="37"/>
      <c r="KTV4" s="37"/>
      <c r="KTW4" s="37"/>
      <c r="KTX4" s="37"/>
      <c r="KTY4" s="37"/>
      <c r="KTZ4" s="37"/>
      <c r="KUA4" s="37"/>
      <c r="KUB4" s="37"/>
      <c r="KUC4" s="37"/>
      <c r="KUD4" s="37"/>
      <c r="KUE4" s="37"/>
      <c r="KUF4" s="37"/>
      <c r="KUG4" s="37"/>
      <c r="KUH4" s="37"/>
      <c r="KUI4" s="37"/>
      <c r="KUJ4" s="37"/>
      <c r="KUK4" s="37"/>
      <c r="KUL4" s="37"/>
      <c r="KUM4" s="37"/>
      <c r="KUN4" s="37"/>
      <c r="KUO4" s="37"/>
      <c r="KUP4" s="37"/>
      <c r="KUQ4" s="37"/>
      <c r="KUR4" s="37"/>
      <c r="KUS4" s="37"/>
      <c r="KUT4" s="37"/>
      <c r="KUU4" s="37"/>
      <c r="KUV4" s="37"/>
      <c r="KUW4" s="37"/>
      <c r="KUX4" s="37"/>
      <c r="KUY4" s="37"/>
      <c r="KUZ4" s="37"/>
      <c r="KVA4" s="37"/>
      <c r="KVB4" s="37"/>
      <c r="KVC4" s="37"/>
      <c r="KVD4" s="37"/>
      <c r="KVE4" s="37"/>
      <c r="KVF4" s="37"/>
      <c r="KVG4" s="37"/>
      <c r="KVH4" s="37"/>
      <c r="KVI4" s="37"/>
      <c r="KVJ4" s="37"/>
      <c r="KVK4" s="37"/>
      <c r="KVL4" s="37"/>
      <c r="KVM4" s="37"/>
      <c r="KVN4" s="37"/>
      <c r="KVO4" s="37"/>
      <c r="KVP4" s="37"/>
      <c r="KVQ4" s="37"/>
      <c r="KVR4" s="37"/>
      <c r="KVS4" s="37"/>
      <c r="KVT4" s="37"/>
      <c r="KVU4" s="37"/>
      <c r="KVV4" s="37"/>
      <c r="KVW4" s="37"/>
      <c r="KVX4" s="37"/>
      <c r="KVY4" s="37"/>
      <c r="KVZ4" s="37"/>
      <c r="KWA4" s="37"/>
      <c r="KWB4" s="37"/>
      <c r="KWC4" s="37"/>
      <c r="KWD4" s="37"/>
      <c r="KWE4" s="37"/>
      <c r="KWF4" s="37"/>
      <c r="KWG4" s="37"/>
      <c r="KWH4" s="37"/>
      <c r="KWI4" s="37"/>
      <c r="KWJ4" s="37"/>
      <c r="KWK4" s="37"/>
      <c r="KWL4" s="37"/>
      <c r="KWM4" s="37"/>
      <c r="KWN4" s="37"/>
      <c r="KWO4" s="37"/>
      <c r="KWP4" s="37"/>
      <c r="KWQ4" s="37"/>
      <c r="KWR4" s="37"/>
      <c r="KWS4" s="37"/>
      <c r="KWT4" s="37"/>
      <c r="KWU4" s="37"/>
      <c r="KWV4" s="37"/>
      <c r="KWW4" s="37"/>
      <c r="KWX4" s="37"/>
      <c r="KWY4" s="37"/>
      <c r="KWZ4" s="37"/>
      <c r="KXA4" s="37"/>
      <c r="KXB4" s="37"/>
      <c r="KXC4" s="37"/>
      <c r="KXD4" s="37"/>
      <c r="KXE4" s="37"/>
      <c r="KXF4" s="37"/>
      <c r="KXG4" s="37"/>
      <c r="KXH4" s="37"/>
      <c r="KXI4" s="37"/>
      <c r="KXJ4" s="37"/>
      <c r="KXK4" s="37"/>
      <c r="KXL4" s="37"/>
      <c r="KXM4" s="37"/>
      <c r="KXN4" s="37"/>
      <c r="KXO4" s="37"/>
      <c r="KXP4" s="37"/>
      <c r="KXQ4" s="37"/>
      <c r="KXR4" s="37"/>
      <c r="KXS4" s="37"/>
      <c r="KXT4" s="37"/>
      <c r="KXU4" s="37"/>
      <c r="KXV4" s="37"/>
      <c r="KXW4" s="37"/>
      <c r="KXX4" s="37"/>
      <c r="KXY4" s="37"/>
      <c r="KXZ4" s="37"/>
      <c r="KYA4" s="37"/>
      <c r="KYB4" s="37"/>
      <c r="KYC4" s="37"/>
      <c r="KYD4" s="37"/>
      <c r="KYE4" s="37"/>
      <c r="KYF4" s="37"/>
      <c r="KYG4" s="37"/>
      <c r="KYH4" s="37"/>
      <c r="KYI4" s="37"/>
      <c r="KYJ4" s="37"/>
      <c r="KYK4" s="37"/>
      <c r="KYL4" s="37"/>
      <c r="KYM4" s="37"/>
      <c r="KYN4" s="37"/>
      <c r="KYO4" s="37"/>
      <c r="KYP4" s="37"/>
      <c r="KYQ4" s="37"/>
      <c r="KYR4" s="37"/>
      <c r="KYS4" s="37"/>
      <c r="KYT4" s="37"/>
      <c r="KYU4" s="37"/>
      <c r="KYV4" s="37"/>
      <c r="KYW4" s="37"/>
      <c r="KYX4" s="37"/>
      <c r="KYY4" s="37"/>
      <c r="KYZ4" s="37"/>
      <c r="KZA4" s="37"/>
      <c r="KZB4" s="37"/>
      <c r="KZC4" s="37"/>
      <c r="KZD4" s="37"/>
      <c r="KZE4" s="37"/>
      <c r="KZF4" s="37"/>
      <c r="KZG4" s="37"/>
      <c r="KZH4" s="37"/>
      <c r="KZI4" s="37"/>
      <c r="KZJ4" s="37"/>
      <c r="KZK4" s="37"/>
      <c r="KZL4" s="37"/>
      <c r="KZM4" s="37"/>
      <c r="KZN4" s="37"/>
      <c r="KZO4" s="37"/>
      <c r="KZP4" s="37"/>
      <c r="KZQ4" s="37"/>
      <c r="KZR4" s="37"/>
      <c r="KZS4" s="37"/>
      <c r="KZT4" s="37"/>
      <c r="KZU4" s="37"/>
      <c r="KZV4" s="37"/>
      <c r="KZW4" s="37"/>
      <c r="KZX4" s="37"/>
      <c r="KZY4" s="37"/>
      <c r="KZZ4" s="37"/>
      <c r="LAA4" s="37"/>
      <c r="LAB4" s="37"/>
      <c r="LAC4" s="37"/>
      <c r="LAD4" s="37"/>
      <c r="LAE4" s="37"/>
      <c r="LAF4" s="37"/>
      <c r="LAG4" s="37"/>
      <c r="LAH4" s="37"/>
      <c r="LAI4" s="37"/>
      <c r="LAJ4" s="37"/>
      <c r="LAK4" s="37"/>
      <c r="LAL4" s="37"/>
      <c r="LAM4" s="37"/>
      <c r="LAN4" s="37"/>
      <c r="LAO4" s="37"/>
      <c r="LAP4" s="37"/>
      <c r="LAQ4" s="37"/>
      <c r="LAR4" s="37"/>
      <c r="LAS4" s="37"/>
      <c r="LAT4" s="37"/>
      <c r="LAU4" s="37"/>
      <c r="LAV4" s="37"/>
      <c r="LAW4" s="37"/>
      <c r="LAX4" s="37"/>
      <c r="LAY4" s="37"/>
      <c r="LAZ4" s="37"/>
      <c r="LBA4" s="37"/>
      <c r="LBB4" s="37"/>
      <c r="LBC4" s="37"/>
      <c r="LBD4" s="37"/>
      <c r="LBE4" s="37"/>
      <c r="LBF4" s="37"/>
      <c r="LBG4" s="37"/>
      <c r="LBH4" s="37"/>
      <c r="LBI4" s="37"/>
      <c r="LBJ4" s="37"/>
      <c r="LBK4" s="37"/>
      <c r="LBL4" s="37"/>
      <c r="LBM4" s="37"/>
      <c r="LBN4" s="37"/>
      <c r="LBO4" s="37"/>
      <c r="LBP4" s="37"/>
      <c r="LBQ4" s="37"/>
      <c r="LBR4" s="37"/>
      <c r="LBS4" s="37"/>
      <c r="LBT4" s="37"/>
      <c r="LBU4" s="37"/>
      <c r="LBV4" s="37"/>
      <c r="LBW4" s="37"/>
      <c r="LBX4" s="37"/>
      <c r="LBY4" s="37"/>
      <c r="LBZ4" s="37"/>
      <c r="LCA4" s="37"/>
      <c r="LCB4" s="37"/>
      <c r="LCC4" s="37"/>
      <c r="LCD4" s="37"/>
      <c r="LCE4" s="37"/>
      <c r="LCF4" s="37"/>
      <c r="LCG4" s="37"/>
      <c r="LCH4" s="37"/>
      <c r="LCI4" s="37"/>
      <c r="LCJ4" s="37"/>
      <c r="LCK4" s="37"/>
      <c r="LCL4" s="37"/>
      <c r="LCM4" s="37"/>
      <c r="LCN4" s="37"/>
      <c r="LCO4" s="37"/>
      <c r="LCP4" s="37"/>
      <c r="LCQ4" s="37"/>
      <c r="LCR4" s="37"/>
      <c r="LCS4" s="37"/>
      <c r="LCT4" s="37"/>
      <c r="LCU4" s="37"/>
      <c r="LCV4" s="37"/>
      <c r="LCW4" s="37"/>
      <c r="LCX4" s="37"/>
      <c r="LCY4" s="37"/>
      <c r="LCZ4" s="37"/>
      <c r="LDA4" s="37"/>
      <c r="LDB4" s="37"/>
      <c r="LDC4" s="37"/>
      <c r="LDD4" s="37"/>
      <c r="LDE4" s="37"/>
      <c r="LDF4" s="37"/>
      <c r="LDG4" s="37"/>
      <c r="LDH4" s="37"/>
      <c r="LDI4" s="37"/>
      <c r="LDJ4" s="37"/>
      <c r="LDK4" s="37"/>
      <c r="LDL4" s="37"/>
      <c r="LDM4" s="37"/>
      <c r="LDN4" s="37"/>
      <c r="LDO4" s="37"/>
      <c r="LDP4" s="37"/>
      <c r="LDQ4" s="37"/>
      <c r="LDR4" s="37"/>
      <c r="LDS4" s="37"/>
      <c r="LDT4" s="37"/>
      <c r="LDU4" s="37"/>
      <c r="LDV4" s="37"/>
      <c r="LDW4" s="37"/>
      <c r="LDX4" s="37"/>
      <c r="LDY4" s="37"/>
      <c r="LDZ4" s="37"/>
      <c r="LEA4" s="37"/>
      <c r="LEB4" s="37"/>
      <c r="LEC4" s="37"/>
      <c r="LED4" s="37"/>
      <c r="LEE4" s="37"/>
      <c r="LEF4" s="37"/>
      <c r="LEG4" s="37"/>
      <c r="LEH4" s="37"/>
      <c r="LEI4" s="37"/>
      <c r="LEJ4" s="37"/>
      <c r="LEK4" s="37"/>
      <c r="LEL4" s="37"/>
      <c r="LEM4" s="37"/>
      <c r="LEN4" s="37"/>
      <c r="LEO4" s="37"/>
      <c r="LEP4" s="37"/>
      <c r="LEQ4" s="37"/>
      <c r="LER4" s="37"/>
      <c r="LES4" s="37"/>
      <c r="LET4" s="37"/>
      <c r="LEU4" s="37"/>
      <c r="LEV4" s="37"/>
      <c r="LEW4" s="37"/>
      <c r="LEX4" s="37"/>
      <c r="LEY4" s="37"/>
      <c r="LEZ4" s="37"/>
      <c r="LFA4" s="37"/>
      <c r="LFB4" s="37"/>
      <c r="LFC4" s="37"/>
      <c r="LFD4" s="37"/>
      <c r="LFE4" s="37"/>
      <c r="LFF4" s="37"/>
      <c r="LFG4" s="37"/>
      <c r="LFH4" s="37"/>
      <c r="LFI4" s="37"/>
      <c r="LFJ4" s="37"/>
      <c r="LFK4" s="37"/>
      <c r="LFL4" s="37"/>
      <c r="LFM4" s="37"/>
      <c r="LFN4" s="37"/>
      <c r="LFO4" s="37"/>
      <c r="LFP4" s="37"/>
      <c r="LFQ4" s="37"/>
      <c r="LFR4" s="37"/>
      <c r="LFS4" s="37"/>
      <c r="LFT4" s="37"/>
      <c r="LFU4" s="37"/>
      <c r="LFV4" s="37"/>
      <c r="LFW4" s="37"/>
      <c r="LFX4" s="37"/>
      <c r="LFY4" s="37"/>
      <c r="LFZ4" s="37"/>
      <c r="LGA4" s="37"/>
      <c r="LGB4" s="37"/>
      <c r="LGC4" s="37"/>
      <c r="LGD4" s="37"/>
      <c r="LGE4" s="37"/>
      <c r="LGF4" s="37"/>
      <c r="LGG4" s="37"/>
      <c r="LGH4" s="37"/>
      <c r="LGI4" s="37"/>
      <c r="LGJ4" s="37"/>
      <c r="LGK4" s="37"/>
      <c r="LGL4" s="37"/>
      <c r="LGM4" s="37"/>
      <c r="LGN4" s="37"/>
      <c r="LGO4" s="37"/>
      <c r="LGP4" s="37"/>
      <c r="LGQ4" s="37"/>
      <c r="LGR4" s="37"/>
      <c r="LGS4" s="37"/>
      <c r="LGT4" s="37"/>
      <c r="LGU4" s="37"/>
      <c r="LGV4" s="37"/>
      <c r="LGW4" s="37"/>
      <c r="LGX4" s="37"/>
      <c r="LGY4" s="37"/>
      <c r="LGZ4" s="37"/>
      <c r="LHA4" s="37"/>
      <c r="LHB4" s="37"/>
      <c r="LHC4" s="37"/>
      <c r="LHD4" s="37"/>
      <c r="LHE4" s="37"/>
      <c r="LHF4" s="37"/>
      <c r="LHG4" s="37"/>
      <c r="LHH4" s="37"/>
      <c r="LHI4" s="37"/>
      <c r="LHJ4" s="37"/>
      <c r="LHK4" s="37"/>
      <c r="LHL4" s="37"/>
      <c r="LHM4" s="37"/>
      <c r="LHN4" s="37"/>
      <c r="LHO4" s="37"/>
      <c r="LHP4" s="37"/>
      <c r="LHQ4" s="37"/>
      <c r="LHR4" s="37"/>
      <c r="LHS4" s="37"/>
      <c r="LHT4" s="37"/>
      <c r="LHU4" s="37"/>
      <c r="LHV4" s="37"/>
      <c r="LHW4" s="37"/>
      <c r="LHX4" s="37"/>
      <c r="LHY4" s="37"/>
      <c r="LHZ4" s="37"/>
      <c r="LIA4" s="37"/>
      <c r="LIB4" s="37"/>
      <c r="LIC4" s="37"/>
      <c r="LID4" s="37"/>
      <c r="LIE4" s="37"/>
      <c r="LIF4" s="37"/>
      <c r="LIG4" s="37"/>
      <c r="LIH4" s="37"/>
      <c r="LII4" s="37"/>
      <c r="LIJ4" s="37"/>
      <c r="LIK4" s="37"/>
      <c r="LIL4" s="37"/>
      <c r="LIM4" s="37"/>
      <c r="LIN4" s="37"/>
      <c r="LIO4" s="37"/>
      <c r="LIP4" s="37"/>
      <c r="LIQ4" s="37"/>
      <c r="LIR4" s="37"/>
      <c r="LIS4" s="37"/>
      <c r="LIT4" s="37"/>
      <c r="LIU4" s="37"/>
      <c r="LIV4" s="37"/>
      <c r="LIW4" s="37"/>
      <c r="LIX4" s="37"/>
      <c r="LIY4" s="37"/>
      <c r="LIZ4" s="37"/>
      <c r="LJA4" s="37"/>
      <c r="LJB4" s="37"/>
      <c r="LJC4" s="37"/>
      <c r="LJD4" s="37"/>
      <c r="LJE4" s="37"/>
      <c r="LJF4" s="37"/>
      <c r="LJG4" s="37"/>
      <c r="LJH4" s="37"/>
      <c r="LJI4" s="37"/>
      <c r="LJJ4" s="37"/>
      <c r="LJK4" s="37"/>
      <c r="LJL4" s="37"/>
      <c r="LJM4" s="37"/>
      <c r="LJN4" s="37"/>
      <c r="LJO4" s="37"/>
      <c r="LJP4" s="37"/>
      <c r="LJQ4" s="37"/>
      <c r="LJR4" s="37"/>
      <c r="LJS4" s="37"/>
      <c r="LJT4" s="37"/>
      <c r="LJU4" s="37"/>
      <c r="LJV4" s="37"/>
      <c r="LJW4" s="37"/>
      <c r="LJX4" s="37"/>
      <c r="LJY4" s="37"/>
      <c r="LJZ4" s="37"/>
      <c r="LKA4" s="37"/>
      <c r="LKB4" s="37"/>
      <c r="LKC4" s="37"/>
      <c r="LKD4" s="37"/>
      <c r="LKE4" s="37"/>
      <c r="LKF4" s="37"/>
      <c r="LKG4" s="37"/>
      <c r="LKH4" s="37"/>
      <c r="LKI4" s="37"/>
      <c r="LKJ4" s="37"/>
      <c r="LKK4" s="37"/>
      <c r="LKL4" s="37"/>
      <c r="LKM4" s="37"/>
      <c r="LKN4" s="37"/>
      <c r="LKO4" s="37"/>
      <c r="LKP4" s="37"/>
      <c r="LKQ4" s="37"/>
      <c r="LKR4" s="37"/>
      <c r="LKS4" s="37"/>
      <c r="LKT4" s="37"/>
      <c r="LKU4" s="37"/>
      <c r="LKV4" s="37"/>
      <c r="LKW4" s="37"/>
      <c r="LKX4" s="37"/>
      <c r="LKY4" s="37"/>
      <c r="LKZ4" s="37"/>
      <c r="LLA4" s="37"/>
      <c r="LLB4" s="37"/>
      <c r="LLC4" s="37"/>
      <c r="LLD4" s="37"/>
      <c r="LLE4" s="37"/>
      <c r="LLF4" s="37"/>
      <c r="LLG4" s="37"/>
      <c r="LLH4" s="37"/>
      <c r="LLI4" s="37"/>
      <c r="LLJ4" s="37"/>
      <c r="LLK4" s="37"/>
      <c r="LLL4" s="37"/>
      <c r="LLM4" s="37"/>
      <c r="LLN4" s="37"/>
      <c r="LLO4" s="37"/>
      <c r="LLP4" s="37"/>
      <c r="LLQ4" s="37"/>
      <c r="LLR4" s="37"/>
      <c r="LLS4" s="37"/>
      <c r="LLT4" s="37"/>
      <c r="LLU4" s="37"/>
      <c r="LLV4" s="37"/>
      <c r="LLW4" s="37"/>
      <c r="LLX4" s="37"/>
      <c r="LLY4" s="37"/>
      <c r="LLZ4" s="37"/>
      <c r="LMA4" s="37"/>
      <c r="LMB4" s="37"/>
      <c r="LMC4" s="37"/>
      <c r="LMD4" s="37"/>
      <c r="LME4" s="37"/>
      <c r="LMF4" s="37"/>
      <c r="LMG4" s="37"/>
      <c r="LMH4" s="37"/>
      <c r="LMI4" s="37"/>
      <c r="LMJ4" s="37"/>
      <c r="LMK4" s="37"/>
      <c r="LML4" s="37"/>
      <c r="LMM4" s="37"/>
      <c r="LMN4" s="37"/>
      <c r="LMO4" s="37"/>
      <c r="LMP4" s="37"/>
      <c r="LMQ4" s="37"/>
      <c r="LMR4" s="37"/>
      <c r="LMS4" s="37"/>
      <c r="LMT4" s="37"/>
      <c r="LMU4" s="37"/>
      <c r="LMV4" s="37"/>
      <c r="LMW4" s="37"/>
      <c r="LMX4" s="37"/>
      <c r="LMY4" s="37"/>
      <c r="LMZ4" s="37"/>
      <c r="LNA4" s="37"/>
      <c r="LNB4" s="37"/>
      <c r="LNC4" s="37"/>
      <c r="LND4" s="37"/>
      <c r="LNE4" s="37"/>
      <c r="LNF4" s="37"/>
      <c r="LNG4" s="37"/>
      <c r="LNH4" s="37"/>
      <c r="LNI4" s="37"/>
      <c r="LNJ4" s="37"/>
      <c r="LNK4" s="37"/>
      <c r="LNL4" s="37"/>
      <c r="LNM4" s="37"/>
      <c r="LNN4" s="37"/>
      <c r="LNO4" s="37"/>
      <c r="LNP4" s="37"/>
      <c r="LNQ4" s="37"/>
      <c r="LNR4" s="37"/>
      <c r="LNS4" s="37"/>
      <c r="LNT4" s="37"/>
      <c r="LNU4" s="37"/>
      <c r="LNV4" s="37"/>
      <c r="LNW4" s="37"/>
      <c r="LNX4" s="37"/>
      <c r="LNY4" s="37"/>
      <c r="LNZ4" s="37"/>
      <c r="LOA4" s="37"/>
      <c r="LOB4" s="37"/>
      <c r="LOC4" s="37"/>
      <c r="LOD4" s="37"/>
      <c r="LOE4" s="37"/>
      <c r="LOF4" s="37"/>
      <c r="LOG4" s="37"/>
      <c r="LOH4" s="37"/>
      <c r="LOI4" s="37"/>
      <c r="LOJ4" s="37"/>
      <c r="LOK4" s="37"/>
      <c r="LOL4" s="37"/>
      <c r="LOM4" s="37"/>
      <c r="LON4" s="37"/>
      <c r="LOO4" s="37"/>
      <c r="LOP4" s="37"/>
      <c r="LOQ4" s="37"/>
      <c r="LOR4" s="37"/>
      <c r="LOS4" s="37"/>
      <c r="LOT4" s="37"/>
      <c r="LOU4" s="37"/>
      <c r="LOV4" s="37"/>
      <c r="LOW4" s="37"/>
      <c r="LOX4" s="37"/>
      <c r="LOY4" s="37"/>
      <c r="LOZ4" s="37"/>
      <c r="LPA4" s="37"/>
      <c r="LPB4" s="37"/>
      <c r="LPC4" s="37"/>
      <c r="LPD4" s="37"/>
      <c r="LPE4" s="37"/>
      <c r="LPF4" s="37"/>
      <c r="LPG4" s="37"/>
      <c r="LPH4" s="37"/>
      <c r="LPI4" s="37"/>
      <c r="LPJ4" s="37"/>
      <c r="LPK4" s="37"/>
      <c r="LPL4" s="37"/>
      <c r="LPM4" s="37"/>
      <c r="LPN4" s="37"/>
      <c r="LPO4" s="37"/>
      <c r="LPP4" s="37"/>
      <c r="LPQ4" s="37"/>
      <c r="LPR4" s="37"/>
      <c r="LPS4" s="37"/>
      <c r="LPT4" s="37"/>
      <c r="LPU4" s="37"/>
      <c r="LPV4" s="37"/>
      <c r="LPW4" s="37"/>
      <c r="LPX4" s="37"/>
      <c r="LPY4" s="37"/>
      <c r="LPZ4" s="37"/>
      <c r="LQA4" s="37"/>
      <c r="LQB4" s="37"/>
      <c r="LQC4" s="37"/>
      <c r="LQD4" s="37"/>
      <c r="LQE4" s="37"/>
      <c r="LQF4" s="37"/>
      <c r="LQG4" s="37"/>
      <c r="LQH4" s="37"/>
      <c r="LQI4" s="37"/>
      <c r="LQJ4" s="37"/>
      <c r="LQK4" s="37"/>
      <c r="LQL4" s="37"/>
      <c r="LQM4" s="37"/>
      <c r="LQN4" s="37"/>
      <c r="LQO4" s="37"/>
      <c r="LQP4" s="37"/>
      <c r="LQQ4" s="37"/>
      <c r="LQR4" s="37"/>
      <c r="LQS4" s="37"/>
      <c r="LQT4" s="37"/>
      <c r="LQU4" s="37"/>
      <c r="LQV4" s="37"/>
      <c r="LQW4" s="37"/>
      <c r="LQX4" s="37"/>
      <c r="LQY4" s="37"/>
      <c r="LQZ4" s="37"/>
      <c r="LRA4" s="37"/>
      <c r="LRB4" s="37"/>
      <c r="LRC4" s="37"/>
      <c r="LRD4" s="37"/>
      <c r="LRE4" s="37"/>
      <c r="LRF4" s="37"/>
      <c r="LRG4" s="37"/>
      <c r="LRH4" s="37"/>
      <c r="LRI4" s="37"/>
      <c r="LRJ4" s="37"/>
      <c r="LRK4" s="37"/>
      <c r="LRL4" s="37"/>
      <c r="LRM4" s="37"/>
      <c r="LRN4" s="37"/>
      <c r="LRO4" s="37"/>
      <c r="LRP4" s="37"/>
      <c r="LRQ4" s="37"/>
      <c r="LRR4" s="37"/>
      <c r="LRS4" s="37"/>
      <c r="LRT4" s="37"/>
      <c r="LRU4" s="37"/>
      <c r="LRV4" s="37"/>
      <c r="LRW4" s="37"/>
      <c r="LRX4" s="37"/>
      <c r="LRY4" s="37"/>
      <c r="LRZ4" s="37"/>
      <c r="LSA4" s="37"/>
      <c r="LSB4" s="37"/>
      <c r="LSC4" s="37"/>
      <c r="LSD4" s="37"/>
      <c r="LSE4" s="37"/>
      <c r="LSF4" s="37"/>
      <c r="LSG4" s="37"/>
      <c r="LSH4" s="37"/>
      <c r="LSI4" s="37"/>
      <c r="LSJ4" s="37"/>
      <c r="LSK4" s="37"/>
      <c r="LSL4" s="37"/>
      <c r="LSM4" s="37"/>
      <c r="LSN4" s="37"/>
      <c r="LSO4" s="37"/>
      <c r="LSP4" s="37"/>
      <c r="LSQ4" s="37"/>
      <c r="LSR4" s="37"/>
      <c r="LSS4" s="37"/>
      <c r="LST4" s="37"/>
      <c r="LSU4" s="37"/>
      <c r="LSV4" s="37"/>
      <c r="LSW4" s="37"/>
      <c r="LSX4" s="37"/>
      <c r="LSY4" s="37"/>
      <c r="LSZ4" s="37"/>
      <c r="LTA4" s="37"/>
      <c r="LTB4" s="37"/>
      <c r="LTC4" s="37"/>
      <c r="LTD4" s="37"/>
      <c r="LTE4" s="37"/>
      <c r="LTF4" s="37"/>
      <c r="LTG4" s="37"/>
      <c r="LTH4" s="37"/>
      <c r="LTI4" s="37"/>
      <c r="LTJ4" s="37"/>
      <c r="LTK4" s="37"/>
      <c r="LTL4" s="37"/>
      <c r="LTM4" s="37"/>
      <c r="LTN4" s="37"/>
      <c r="LTO4" s="37"/>
      <c r="LTP4" s="37"/>
      <c r="LTQ4" s="37"/>
      <c r="LTR4" s="37"/>
      <c r="LTS4" s="37"/>
      <c r="LTT4" s="37"/>
      <c r="LTU4" s="37"/>
      <c r="LTV4" s="37"/>
      <c r="LTW4" s="37"/>
      <c r="LTX4" s="37"/>
      <c r="LTY4" s="37"/>
      <c r="LTZ4" s="37"/>
      <c r="LUA4" s="37"/>
      <c r="LUB4" s="37"/>
      <c r="LUC4" s="37"/>
      <c r="LUD4" s="37"/>
      <c r="LUE4" s="37"/>
      <c r="LUF4" s="37"/>
      <c r="LUG4" s="37"/>
      <c r="LUH4" s="37"/>
      <c r="LUI4" s="37"/>
      <c r="LUJ4" s="37"/>
      <c r="LUK4" s="37"/>
      <c r="LUL4" s="37"/>
      <c r="LUM4" s="37"/>
      <c r="LUN4" s="37"/>
      <c r="LUO4" s="37"/>
      <c r="LUP4" s="37"/>
      <c r="LUQ4" s="37"/>
      <c r="LUR4" s="37"/>
      <c r="LUS4" s="37"/>
      <c r="LUT4" s="37"/>
      <c r="LUU4" s="37"/>
      <c r="LUV4" s="37"/>
      <c r="LUW4" s="37"/>
      <c r="LUX4" s="37"/>
      <c r="LUY4" s="37"/>
      <c r="LUZ4" s="37"/>
      <c r="LVA4" s="37"/>
      <c r="LVB4" s="37"/>
      <c r="LVC4" s="37"/>
      <c r="LVD4" s="37"/>
      <c r="LVE4" s="37"/>
      <c r="LVF4" s="37"/>
      <c r="LVG4" s="37"/>
      <c r="LVH4" s="37"/>
      <c r="LVI4" s="37"/>
      <c r="LVJ4" s="37"/>
      <c r="LVK4" s="37"/>
      <c r="LVL4" s="37"/>
      <c r="LVM4" s="37"/>
      <c r="LVN4" s="37"/>
      <c r="LVO4" s="37"/>
      <c r="LVP4" s="37"/>
      <c r="LVQ4" s="37"/>
      <c r="LVR4" s="37"/>
      <c r="LVS4" s="37"/>
      <c r="LVT4" s="37"/>
      <c r="LVU4" s="37"/>
      <c r="LVV4" s="37"/>
      <c r="LVW4" s="37"/>
      <c r="LVX4" s="37"/>
      <c r="LVY4" s="37"/>
      <c r="LVZ4" s="37"/>
      <c r="LWA4" s="37"/>
      <c r="LWB4" s="37"/>
      <c r="LWC4" s="37"/>
      <c r="LWD4" s="37"/>
      <c r="LWE4" s="37"/>
      <c r="LWF4" s="37"/>
      <c r="LWG4" s="37"/>
      <c r="LWH4" s="37"/>
      <c r="LWI4" s="37"/>
      <c r="LWJ4" s="37"/>
      <c r="LWK4" s="37"/>
      <c r="LWL4" s="37"/>
      <c r="LWM4" s="37"/>
      <c r="LWN4" s="37"/>
      <c r="LWO4" s="37"/>
      <c r="LWP4" s="37"/>
      <c r="LWQ4" s="37"/>
      <c r="LWR4" s="37"/>
      <c r="LWS4" s="37"/>
      <c r="LWT4" s="37"/>
      <c r="LWU4" s="37"/>
      <c r="LWV4" s="37"/>
      <c r="LWW4" s="37"/>
      <c r="LWX4" s="37"/>
      <c r="LWY4" s="37"/>
      <c r="LWZ4" s="37"/>
      <c r="LXA4" s="37"/>
      <c r="LXB4" s="37"/>
      <c r="LXC4" s="37"/>
      <c r="LXD4" s="37"/>
      <c r="LXE4" s="37"/>
      <c r="LXF4" s="37"/>
      <c r="LXG4" s="37"/>
      <c r="LXH4" s="37"/>
      <c r="LXI4" s="37"/>
      <c r="LXJ4" s="37"/>
      <c r="LXK4" s="37"/>
      <c r="LXL4" s="37"/>
      <c r="LXM4" s="37"/>
      <c r="LXN4" s="37"/>
      <c r="LXO4" s="37"/>
      <c r="LXP4" s="37"/>
      <c r="LXQ4" s="37"/>
      <c r="LXR4" s="37"/>
      <c r="LXS4" s="37"/>
      <c r="LXT4" s="37"/>
      <c r="LXU4" s="37"/>
      <c r="LXV4" s="37"/>
      <c r="LXW4" s="37"/>
      <c r="LXX4" s="37"/>
      <c r="LXY4" s="37"/>
      <c r="LXZ4" s="37"/>
      <c r="LYA4" s="37"/>
      <c r="LYB4" s="37"/>
      <c r="LYC4" s="37"/>
      <c r="LYD4" s="37"/>
      <c r="LYE4" s="37"/>
      <c r="LYF4" s="37"/>
      <c r="LYG4" s="37"/>
      <c r="LYH4" s="37"/>
      <c r="LYI4" s="37"/>
      <c r="LYJ4" s="37"/>
      <c r="LYK4" s="37"/>
      <c r="LYL4" s="37"/>
      <c r="LYM4" s="37"/>
      <c r="LYN4" s="37"/>
      <c r="LYO4" s="37"/>
      <c r="LYP4" s="37"/>
      <c r="LYQ4" s="37"/>
      <c r="LYR4" s="37"/>
      <c r="LYS4" s="37"/>
      <c r="LYT4" s="37"/>
      <c r="LYU4" s="37"/>
      <c r="LYV4" s="37"/>
      <c r="LYW4" s="37"/>
      <c r="LYX4" s="37"/>
      <c r="LYY4" s="37"/>
      <c r="LYZ4" s="37"/>
      <c r="LZA4" s="37"/>
      <c r="LZB4" s="37"/>
      <c r="LZC4" s="37"/>
      <c r="LZD4" s="37"/>
      <c r="LZE4" s="37"/>
      <c r="LZF4" s="37"/>
      <c r="LZG4" s="37"/>
      <c r="LZH4" s="37"/>
      <c r="LZI4" s="37"/>
      <c r="LZJ4" s="37"/>
      <c r="LZK4" s="37"/>
      <c r="LZL4" s="37"/>
      <c r="LZM4" s="37"/>
      <c r="LZN4" s="37"/>
      <c r="LZO4" s="37"/>
      <c r="LZP4" s="37"/>
      <c r="LZQ4" s="37"/>
      <c r="LZR4" s="37"/>
      <c r="LZS4" s="37"/>
      <c r="LZT4" s="37"/>
      <c r="LZU4" s="37"/>
      <c r="LZV4" s="37"/>
      <c r="LZW4" s="37"/>
      <c r="LZX4" s="37"/>
      <c r="LZY4" s="37"/>
      <c r="LZZ4" s="37"/>
      <c r="MAA4" s="37"/>
      <c r="MAB4" s="37"/>
      <c r="MAC4" s="37"/>
      <c r="MAD4" s="37"/>
      <c r="MAE4" s="37"/>
      <c r="MAF4" s="37"/>
      <c r="MAG4" s="37"/>
      <c r="MAH4" s="37"/>
      <c r="MAI4" s="37"/>
      <c r="MAJ4" s="37"/>
      <c r="MAK4" s="37"/>
      <c r="MAL4" s="37"/>
      <c r="MAM4" s="37"/>
      <c r="MAN4" s="37"/>
      <c r="MAO4" s="37"/>
      <c r="MAP4" s="37"/>
      <c r="MAQ4" s="37"/>
      <c r="MAR4" s="37"/>
      <c r="MAS4" s="37"/>
      <c r="MAT4" s="37"/>
      <c r="MAU4" s="37"/>
      <c r="MAV4" s="37"/>
      <c r="MAW4" s="37"/>
      <c r="MAX4" s="37"/>
      <c r="MAY4" s="37"/>
      <c r="MAZ4" s="37"/>
      <c r="MBA4" s="37"/>
      <c r="MBB4" s="37"/>
      <c r="MBC4" s="37"/>
      <c r="MBD4" s="37"/>
      <c r="MBE4" s="37"/>
      <c r="MBF4" s="37"/>
      <c r="MBG4" s="37"/>
      <c r="MBH4" s="37"/>
      <c r="MBI4" s="37"/>
      <c r="MBJ4" s="37"/>
      <c r="MBK4" s="37"/>
      <c r="MBL4" s="37"/>
      <c r="MBM4" s="37"/>
      <c r="MBN4" s="37"/>
      <c r="MBO4" s="37"/>
      <c r="MBP4" s="37"/>
      <c r="MBQ4" s="37"/>
      <c r="MBR4" s="37"/>
      <c r="MBS4" s="37"/>
      <c r="MBT4" s="37"/>
      <c r="MBU4" s="37"/>
      <c r="MBV4" s="37"/>
      <c r="MBW4" s="37"/>
      <c r="MBX4" s="37"/>
      <c r="MBY4" s="37"/>
      <c r="MBZ4" s="37"/>
      <c r="MCA4" s="37"/>
      <c r="MCB4" s="37"/>
      <c r="MCC4" s="37"/>
      <c r="MCD4" s="37"/>
      <c r="MCE4" s="37"/>
      <c r="MCF4" s="37"/>
      <c r="MCG4" s="37"/>
      <c r="MCH4" s="37"/>
      <c r="MCI4" s="37"/>
      <c r="MCJ4" s="37"/>
      <c r="MCK4" s="37"/>
      <c r="MCL4" s="37"/>
      <c r="MCM4" s="37"/>
      <c r="MCN4" s="37"/>
      <c r="MCO4" s="37"/>
      <c r="MCP4" s="37"/>
      <c r="MCQ4" s="37"/>
      <c r="MCR4" s="37"/>
      <c r="MCS4" s="37"/>
      <c r="MCT4" s="37"/>
      <c r="MCU4" s="37"/>
      <c r="MCV4" s="37"/>
      <c r="MCW4" s="37"/>
      <c r="MCX4" s="37"/>
      <c r="MCY4" s="37"/>
      <c r="MCZ4" s="37"/>
      <c r="MDA4" s="37"/>
      <c r="MDB4" s="37"/>
      <c r="MDC4" s="37"/>
      <c r="MDD4" s="37"/>
      <c r="MDE4" s="37"/>
      <c r="MDF4" s="37"/>
      <c r="MDG4" s="37"/>
      <c r="MDH4" s="37"/>
      <c r="MDI4" s="37"/>
      <c r="MDJ4" s="37"/>
      <c r="MDK4" s="37"/>
      <c r="MDL4" s="37"/>
      <c r="MDM4" s="37"/>
      <c r="MDN4" s="37"/>
      <c r="MDO4" s="37"/>
      <c r="MDP4" s="37"/>
      <c r="MDQ4" s="37"/>
      <c r="MDR4" s="37"/>
      <c r="MDS4" s="37"/>
      <c r="MDT4" s="37"/>
      <c r="MDU4" s="37"/>
      <c r="MDV4" s="37"/>
      <c r="MDW4" s="37"/>
      <c r="MDX4" s="37"/>
      <c r="MDY4" s="37"/>
      <c r="MDZ4" s="37"/>
      <c r="MEA4" s="37"/>
      <c r="MEB4" s="37"/>
      <c r="MEC4" s="37"/>
      <c r="MED4" s="37"/>
      <c r="MEE4" s="37"/>
      <c r="MEF4" s="37"/>
      <c r="MEG4" s="37"/>
      <c r="MEH4" s="37"/>
      <c r="MEI4" s="37"/>
      <c r="MEJ4" s="37"/>
      <c r="MEK4" s="37"/>
      <c r="MEL4" s="37"/>
      <c r="MEM4" s="37"/>
      <c r="MEN4" s="37"/>
      <c r="MEO4" s="37"/>
      <c r="MEP4" s="37"/>
      <c r="MEQ4" s="37"/>
      <c r="MER4" s="37"/>
      <c r="MES4" s="37"/>
      <c r="MET4" s="37"/>
      <c r="MEU4" s="37"/>
      <c r="MEV4" s="37"/>
      <c r="MEW4" s="37"/>
      <c r="MEX4" s="37"/>
      <c r="MEY4" s="37"/>
      <c r="MEZ4" s="37"/>
      <c r="MFA4" s="37"/>
      <c r="MFB4" s="37"/>
      <c r="MFC4" s="37"/>
      <c r="MFD4" s="37"/>
      <c r="MFE4" s="37"/>
      <c r="MFF4" s="37"/>
      <c r="MFG4" s="37"/>
      <c r="MFH4" s="37"/>
      <c r="MFI4" s="37"/>
      <c r="MFJ4" s="37"/>
      <c r="MFK4" s="37"/>
      <c r="MFL4" s="37"/>
      <c r="MFM4" s="37"/>
      <c r="MFN4" s="37"/>
      <c r="MFO4" s="37"/>
      <c r="MFP4" s="37"/>
      <c r="MFQ4" s="37"/>
      <c r="MFR4" s="37"/>
      <c r="MFS4" s="37"/>
      <c r="MFT4" s="37"/>
      <c r="MFU4" s="37"/>
      <c r="MFV4" s="37"/>
      <c r="MFW4" s="37"/>
      <c r="MFX4" s="37"/>
      <c r="MFY4" s="37"/>
      <c r="MFZ4" s="37"/>
      <c r="MGA4" s="37"/>
      <c r="MGB4" s="37"/>
      <c r="MGC4" s="37"/>
      <c r="MGD4" s="37"/>
      <c r="MGE4" s="37"/>
      <c r="MGF4" s="37"/>
      <c r="MGG4" s="37"/>
      <c r="MGH4" s="37"/>
      <c r="MGI4" s="37"/>
      <c r="MGJ4" s="37"/>
      <c r="MGK4" s="37"/>
      <c r="MGL4" s="37"/>
      <c r="MGM4" s="37"/>
      <c r="MGN4" s="37"/>
      <c r="MGO4" s="37"/>
      <c r="MGP4" s="37"/>
      <c r="MGQ4" s="37"/>
      <c r="MGR4" s="37"/>
      <c r="MGS4" s="37"/>
      <c r="MGT4" s="37"/>
      <c r="MGU4" s="37"/>
      <c r="MGV4" s="37"/>
      <c r="MGW4" s="37"/>
      <c r="MGX4" s="37"/>
      <c r="MGY4" s="37"/>
      <c r="MGZ4" s="37"/>
      <c r="MHA4" s="37"/>
      <c r="MHB4" s="37"/>
      <c r="MHC4" s="37"/>
      <c r="MHD4" s="37"/>
      <c r="MHE4" s="37"/>
      <c r="MHF4" s="37"/>
      <c r="MHG4" s="37"/>
      <c r="MHH4" s="37"/>
      <c r="MHI4" s="37"/>
      <c r="MHJ4" s="37"/>
      <c r="MHK4" s="37"/>
      <c r="MHL4" s="37"/>
      <c r="MHM4" s="37"/>
      <c r="MHN4" s="37"/>
      <c r="MHO4" s="37"/>
      <c r="MHP4" s="37"/>
      <c r="MHQ4" s="37"/>
      <c r="MHR4" s="37"/>
      <c r="MHS4" s="37"/>
      <c r="MHT4" s="37"/>
      <c r="MHU4" s="37"/>
      <c r="MHV4" s="37"/>
      <c r="MHW4" s="37"/>
      <c r="MHX4" s="37"/>
      <c r="MHY4" s="37"/>
      <c r="MHZ4" s="37"/>
      <c r="MIA4" s="37"/>
      <c r="MIB4" s="37"/>
      <c r="MIC4" s="37"/>
      <c r="MID4" s="37"/>
      <c r="MIE4" s="37"/>
      <c r="MIF4" s="37"/>
      <c r="MIG4" s="37"/>
      <c r="MIH4" s="37"/>
      <c r="MII4" s="37"/>
      <c r="MIJ4" s="37"/>
      <c r="MIK4" s="37"/>
      <c r="MIL4" s="37"/>
      <c r="MIM4" s="37"/>
      <c r="MIN4" s="37"/>
      <c r="MIO4" s="37"/>
      <c r="MIP4" s="37"/>
      <c r="MIQ4" s="37"/>
      <c r="MIR4" s="37"/>
      <c r="MIS4" s="37"/>
      <c r="MIT4" s="37"/>
      <c r="MIU4" s="37"/>
      <c r="MIV4" s="37"/>
      <c r="MIW4" s="37"/>
      <c r="MIX4" s="37"/>
      <c r="MIY4" s="37"/>
      <c r="MIZ4" s="37"/>
      <c r="MJA4" s="37"/>
      <c r="MJB4" s="37"/>
      <c r="MJC4" s="37"/>
      <c r="MJD4" s="37"/>
      <c r="MJE4" s="37"/>
      <c r="MJF4" s="37"/>
      <c r="MJG4" s="37"/>
      <c r="MJH4" s="37"/>
      <c r="MJI4" s="37"/>
      <c r="MJJ4" s="37"/>
      <c r="MJK4" s="37"/>
      <c r="MJL4" s="37"/>
      <c r="MJM4" s="37"/>
      <c r="MJN4" s="37"/>
      <c r="MJO4" s="37"/>
      <c r="MJP4" s="37"/>
      <c r="MJQ4" s="37"/>
      <c r="MJR4" s="37"/>
      <c r="MJS4" s="37"/>
      <c r="MJT4" s="37"/>
      <c r="MJU4" s="37"/>
      <c r="MJV4" s="37"/>
      <c r="MJW4" s="37"/>
      <c r="MJX4" s="37"/>
      <c r="MJY4" s="37"/>
      <c r="MJZ4" s="37"/>
      <c r="MKA4" s="37"/>
      <c r="MKB4" s="37"/>
      <c r="MKC4" s="37"/>
      <c r="MKD4" s="37"/>
      <c r="MKE4" s="37"/>
      <c r="MKF4" s="37"/>
      <c r="MKG4" s="37"/>
      <c r="MKH4" s="37"/>
      <c r="MKI4" s="37"/>
      <c r="MKJ4" s="37"/>
      <c r="MKK4" s="37"/>
      <c r="MKL4" s="37"/>
      <c r="MKM4" s="37"/>
      <c r="MKN4" s="37"/>
      <c r="MKO4" s="37"/>
      <c r="MKP4" s="37"/>
      <c r="MKQ4" s="37"/>
      <c r="MKR4" s="37"/>
      <c r="MKS4" s="37"/>
      <c r="MKT4" s="37"/>
      <c r="MKU4" s="37"/>
      <c r="MKV4" s="37"/>
      <c r="MKW4" s="37"/>
      <c r="MKX4" s="37"/>
      <c r="MKY4" s="37"/>
      <c r="MKZ4" s="37"/>
      <c r="MLA4" s="37"/>
      <c r="MLB4" s="37"/>
      <c r="MLC4" s="37"/>
      <c r="MLD4" s="37"/>
      <c r="MLE4" s="37"/>
      <c r="MLF4" s="37"/>
      <c r="MLG4" s="37"/>
      <c r="MLH4" s="37"/>
      <c r="MLI4" s="37"/>
      <c r="MLJ4" s="37"/>
      <c r="MLK4" s="37"/>
      <c r="MLL4" s="37"/>
      <c r="MLM4" s="37"/>
      <c r="MLN4" s="37"/>
      <c r="MLO4" s="37"/>
      <c r="MLP4" s="37"/>
      <c r="MLQ4" s="37"/>
      <c r="MLR4" s="37"/>
      <c r="MLS4" s="37"/>
      <c r="MLT4" s="37"/>
      <c r="MLU4" s="37"/>
      <c r="MLV4" s="37"/>
      <c r="MLW4" s="37"/>
      <c r="MLX4" s="37"/>
      <c r="MLY4" s="37"/>
      <c r="MLZ4" s="37"/>
      <c r="MMA4" s="37"/>
      <c r="MMB4" s="37"/>
      <c r="MMC4" s="37"/>
      <c r="MMD4" s="37"/>
      <c r="MME4" s="37"/>
      <c r="MMF4" s="37"/>
      <c r="MMG4" s="37"/>
      <c r="MMH4" s="37"/>
      <c r="MMI4" s="37"/>
      <c r="MMJ4" s="37"/>
      <c r="MMK4" s="37"/>
      <c r="MML4" s="37"/>
      <c r="MMM4" s="37"/>
      <c r="MMN4" s="37"/>
      <c r="MMO4" s="37"/>
      <c r="MMP4" s="37"/>
      <c r="MMQ4" s="37"/>
      <c r="MMR4" s="37"/>
      <c r="MMS4" s="37"/>
      <c r="MMT4" s="37"/>
      <c r="MMU4" s="37"/>
      <c r="MMV4" s="37"/>
      <c r="MMW4" s="37"/>
      <c r="MMX4" s="37"/>
      <c r="MMY4" s="37"/>
      <c r="MMZ4" s="37"/>
      <c r="MNA4" s="37"/>
      <c r="MNB4" s="37"/>
      <c r="MNC4" s="37"/>
      <c r="MND4" s="37"/>
      <c r="MNE4" s="37"/>
      <c r="MNF4" s="37"/>
      <c r="MNG4" s="37"/>
      <c r="MNH4" s="37"/>
      <c r="MNI4" s="37"/>
      <c r="MNJ4" s="37"/>
      <c r="MNK4" s="37"/>
      <c r="MNL4" s="37"/>
      <c r="MNM4" s="37"/>
      <c r="MNN4" s="37"/>
      <c r="MNO4" s="37"/>
      <c r="MNP4" s="37"/>
      <c r="MNQ4" s="37"/>
      <c r="MNR4" s="37"/>
      <c r="MNS4" s="37"/>
      <c r="MNT4" s="37"/>
      <c r="MNU4" s="37"/>
      <c r="MNV4" s="37"/>
      <c r="MNW4" s="37"/>
      <c r="MNX4" s="37"/>
      <c r="MNY4" s="37"/>
      <c r="MNZ4" s="37"/>
      <c r="MOA4" s="37"/>
      <c r="MOB4" s="37"/>
      <c r="MOC4" s="37"/>
      <c r="MOD4" s="37"/>
      <c r="MOE4" s="37"/>
      <c r="MOF4" s="37"/>
      <c r="MOG4" s="37"/>
      <c r="MOH4" s="37"/>
      <c r="MOI4" s="37"/>
      <c r="MOJ4" s="37"/>
      <c r="MOK4" s="37"/>
      <c r="MOL4" s="37"/>
      <c r="MOM4" s="37"/>
      <c r="MON4" s="37"/>
      <c r="MOO4" s="37"/>
      <c r="MOP4" s="37"/>
      <c r="MOQ4" s="37"/>
      <c r="MOR4" s="37"/>
      <c r="MOS4" s="37"/>
      <c r="MOT4" s="37"/>
      <c r="MOU4" s="37"/>
      <c r="MOV4" s="37"/>
      <c r="MOW4" s="37"/>
      <c r="MOX4" s="37"/>
      <c r="MOY4" s="37"/>
      <c r="MOZ4" s="37"/>
      <c r="MPA4" s="37"/>
      <c r="MPB4" s="37"/>
      <c r="MPC4" s="37"/>
      <c r="MPD4" s="37"/>
      <c r="MPE4" s="37"/>
      <c r="MPF4" s="37"/>
      <c r="MPG4" s="37"/>
      <c r="MPH4" s="37"/>
      <c r="MPI4" s="37"/>
      <c r="MPJ4" s="37"/>
      <c r="MPK4" s="37"/>
      <c r="MPL4" s="37"/>
      <c r="MPM4" s="37"/>
      <c r="MPN4" s="37"/>
      <c r="MPO4" s="37"/>
      <c r="MPP4" s="37"/>
      <c r="MPQ4" s="37"/>
      <c r="MPR4" s="37"/>
      <c r="MPS4" s="37"/>
      <c r="MPT4" s="37"/>
      <c r="MPU4" s="37"/>
      <c r="MPV4" s="37"/>
      <c r="MPW4" s="37"/>
      <c r="MPX4" s="37"/>
      <c r="MPY4" s="37"/>
      <c r="MPZ4" s="37"/>
      <c r="MQA4" s="37"/>
      <c r="MQB4" s="37"/>
      <c r="MQC4" s="37"/>
      <c r="MQD4" s="37"/>
      <c r="MQE4" s="37"/>
      <c r="MQF4" s="37"/>
      <c r="MQG4" s="37"/>
      <c r="MQH4" s="37"/>
      <c r="MQI4" s="37"/>
      <c r="MQJ4" s="37"/>
      <c r="MQK4" s="37"/>
      <c r="MQL4" s="37"/>
      <c r="MQM4" s="37"/>
      <c r="MQN4" s="37"/>
      <c r="MQO4" s="37"/>
      <c r="MQP4" s="37"/>
      <c r="MQQ4" s="37"/>
      <c r="MQR4" s="37"/>
      <c r="MQS4" s="37"/>
      <c r="MQT4" s="37"/>
      <c r="MQU4" s="37"/>
      <c r="MQV4" s="37"/>
      <c r="MQW4" s="37"/>
      <c r="MQX4" s="37"/>
      <c r="MQY4" s="37"/>
      <c r="MQZ4" s="37"/>
      <c r="MRA4" s="37"/>
      <c r="MRB4" s="37"/>
      <c r="MRC4" s="37"/>
      <c r="MRD4" s="37"/>
      <c r="MRE4" s="37"/>
      <c r="MRF4" s="37"/>
      <c r="MRG4" s="37"/>
      <c r="MRH4" s="37"/>
      <c r="MRI4" s="37"/>
      <c r="MRJ4" s="37"/>
      <c r="MRK4" s="37"/>
      <c r="MRL4" s="37"/>
      <c r="MRM4" s="37"/>
      <c r="MRN4" s="37"/>
      <c r="MRO4" s="37"/>
      <c r="MRP4" s="37"/>
      <c r="MRQ4" s="37"/>
      <c r="MRR4" s="37"/>
      <c r="MRS4" s="37"/>
      <c r="MRT4" s="37"/>
      <c r="MRU4" s="37"/>
      <c r="MRV4" s="37"/>
      <c r="MRW4" s="37"/>
      <c r="MRX4" s="37"/>
      <c r="MRY4" s="37"/>
      <c r="MRZ4" s="37"/>
      <c r="MSA4" s="37"/>
      <c r="MSB4" s="37"/>
      <c r="MSC4" s="37"/>
      <c r="MSD4" s="37"/>
      <c r="MSE4" s="37"/>
      <c r="MSF4" s="37"/>
      <c r="MSG4" s="37"/>
      <c r="MSH4" s="37"/>
      <c r="MSI4" s="37"/>
      <c r="MSJ4" s="37"/>
      <c r="MSK4" s="37"/>
      <c r="MSL4" s="37"/>
      <c r="MSM4" s="37"/>
      <c r="MSN4" s="37"/>
      <c r="MSO4" s="37"/>
      <c r="MSP4" s="37"/>
      <c r="MSQ4" s="37"/>
      <c r="MSR4" s="37"/>
      <c r="MSS4" s="37"/>
      <c r="MST4" s="37"/>
      <c r="MSU4" s="37"/>
      <c r="MSV4" s="37"/>
      <c r="MSW4" s="37"/>
      <c r="MSX4" s="37"/>
      <c r="MSY4" s="37"/>
      <c r="MSZ4" s="37"/>
      <c r="MTA4" s="37"/>
      <c r="MTB4" s="37"/>
      <c r="MTC4" s="37"/>
      <c r="MTD4" s="37"/>
      <c r="MTE4" s="37"/>
      <c r="MTF4" s="37"/>
      <c r="MTG4" s="37"/>
      <c r="MTH4" s="37"/>
      <c r="MTI4" s="37"/>
      <c r="MTJ4" s="37"/>
      <c r="MTK4" s="37"/>
      <c r="MTL4" s="37"/>
      <c r="MTM4" s="37"/>
      <c r="MTN4" s="37"/>
      <c r="MTO4" s="37"/>
      <c r="MTP4" s="37"/>
      <c r="MTQ4" s="37"/>
      <c r="MTR4" s="37"/>
      <c r="MTS4" s="37"/>
      <c r="MTT4" s="37"/>
      <c r="MTU4" s="37"/>
      <c r="MTV4" s="37"/>
      <c r="MTW4" s="37"/>
      <c r="MTX4" s="37"/>
      <c r="MTY4" s="37"/>
      <c r="MTZ4" s="37"/>
      <c r="MUA4" s="37"/>
      <c r="MUB4" s="37"/>
      <c r="MUC4" s="37"/>
      <c r="MUD4" s="37"/>
      <c r="MUE4" s="37"/>
      <c r="MUF4" s="37"/>
      <c r="MUG4" s="37"/>
      <c r="MUH4" s="37"/>
      <c r="MUI4" s="37"/>
      <c r="MUJ4" s="37"/>
      <c r="MUK4" s="37"/>
      <c r="MUL4" s="37"/>
      <c r="MUM4" s="37"/>
      <c r="MUN4" s="37"/>
      <c r="MUO4" s="37"/>
      <c r="MUP4" s="37"/>
      <c r="MUQ4" s="37"/>
      <c r="MUR4" s="37"/>
      <c r="MUS4" s="37"/>
      <c r="MUT4" s="37"/>
      <c r="MUU4" s="37"/>
      <c r="MUV4" s="37"/>
      <c r="MUW4" s="37"/>
      <c r="MUX4" s="37"/>
      <c r="MUY4" s="37"/>
      <c r="MUZ4" s="37"/>
      <c r="MVA4" s="37"/>
      <c r="MVB4" s="37"/>
      <c r="MVC4" s="37"/>
      <c r="MVD4" s="37"/>
      <c r="MVE4" s="37"/>
      <c r="MVF4" s="37"/>
      <c r="MVG4" s="37"/>
      <c r="MVH4" s="37"/>
      <c r="MVI4" s="37"/>
      <c r="MVJ4" s="37"/>
      <c r="MVK4" s="37"/>
      <c r="MVL4" s="37"/>
      <c r="MVM4" s="37"/>
      <c r="MVN4" s="37"/>
      <c r="MVO4" s="37"/>
      <c r="MVP4" s="37"/>
      <c r="MVQ4" s="37"/>
      <c r="MVR4" s="37"/>
      <c r="MVS4" s="37"/>
      <c r="MVT4" s="37"/>
      <c r="MVU4" s="37"/>
      <c r="MVV4" s="37"/>
      <c r="MVW4" s="37"/>
      <c r="MVX4" s="37"/>
      <c r="MVY4" s="37"/>
      <c r="MVZ4" s="37"/>
      <c r="MWA4" s="37"/>
      <c r="MWB4" s="37"/>
      <c r="MWC4" s="37"/>
      <c r="MWD4" s="37"/>
      <c r="MWE4" s="37"/>
      <c r="MWF4" s="37"/>
      <c r="MWG4" s="37"/>
      <c r="MWH4" s="37"/>
      <c r="MWI4" s="37"/>
      <c r="MWJ4" s="37"/>
      <c r="MWK4" s="37"/>
      <c r="MWL4" s="37"/>
      <c r="MWM4" s="37"/>
      <c r="MWN4" s="37"/>
      <c r="MWO4" s="37"/>
      <c r="MWP4" s="37"/>
      <c r="MWQ4" s="37"/>
      <c r="MWR4" s="37"/>
      <c r="MWS4" s="37"/>
      <c r="MWT4" s="37"/>
      <c r="MWU4" s="37"/>
      <c r="MWV4" s="37"/>
      <c r="MWW4" s="37"/>
      <c r="MWX4" s="37"/>
      <c r="MWY4" s="37"/>
      <c r="MWZ4" s="37"/>
      <c r="MXA4" s="37"/>
      <c r="MXB4" s="37"/>
      <c r="MXC4" s="37"/>
      <c r="MXD4" s="37"/>
      <c r="MXE4" s="37"/>
      <c r="MXF4" s="37"/>
      <c r="MXG4" s="37"/>
      <c r="MXH4" s="37"/>
      <c r="MXI4" s="37"/>
      <c r="MXJ4" s="37"/>
      <c r="MXK4" s="37"/>
      <c r="MXL4" s="37"/>
      <c r="MXM4" s="37"/>
      <c r="MXN4" s="37"/>
      <c r="MXO4" s="37"/>
      <c r="MXP4" s="37"/>
      <c r="MXQ4" s="37"/>
      <c r="MXR4" s="37"/>
      <c r="MXS4" s="37"/>
      <c r="MXT4" s="37"/>
      <c r="MXU4" s="37"/>
      <c r="MXV4" s="37"/>
      <c r="MXW4" s="37"/>
      <c r="MXX4" s="37"/>
      <c r="MXY4" s="37"/>
      <c r="MXZ4" s="37"/>
      <c r="MYA4" s="37"/>
      <c r="MYB4" s="37"/>
      <c r="MYC4" s="37"/>
      <c r="MYD4" s="37"/>
      <c r="MYE4" s="37"/>
      <c r="MYF4" s="37"/>
      <c r="MYG4" s="37"/>
      <c r="MYH4" s="37"/>
      <c r="MYI4" s="37"/>
      <c r="MYJ4" s="37"/>
      <c r="MYK4" s="37"/>
      <c r="MYL4" s="37"/>
      <c r="MYM4" s="37"/>
      <c r="MYN4" s="37"/>
      <c r="MYO4" s="37"/>
      <c r="MYP4" s="37"/>
      <c r="MYQ4" s="37"/>
      <c r="MYR4" s="37"/>
      <c r="MYS4" s="37"/>
      <c r="MYT4" s="37"/>
      <c r="MYU4" s="37"/>
      <c r="MYV4" s="37"/>
      <c r="MYW4" s="37"/>
      <c r="MYX4" s="37"/>
      <c r="MYY4" s="37"/>
      <c r="MYZ4" s="37"/>
      <c r="MZA4" s="37"/>
      <c r="MZB4" s="37"/>
      <c r="MZC4" s="37"/>
      <c r="MZD4" s="37"/>
      <c r="MZE4" s="37"/>
      <c r="MZF4" s="37"/>
      <c r="MZG4" s="37"/>
      <c r="MZH4" s="37"/>
      <c r="MZI4" s="37"/>
      <c r="MZJ4" s="37"/>
      <c r="MZK4" s="37"/>
      <c r="MZL4" s="37"/>
      <c r="MZM4" s="37"/>
      <c r="MZN4" s="37"/>
      <c r="MZO4" s="37"/>
      <c r="MZP4" s="37"/>
      <c r="MZQ4" s="37"/>
      <c r="MZR4" s="37"/>
      <c r="MZS4" s="37"/>
      <c r="MZT4" s="37"/>
      <c r="MZU4" s="37"/>
      <c r="MZV4" s="37"/>
      <c r="MZW4" s="37"/>
      <c r="MZX4" s="37"/>
      <c r="MZY4" s="37"/>
      <c r="MZZ4" s="37"/>
      <c r="NAA4" s="37"/>
      <c r="NAB4" s="37"/>
      <c r="NAC4" s="37"/>
      <c r="NAD4" s="37"/>
      <c r="NAE4" s="37"/>
      <c r="NAF4" s="37"/>
      <c r="NAG4" s="37"/>
      <c r="NAH4" s="37"/>
      <c r="NAI4" s="37"/>
      <c r="NAJ4" s="37"/>
      <c r="NAK4" s="37"/>
      <c r="NAL4" s="37"/>
      <c r="NAM4" s="37"/>
      <c r="NAN4" s="37"/>
      <c r="NAO4" s="37"/>
      <c r="NAP4" s="37"/>
      <c r="NAQ4" s="37"/>
      <c r="NAR4" s="37"/>
      <c r="NAS4" s="37"/>
      <c r="NAT4" s="37"/>
      <c r="NAU4" s="37"/>
      <c r="NAV4" s="37"/>
      <c r="NAW4" s="37"/>
      <c r="NAX4" s="37"/>
      <c r="NAY4" s="37"/>
      <c r="NAZ4" s="37"/>
      <c r="NBA4" s="37"/>
      <c r="NBB4" s="37"/>
      <c r="NBC4" s="37"/>
      <c r="NBD4" s="37"/>
      <c r="NBE4" s="37"/>
      <c r="NBF4" s="37"/>
      <c r="NBG4" s="37"/>
      <c r="NBH4" s="37"/>
      <c r="NBI4" s="37"/>
      <c r="NBJ4" s="37"/>
      <c r="NBK4" s="37"/>
      <c r="NBL4" s="37"/>
      <c r="NBM4" s="37"/>
      <c r="NBN4" s="37"/>
      <c r="NBO4" s="37"/>
      <c r="NBP4" s="37"/>
      <c r="NBQ4" s="37"/>
      <c r="NBR4" s="37"/>
      <c r="NBS4" s="37"/>
      <c r="NBT4" s="37"/>
      <c r="NBU4" s="37"/>
      <c r="NBV4" s="37"/>
      <c r="NBW4" s="37"/>
      <c r="NBX4" s="37"/>
      <c r="NBY4" s="37"/>
      <c r="NBZ4" s="37"/>
      <c r="NCA4" s="37"/>
      <c r="NCB4" s="37"/>
      <c r="NCC4" s="37"/>
      <c r="NCD4" s="37"/>
      <c r="NCE4" s="37"/>
      <c r="NCF4" s="37"/>
      <c r="NCG4" s="37"/>
      <c r="NCH4" s="37"/>
      <c r="NCI4" s="37"/>
      <c r="NCJ4" s="37"/>
      <c r="NCK4" s="37"/>
      <c r="NCL4" s="37"/>
      <c r="NCM4" s="37"/>
      <c r="NCN4" s="37"/>
      <c r="NCO4" s="37"/>
      <c r="NCP4" s="37"/>
      <c r="NCQ4" s="37"/>
      <c r="NCR4" s="37"/>
      <c r="NCS4" s="37"/>
      <c r="NCT4" s="37"/>
      <c r="NCU4" s="37"/>
      <c r="NCV4" s="37"/>
      <c r="NCW4" s="37"/>
      <c r="NCX4" s="37"/>
      <c r="NCY4" s="37"/>
      <c r="NCZ4" s="37"/>
      <c r="NDA4" s="37"/>
      <c r="NDB4" s="37"/>
      <c r="NDC4" s="37"/>
      <c r="NDD4" s="37"/>
      <c r="NDE4" s="37"/>
      <c r="NDF4" s="37"/>
      <c r="NDG4" s="37"/>
      <c r="NDH4" s="37"/>
      <c r="NDI4" s="37"/>
      <c r="NDJ4" s="37"/>
      <c r="NDK4" s="37"/>
      <c r="NDL4" s="37"/>
      <c r="NDM4" s="37"/>
      <c r="NDN4" s="37"/>
      <c r="NDO4" s="37"/>
      <c r="NDP4" s="37"/>
      <c r="NDQ4" s="37"/>
      <c r="NDR4" s="37"/>
      <c r="NDS4" s="37"/>
      <c r="NDT4" s="37"/>
      <c r="NDU4" s="37"/>
      <c r="NDV4" s="37"/>
      <c r="NDW4" s="37"/>
      <c r="NDX4" s="37"/>
      <c r="NDY4" s="37"/>
      <c r="NDZ4" s="37"/>
      <c r="NEA4" s="37"/>
      <c r="NEB4" s="37"/>
      <c r="NEC4" s="37"/>
      <c r="NED4" s="37"/>
      <c r="NEE4" s="37"/>
      <c r="NEF4" s="37"/>
      <c r="NEG4" s="37"/>
      <c r="NEH4" s="37"/>
      <c r="NEI4" s="37"/>
      <c r="NEJ4" s="37"/>
      <c r="NEK4" s="37"/>
      <c r="NEL4" s="37"/>
      <c r="NEM4" s="37"/>
      <c r="NEN4" s="37"/>
      <c r="NEO4" s="37"/>
      <c r="NEP4" s="37"/>
      <c r="NEQ4" s="37"/>
      <c r="NER4" s="37"/>
      <c r="NES4" s="37"/>
      <c r="NET4" s="37"/>
      <c r="NEU4" s="37"/>
      <c r="NEV4" s="37"/>
      <c r="NEW4" s="37"/>
      <c r="NEX4" s="37"/>
      <c r="NEY4" s="37"/>
      <c r="NEZ4" s="37"/>
      <c r="NFA4" s="37"/>
      <c r="NFB4" s="37"/>
      <c r="NFC4" s="37"/>
      <c r="NFD4" s="37"/>
      <c r="NFE4" s="37"/>
      <c r="NFF4" s="37"/>
      <c r="NFG4" s="37"/>
      <c r="NFH4" s="37"/>
      <c r="NFI4" s="37"/>
      <c r="NFJ4" s="37"/>
      <c r="NFK4" s="37"/>
      <c r="NFL4" s="37"/>
      <c r="NFM4" s="37"/>
      <c r="NFN4" s="37"/>
      <c r="NFO4" s="37"/>
      <c r="NFP4" s="37"/>
      <c r="NFQ4" s="37"/>
      <c r="NFR4" s="37"/>
      <c r="NFS4" s="37"/>
      <c r="NFT4" s="37"/>
      <c r="NFU4" s="37"/>
      <c r="NFV4" s="37"/>
      <c r="NFW4" s="37"/>
      <c r="NFX4" s="37"/>
      <c r="NFY4" s="37"/>
      <c r="NFZ4" s="37"/>
      <c r="NGA4" s="37"/>
      <c r="NGB4" s="37"/>
      <c r="NGC4" s="37"/>
      <c r="NGD4" s="37"/>
      <c r="NGE4" s="37"/>
      <c r="NGF4" s="37"/>
      <c r="NGG4" s="37"/>
      <c r="NGH4" s="37"/>
      <c r="NGI4" s="37"/>
      <c r="NGJ4" s="37"/>
      <c r="NGK4" s="37"/>
      <c r="NGL4" s="37"/>
      <c r="NGM4" s="37"/>
      <c r="NGN4" s="37"/>
      <c r="NGO4" s="37"/>
      <c r="NGP4" s="37"/>
      <c r="NGQ4" s="37"/>
      <c r="NGR4" s="37"/>
      <c r="NGS4" s="37"/>
      <c r="NGT4" s="37"/>
      <c r="NGU4" s="37"/>
      <c r="NGV4" s="37"/>
      <c r="NGW4" s="37"/>
      <c r="NGX4" s="37"/>
      <c r="NGY4" s="37"/>
      <c r="NGZ4" s="37"/>
      <c r="NHA4" s="37"/>
      <c r="NHB4" s="37"/>
      <c r="NHC4" s="37"/>
      <c r="NHD4" s="37"/>
      <c r="NHE4" s="37"/>
      <c r="NHF4" s="37"/>
      <c r="NHG4" s="37"/>
      <c r="NHH4" s="37"/>
      <c r="NHI4" s="37"/>
      <c r="NHJ4" s="37"/>
      <c r="NHK4" s="37"/>
      <c r="NHL4" s="37"/>
      <c r="NHM4" s="37"/>
      <c r="NHN4" s="37"/>
      <c r="NHO4" s="37"/>
      <c r="NHP4" s="37"/>
      <c r="NHQ4" s="37"/>
      <c r="NHR4" s="37"/>
      <c r="NHS4" s="37"/>
      <c r="NHT4" s="37"/>
      <c r="NHU4" s="37"/>
      <c r="NHV4" s="37"/>
      <c r="NHW4" s="37"/>
      <c r="NHX4" s="37"/>
      <c r="NHY4" s="37"/>
      <c r="NHZ4" s="37"/>
      <c r="NIA4" s="37"/>
      <c r="NIB4" s="37"/>
      <c r="NIC4" s="37"/>
      <c r="NID4" s="37"/>
      <c r="NIE4" s="37"/>
      <c r="NIF4" s="37"/>
      <c r="NIG4" s="37"/>
      <c r="NIH4" s="37"/>
      <c r="NII4" s="37"/>
      <c r="NIJ4" s="37"/>
      <c r="NIK4" s="37"/>
      <c r="NIL4" s="37"/>
      <c r="NIM4" s="37"/>
      <c r="NIN4" s="37"/>
      <c r="NIO4" s="37"/>
      <c r="NIP4" s="37"/>
      <c r="NIQ4" s="37"/>
      <c r="NIR4" s="37"/>
      <c r="NIS4" s="37"/>
      <c r="NIT4" s="37"/>
      <c r="NIU4" s="37"/>
      <c r="NIV4" s="37"/>
      <c r="NIW4" s="37"/>
      <c r="NIX4" s="37"/>
      <c r="NIY4" s="37"/>
      <c r="NIZ4" s="37"/>
      <c r="NJA4" s="37"/>
      <c r="NJB4" s="37"/>
      <c r="NJC4" s="37"/>
      <c r="NJD4" s="37"/>
      <c r="NJE4" s="37"/>
      <c r="NJF4" s="37"/>
      <c r="NJG4" s="37"/>
      <c r="NJH4" s="37"/>
      <c r="NJI4" s="37"/>
      <c r="NJJ4" s="37"/>
      <c r="NJK4" s="37"/>
      <c r="NJL4" s="37"/>
      <c r="NJM4" s="37"/>
      <c r="NJN4" s="37"/>
      <c r="NJO4" s="37"/>
      <c r="NJP4" s="37"/>
      <c r="NJQ4" s="37"/>
      <c r="NJR4" s="37"/>
      <c r="NJS4" s="37"/>
      <c r="NJT4" s="37"/>
      <c r="NJU4" s="37"/>
      <c r="NJV4" s="37"/>
      <c r="NJW4" s="37"/>
      <c r="NJX4" s="37"/>
      <c r="NJY4" s="37"/>
      <c r="NJZ4" s="37"/>
      <c r="NKA4" s="37"/>
      <c r="NKB4" s="37"/>
      <c r="NKC4" s="37"/>
      <c r="NKD4" s="37"/>
      <c r="NKE4" s="37"/>
      <c r="NKF4" s="37"/>
      <c r="NKG4" s="37"/>
      <c r="NKH4" s="37"/>
      <c r="NKI4" s="37"/>
      <c r="NKJ4" s="37"/>
      <c r="NKK4" s="37"/>
      <c r="NKL4" s="37"/>
      <c r="NKM4" s="37"/>
      <c r="NKN4" s="37"/>
      <c r="NKO4" s="37"/>
      <c r="NKP4" s="37"/>
      <c r="NKQ4" s="37"/>
      <c r="NKR4" s="37"/>
      <c r="NKS4" s="37"/>
      <c r="NKT4" s="37"/>
      <c r="NKU4" s="37"/>
      <c r="NKV4" s="37"/>
      <c r="NKW4" s="37"/>
      <c r="NKX4" s="37"/>
      <c r="NKY4" s="37"/>
      <c r="NKZ4" s="37"/>
      <c r="NLA4" s="37"/>
      <c r="NLB4" s="37"/>
      <c r="NLC4" s="37"/>
      <c r="NLD4" s="37"/>
      <c r="NLE4" s="37"/>
      <c r="NLF4" s="37"/>
      <c r="NLG4" s="37"/>
      <c r="NLH4" s="37"/>
      <c r="NLI4" s="37"/>
      <c r="NLJ4" s="37"/>
      <c r="NLK4" s="37"/>
      <c r="NLL4" s="37"/>
      <c r="NLM4" s="37"/>
      <c r="NLN4" s="37"/>
      <c r="NLO4" s="37"/>
      <c r="NLP4" s="37"/>
      <c r="NLQ4" s="37"/>
      <c r="NLR4" s="37"/>
      <c r="NLS4" s="37"/>
      <c r="NLT4" s="37"/>
      <c r="NLU4" s="37"/>
      <c r="NLV4" s="37"/>
      <c r="NLW4" s="37"/>
      <c r="NLX4" s="37"/>
      <c r="NLY4" s="37"/>
      <c r="NLZ4" s="37"/>
      <c r="NMA4" s="37"/>
      <c r="NMB4" s="37"/>
      <c r="NMC4" s="37"/>
      <c r="NMD4" s="37"/>
      <c r="NME4" s="37"/>
      <c r="NMF4" s="37"/>
      <c r="NMG4" s="37"/>
      <c r="NMH4" s="37"/>
      <c r="NMI4" s="37"/>
      <c r="NMJ4" s="37"/>
      <c r="NMK4" s="37"/>
      <c r="NML4" s="37"/>
      <c r="NMM4" s="37"/>
      <c r="NMN4" s="37"/>
      <c r="NMO4" s="37"/>
      <c r="NMP4" s="37"/>
      <c r="NMQ4" s="37"/>
      <c r="NMR4" s="37"/>
      <c r="NMS4" s="37"/>
      <c r="NMT4" s="37"/>
      <c r="NMU4" s="37"/>
      <c r="NMV4" s="37"/>
      <c r="NMW4" s="37"/>
      <c r="NMX4" s="37"/>
      <c r="NMY4" s="37"/>
      <c r="NMZ4" s="37"/>
      <c r="NNA4" s="37"/>
      <c r="NNB4" s="37"/>
      <c r="NNC4" s="37"/>
      <c r="NND4" s="37"/>
      <c r="NNE4" s="37"/>
      <c r="NNF4" s="37"/>
      <c r="NNG4" s="37"/>
      <c r="NNH4" s="37"/>
      <c r="NNI4" s="37"/>
      <c r="NNJ4" s="37"/>
      <c r="NNK4" s="37"/>
      <c r="NNL4" s="37"/>
      <c r="NNM4" s="37"/>
      <c r="NNN4" s="37"/>
      <c r="NNO4" s="37"/>
      <c r="NNP4" s="37"/>
      <c r="NNQ4" s="37"/>
      <c r="NNR4" s="37"/>
      <c r="NNS4" s="37"/>
      <c r="NNT4" s="37"/>
      <c r="NNU4" s="37"/>
      <c r="NNV4" s="37"/>
      <c r="NNW4" s="37"/>
      <c r="NNX4" s="37"/>
      <c r="NNY4" s="37"/>
      <c r="NNZ4" s="37"/>
      <c r="NOA4" s="37"/>
      <c r="NOB4" s="37"/>
      <c r="NOC4" s="37"/>
      <c r="NOD4" s="37"/>
      <c r="NOE4" s="37"/>
      <c r="NOF4" s="37"/>
      <c r="NOG4" s="37"/>
      <c r="NOH4" s="37"/>
      <c r="NOI4" s="37"/>
      <c r="NOJ4" s="37"/>
      <c r="NOK4" s="37"/>
      <c r="NOL4" s="37"/>
      <c r="NOM4" s="37"/>
      <c r="NON4" s="37"/>
      <c r="NOO4" s="37"/>
      <c r="NOP4" s="37"/>
      <c r="NOQ4" s="37"/>
      <c r="NOR4" s="37"/>
      <c r="NOS4" s="37"/>
      <c r="NOT4" s="37"/>
      <c r="NOU4" s="37"/>
      <c r="NOV4" s="37"/>
      <c r="NOW4" s="37"/>
      <c r="NOX4" s="37"/>
      <c r="NOY4" s="37"/>
      <c r="NOZ4" s="37"/>
      <c r="NPA4" s="37"/>
      <c r="NPB4" s="37"/>
      <c r="NPC4" s="37"/>
      <c r="NPD4" s="37"/>
      <c r="NPE4" s="37"/>
      <c r="NPF4" s="37"/>
      <c r="NPG4" s="37"/>
      <c r="NPH4" s="37"/>
      <c r="NPI4" s="37"/>
      <c r="NPJ4" s="37"/>
      <c r="NPK4" s="37"/>
      <c r="NPL4" s="37"/>
      <c r="NPM4" s="37"/>
      <c r="NPN4" s="37"/>
      <c r="NPO4" s="37"/>
      <c r="NPP4" s="37"/>
      <c r="NPQ4" s="37"/>
      <c r="NPR4" s="37"/>
      <c r="NPS4" s="37"/>
      <c r="NPT4" s="37"/>
      <c r="NPU4" s="37"/>
      <c r="NPV4" s="37"/>
      <c r="NPW4" s="37"/>
      <c r="NPX4" s="37"/>
      <c r="NPY4" s="37"/>
      <c r="NPZ4" s="37"/>
      <c r="NQA4" s="37"/>
      <c r="NQB4" s="37"/>
      <c r="NQC4" s="37"/>
      <c r="NQD4" s="37"/>
      <c r="NQE4" s="37"/>
      <c r="NQF4" s="37"/>
      <c r="NQG4" s="37"/>
      <c r="NQH4" s="37"/>
      <c r="NQI4" s="37"/>
      <c r="NQJ4" s="37"/>
      <c r="NQK4" s="37"/>
      <c r="NQL4" s="37"/>
      <c r="NQM4" s="37"/>
      <c r="NQN4" s="37"/>
      <c r="NQO4" s="37"/>
      <c r="NQP4" s="37"/>
      <c r="NQQ4" s="37"/>
      <c r="NQR4" s="37"/>
      <c r="NQS4" s="37"/>
      <c r="NQT4" s="37"/>
      <c r="NQU4" s="37"/>
      <c r="NQV4" s="37"/>
      <c r="NQW4" s="37"/>
      <c r="NQX4" s="37"/>
      <c r="NQY4" s="37"/>
      <c r="NQZ4" s="37"/>
      <c r="NRA4" s="37"/>
      <c r="NRB4" s="37"/>
      <c r="NRC4" s="37"/>
      <c r="NRD4" s="37"/>
      <c r="NRE4" s="37"/>
      <c r="NRF4" s="37"/>
      <c r="NRG4" s="37"/>
      <c r="NRH4" s="37"/>
      <c r="NRI4" s="37"/>
      <c r="NRJ4" s="37"/>
      <c r="NRK4" s="37"/>
      <c r="NRL4" s="37"/>
      <c r="NRM4" s="37"/>
      <c r="NRN4" s="37"/>
      <c r="NRO4" s="37"/>
      <c r="NRP4" s="37"/>
      <c r="NRQ4" s="37"/>
      <c r="NRR4" s="37"/>
      <c r="NRS4" s="37"/>
      <c r="NRT4" s="37"/>
      <c r="NRU4" s="37"/>
      <c r="NRV4" s="37"/>
      <c r="NRW4" s="37"/>
      <c r="NRX4" s="37"/>
      <c r="NRY4" s="37"/>
      <c r="NRZ4" s="37"/>
      <c r="NSA4" s="37"/>
      <c r="NSB4" s="37"/>
      <c r="NSC4" s="37"/>
      <c r="NSD4" s="37"/>
      <c r="NSE4" s="37"/>
      <c r="NSF4" s="37"/>
      <c r="NSG4" s="37"/>
      <c r="NSH4" s="37"/>
      <c r="NSI4" s="37"/>
      <c r="NSJ4" s="37"/>
      <c r="NSK4" s="37"/>
      <c r="NSL4" s="37"/>
      <c r="NSM4" s="37"/>
      <c r="NSN4" s="37"/>
      <c r="NSO4" s="37"/>
      <c r="NSP4" s="37"/>
      <c r="NSQ4" s="37"/>
      <c r="NSR4" s="37"/>
      <c r="NSS4" s="37"/>
      <c r="NST4" s="37"/>
      <c r="NSU4" s="37"/>
      <c r="NSV4" s="37"/>
      <c r="NSW4" s="37"/>
      <c r="NSX4" s="37"/>
      <c r="NSY4" s="37"/>
      <c r="NSZ4" s="37"/>
      <c r="NTA4" s="37"/>
      <c r="NTB4" s="37"/>
      <c r="NTC4" s="37"/>
      <c r="NTD4" s="37"/>
      <c r="NTE4" s="37"/>
      <c r="NTF4" s="37"/>
      <c r="NTG4" s="37"/>
      <c r="NTH4" s="37"/>
      <c r="NTI4" s="37"/>
      <c r="NTJ4" s="37"/>
      <c r="NTK4" s="37"/>
      <c r="NTL4" s="37"/>
      <c r="NTM4" s="37"/>
      <c r="NTN4" s="37"/>
      <c r="NTO4" s="37"/>
      <c r="NTP4" s="37"/>
      <c r="NTQ4" s="37"/>
      <c r="NTR4" s="37"/>
      <c r="NTS4" s="37"/>
      <c r="NTT4" s="37"/>
      <c r="NTU4" s="37"/>
      <c r="NTV4" s="37"/>
      <c r="NTW4" s="37"/>
      <c r="NTX4" s="37"/>
      <c r="NTY4" s="37"/>
      <c r="NTZ4" s="37"/>
      <c r="NUA4" s="37"/>
      <c r="NUB4" s="37"/>
      <c r="NUC4" s="37"/>
      <c r="NUD4" s="37"/>
      <c r="NUE4" s="37"/>
      <c r="NUF4" s="37"/>
      <c r="NUG4" s="37"/>
      <c r="NUH4" s="37"/>
      <c r="NUI4" s="37"/>
      <c r="NUJ4" s="37"/>
      <c r="NUK4" s="37"/>
      <c r="NUL4" s="37"/>
      <c r="NUM4" s="37"/>
      <c r="NUN4" s="37"/>
      <c r="NUO4" s="37"/>
      <c r="NUP4" s="37"/>
      <c r="NUQ4" s="37"/>
      <c r="NUR4" s="37"/>
      <c r="NUS4" s="37"/>
      <c r="NUT4" s="37"/>
      <c r="NUU4" s="37"/>
      <c r="NUV4" s="37"/>
      <c r="NUW4" s="37"/>
      <c r="NUX4" s="37"/>
      <c r="NUY4" s="37"/>
      <c r="NUZ4" s="37"/>
      <c r="NVA4" s="37"/>
      <c r="NVB4" s="37"/>
      <c r="NVC4" s="37"/>
      <c r="NVD4" s="37"/>
      <c r="NVE4" s="37"/>
      <c r="NVF4" s="37"/>
      <c r="NVG4" s="37"/>
      <c r="NVH4" s="37"/>
      <c r="NVI4" s="37"/>
      <c r="NVJ4" s="37"/>
      <c r="NVK4" s="37"/>
      <c r="NVL4" s="37"/>
      <c r="NVM4" s="37"/>
      <c r="NVN4" s="37"/>
      <c r="NVO4" s="37"/>
      <c r="NVP4" s="37"/>
      <c r="NVQ4" s="37"/>
      <c r="NVR4" s="37"/>
      <c r="NVS4" s="37"/>
      <c r="NVT4" s="37"/>
      <c r="NVU4" s="37"/>
      <c r="NVV4" s="37"/>
      <c r="NVW4" s="37"/>
      <c r="NVX4" s="37"/>
      <c r="NVY4" s="37"/>
      <c r="NVZ4" s="37"/>
      <c r="NWA4" s="37"/>
      <c r="NWB4" s="37"/>
      <c r="NWC4" s="37"/>
      <c r="NWD4" s="37"/>
      <c r="NWE4" s="37"/>
      <c r="NWF4" s="37"/>
      <c r="NWG4" s="37"/>
      <c r="NWH4" s="37"/>
      <c r="NWI4" s="37"/>
      <c r="NWJ4" s="37"/>
      <c r="NWK4" s="37"/>
      <c r="NWL4" s="37"/>
      <c r="NWM4" s="37"/>
      <c r="NWN4" s="37"/>
      <c r="NWO4" s="37"/>
      <c r="NWP4" s="37"/>
      <c r="NWQ4" s="37"/>
      <c r="NWR4" s="37"/>
      <c r="NWS4" s="37"/>
      <c r="NWT4" s="37"/>
      <c r="NWU4" s="37"/>
      <c r="NWV4" s="37"/>
      <c r="NWW4" s="37"/>
      <c r="NWX4" s="37"/>
      <c r="NWY4" s="37"/>
      <c r="NWZ4" s="37"/>
      <c r="NXA4" s="37"/>
      <c r="NXB4" s="37"/>
      <c r="NXC4" s="37"/>
      <c r="NXD4" s="37"/>
      <c r="NXE4" s="37"/>
      <c r="NXF4" s="37"/>
      <c r="NXG4" s="37"/>
      <c r="NXH4" s="37"/>
      <c r="NXI4" s="37"/>
      <c r="NXJ4" s="37"/>
      <c r="NXK4" s="37"/>
      <c r="NXL4" s="37"/>
      <c r="NXM4" s="37"/>
      <c r="NXN4" s="37"/>
      <c r="NXO4" s="37"/>
      <c r="NXP4" s="37"/>
      <c r="NXQ4" s="37"/>
      <c r="NXR4" s="37"/>
      <c r="NXS4" s="37"/>
      <c r="NXT4" s="37"/>
      <c r="NXU4" s="37"/>
      <c r="NXV4" s="37"/>
      <c r="NXW4" s="37"/>
      <c r="NXX4" s="37"/>
      <c r="NXY4" s="37"/>
      <c r="NXZ4" s="37"/>
      <c r="NYA4" s="37"/>
      <c r="NYB4" s="37"/>
      <c r="NYC4" s="37"/>
      <c r="NYD4" s="37"/>
      <c r="NYE4" s="37"/>
      <c r="NYF4" s="37"/>
      <c r="NYG4" s="37"/>
      <c r="NYH4" s="37"/>
      <c r="NYI4" s="37"/>
      <c r="NYJ4" s="37"/>
      <c r="NYK4" s="37"/>
      <c r="NYL4" s="37"/>
      <c r="NYM4" s="37"/>
      <c r="NYN4" s="37"/>
      <c r="NYO4" s="37"/>
      <c r="NYP4" s="37"/>
      <c r="NYQ4" s="37"/>
      <c r="NYR4" s="37"/>
      <c r="NYS4" s="37"/>
      <c r="NYT4" s="37"/>
      <c r="NYU4" s="37"/>
      <c r="NYV4" s="37"/>
      <c r="NYW4" s="37"/>
      <c r="NYX4" s="37"/>
      <c r="NYY4" s="37"/>
      <c r="NYZ4" s="37"/>
      <c r="NZA4" s="37"/>
      <c r="NZB4" s="37"/>
      <c r="NZC4" s="37"/>
      <c r="NZD4" s="37"/>
      <c r="NZE4" s="37"/>
      <c r="NZF4" s="37"/>
      <c r="NZG4" s="37"/>
      <c r="NZH4" s="37"/>
      <c r="NZI4" s="37"/>
      <c r="NZJ4" s="37"/>
      <c r="NZK4" s="37"/>
      <c r="NZL4" s="37"/>
      <c r="NZM4" s="37"/>
      <c r="NZN4" s="37"/>
      <c r="NZO4" s="37"/>
      <c r="NZP4" s="37"/>
      <c r="NZQ4" s="37"/>
      <c r="NZR4" s="37"/>
      <c r="NZS4" s="37"/>
      <c r="NZT4" s="37"/>
      <c r="NZU4" s="37"/>
      <c r="NZV4" s="37"/>
      <c r="NZW4" s="37"/>
      <c r="NZX4" s="37"/>
      <c r="NZY4" s="37"/>
      <c r="NZZ4" s="37"/>
      <c r="OAA4" s="37"/>
      <c r="OAB4" s="37"/>
      <c r="OAC4" s="37"/>
      <c r="OAD4" s="37"/>
      <c r="OAE4" s="37"/>
      <c r="OAF4" s="37"/>
      <c r="OAG4" s="37"/>
      <c r="OAH4" s="37"/>
      <c r="OAI4" s="37"/>
      <c r="OAJ4" s="37"/>
      <c r="OAK4" s="37"/>
      <c r="OAL4" s="37"/>
      <c r="OAM4" s="37"/>
      <c r="OAN4" s="37"/>
      <c r="OAO4" s="37"/>
      <c r="OAP4" s="37"/>
      <c r="OAQ4" s="37"/>
      <c r="OAR4" s="37"/>
      <c r="OAS4" s="37"/>
      <c r="OAT4" s="37"/>
      <c r="OAU4" s="37"/>
      <c r="OAV4" s="37"/>
      <c r="OAW4" s="37"/>
      <c r="OAX4" s="37"/>
      <c r="OAY4" s="37"/>
      <c r="OAZ4" s="37"/>
      <c r="OBA4" s="37"/>
      <c r="OBB4" s="37"/>
      <c r="OBC4" s="37"/>
      <c r="OBD4" s="37"/>
      <c r="OBE4" s="37"/>
      <c r="OBF4" s="37"/>
      <c r="OBG4" s="37"/>
      <c r="OBH4" s="37"/>
      <c r="OBI4" s="37"/>
      <c r="OBJ4" s="37"/>
      <c r="OBK4" s="37"/>
      <c r="OBL4" s="37"/>
      <c r="OBM4" s="37"/>
      <c r="OBN4" s="37"/>
      <c r="OBO4" s="37"/>
      <c r="OBP4" s="37"/>
      <c r="OBQ4" s="37"/>
      <c r="OBR4" s="37"/>
      <c r="OBS4" s="37"/>
      <c r="OBT4" s="37"/>
      <c r="OBU4" s="37"/>
      <c r="OBV4" s="37"/>
      <c r="OBW4" s="37"/>
      <c r="OBX4" s="37"/>
      <c r="OBY4" s="37"/>
      <c r="OBZ4" s="37"/>
      <c r="OCA4" s="37"/>
      <c r="OCB4" s="37"/>
      <c r="OCC4" s="37"/>
      <c r="OCD4" s="37"/>
      <c r="OCE4" s="37"/>
      <c r="OCF4" s="37"/>
      <c r="OCG4" s="37"/>
      <c r="OCH4" s="37"/>
      <c r="OCI4" s="37"/>
      <c r="OCJ4" s="37"/>
      <c r="OCK4" s="37"/>
      <c r="OCL4" s="37"/>
      <c r="OCM4" s="37"/>
      <c r="OCN4" s="37"/>
      <c r="OCO4" s="37"/>
      <c r="OCP4" s="37"/>
      <c r="OCQ4" s="37"/>
      <c r="OCR4" s="37"/>
      <c r="OCS4" s="37"/>
      <c r="OCT4" s="37"/>
      <c r="OCU4" s="37"/>
      <c r="OCV4" s="37"/>
      <c r="OCW4" s="37"/>
      <c r="OCX4" s="37"/>
      <c r="OCY4" s="37"/>
      <c r="OCZ4" s="37"/>
      <c r="ODA4" s="37"/>
      <c r="ODB4" s="37"/>
      <c r="ODC4" s="37"/>
      <c r="ODD4" s="37"/>
      <c r="ODE4" s="37"/>
      <c r="ODF4" s="37"/>
      <c r="ODG4" s="37"/>
      <c r="ODH4" s="37"/>
      <c r="ODI4" s="37"/>
      <c r="ODJ4" s="37"/>
      <c r="ODK4" s="37"/>
      <c r="ODL4" s="37"/>
      <c r="ODM4" s="37"/>
      <c r="ODN4" s="37"/>
      <c r="ODO4" s="37"/>
      <c r="ODP4" s="37"/>
      <c r="ODQ4" s="37"/>
      <c r="ODR4" s="37"/>
      <c r="ODS4" s="37"/>
      <c r="ODT4" s="37"/>
      <c r="ODU4" s="37"/>
      <c r="ODV4" s="37"/>
      <c r="ODW4" s="37"/>
      <c r="ODX4" s="37"/>
      <c r="ODY4" s="37"/>
      <c r="ODZ4" s="37"/>
      <c r="OEA4" s="37"/>
      <c r="OEB4" s="37"/>
      <c r="OEC4" s="37"/>
      <c r="OED4" s="37"/>
      <c r="OEE4" s="37"/>
      <c r="OEF4" s="37"/>
      <c r="OEG4" s="37"/>
      <c r="OEH4" s="37"/>
      <c r="OEI4" s="37"/>
      <c r="OEJ4" s="37"/>
      <c r="OEK4" s="37"/>
      <c r="OEL4" s="37"/>
      <c r="OEM4" s="37"/>
      <c r="OEN4" s="37"/>
      <c r="OEO4" s="37"/>
      <c r="OEP4" s="37"/>
      <c r="OEQ4" s="37"/>
      <c r="OER4" s="37"/>
      <c r="OES4" s="37"/>
      <c r="OET4" s="37"/>
      <c r="OEU4" s="37"/>
      <c r="OEV4" s="37"/>
      <c r="OEW4" s="37"/>
      <c r="OEX4" s="37"/>
      <c r="OEY4" s="37"/>
      <c r="OEZ4" s="37"/>
      <c r="OFA4" s="37"/>
      <c r="OFB4" s="37"/>
      <c r="OFC4" s="37"/>
      <c r="OFD4" s="37"/>
      <c r="OFE4" s="37"/>
      <c r="OFF4" s="37"/>
      <c r="OFG4" s="37"/>
      <c r="OFH4" s="37"/>
      <c r="OFI4" s="37"/>
      <c r="OFJ4" s="37"/>
      <c r="OFK4" s="37"/>
      <c r="OFL4" s="37"/>
      <c r="OFM4" s="37"/>
      <c r="OFN4" s="37"/>
      <c r="OFO4" s="37"/>
      <c r="OFP4" s="37"/>
      <c r="OFQ4" s="37"/>
      <c r="OFR4" s="37"/>
      <c r="OFS4" s="37"/>
      <c r="OFT4" s="37"/>
      <c r="OFU4" s="37"/>
      <c r="OFV4" s="37"/>
      <c r="OFW4" s="37"/>
      <c r="OFX4" s="37"/>
      <c r="OFY4" s="37"/>
      <c r="OFZ4" s="37"/>
      <c r="OGA4" s="37"/>
      <c r="OGB4" s="37"/>
      <c r="OGC4" s="37"/>
      <c r="OGD4" s="37"/>
      <c r="OGE4" s="37"/>
      <c r="OGF4" s="37"/>
      <c r="OGG4" s="37"/>
      <c r="OGH4" s="37"/>
      <c r="OGI4" s="37"/>
      <c r="OGJ4" s="37"/>
      <c r="OGK4" s="37"/>
      <c r="OGL4" s="37"/>
      <c r="OGM4" s="37"/>
      <c r="OGN4" s="37"/>
      <c r="OGO4" s="37"/>
      <c r="OGP4" s="37"/>
      <c r="OGQ4" s="37"/>
      <c r="OGR4" s="37"/>
      <c r="OGS4" s="37"/>
      <c r="OGT4" s="37"/>
      <c r="OGU4" s="37"/>
      <c r="OGV4" s="37"/>
      <c r="OGW4" s="37"/>
      <c r="OGX4" s="37"/>
      <c r="OGY4" s="37"/>
      <c r="OGZ4" s="37"/>
      <c r="OHA4" s="37"/>
      <c r="OHB4" s="37"/>
      <c r="OHC4" s="37"/>
      <c r="OHD4" s="37"/>
      <c r="OHE4" s="37"/>
      <c r="OHF4" s="37"/>
      <c r="OHG4" s="37"/>
      <c r="OHH4" s="37"/>
      <c r="OHI4" s="37"/>
      <c r="OHJ4" s="37"/>
      <c r="OHK4" s="37"/>
      <c r="OHL4" s="37"/>
      <c r="OHM4" s="37"/>
      <c r="OHN4" s="37"/>
      <c r="OHO4" s="37"/>
      <c r="OHP4" s="37"/>
      <c r="OHQ4" s="37"/>
      <c r="OHR4" s="37"/>
      <c r="OHS4" s="37"/>
      <c r="OHT4" s="37"/>
      <c r="OHU4" s="37"/>
      <c r="OHV4" s="37"/>
      <c r="OHW4" s="37"/>
      <c r="OHX4" s="37"/>
      <c r="OHY4" s="37"/>
      <c r="OHZ4" s="37"/>
      <c r="OIA4" s="37"/>
      <c r="OIB4" s="37"/>
      <c r="OIC4" s="37"/>
      <c r="OID4" s="37"/>
      <c r="OIE4" s="37"/>
      <c r="OIF4" s="37"/>
      <c r="OIG4" s="37"/>
      <c r="OIH4" s="37"/>
      <c r="OII4" s="37"/>
      <c r="OIJ4" s="37"/>
      <c r="OIK4" s="37"/>
      <c r="OIL4" s="37"/>
      <c r="OIM4" s="37"/>
      <c r="OIN4" s="37"/>
      <c r="OIO4" s="37"/>
      <c r="OIP4" s="37"/>
      <c r="OIQ4" s="37"/>
      <c r="OIR4" s="37"/>
      <c r="OIS4" s="37"/>
      <c r="OIT4" s="37"/>
      <c r="OIU4" s="37"/>
      <c r="OIV4" s="37"/>
      <c r="OIW4" s="37"/>
      <c r="OIX4" s="37"/>
      <c r="OIY4" s="37"/>
      <c r="OIZ4" s="37"/>
      <c r="OJA4" s="37"/>
      <c r="OJB4" s="37"/>
      <c r="OJC4" s="37"/>
      <c r="OJD4" s="37"/>
      <c r="OJE4" s="37"/>
      <c r="OJF4" s="37"/>
      <c r="OJG4" s="37"/>
      <c r="OJH4" s="37"/>
      <c r="OJI4" s="37"/>
      <c r="OJJ4" s="37"/>
      <c r="OJK4" s="37"/>
      <c r="OJL4" s="37"/>
      <c r="OJM4" s="37"/>
      <c r="OJN4" s="37"/>
      <c r="OJO4" s="37"/>
      <c r="OJP4" s="37"/>
      <c r="OJQ4" s="37"/>
      <c r="OJR4" s="37"/>
      <c r="OJS4" s="37"/>
      <c r="OJT4" s="37"/>
      <c r="OJU4" s="37"/>
      <c r="OJV4" s="37"/>
      <c r="OJW4" s="37"/>
      <c r="OJX4" s="37"/>
      <c r="OJY4" s="37"/>
      <c r="OJZ4" s="37"/>
      <c r="OKA4" s="37"/>
      <c r="OKB4" s="37"/>
      <c r="OKC4" s="37"/>
      <c r="OKD4" s="37"/>
      <c r="OKE4" s="37"/>
      <c r="OKF4" s="37"/>
      <c r="OKG4" s="37"/>
      <c r="OKH4" s="37"/>
      <c r="OKI4" s="37"/>
      <c r="OKJ4" s="37"/>
      <c r="OKK4" s="37"/>
      <c r="OKL4" s="37"/>
      <c r="OKM4" s="37"/>
      <c r="OKN4" s="37"/>
      <c r="OKO4" s="37"/>
      <c r="OKP4" s="37"/>
      <c r="OKQ4" s="37"/>
      <c r="OKR4" s="37"/>
      <c r="OKS4" s="37"/>
      <c r="OKT4" s="37"/>
      <c r="OKU4" s="37"/>
      <c r="OKV4" s="37"/>
      <c r="OKW4" s="37"/>
      <c r="OKX4" s="37"/>
      <c r="OKY4" s="37"/>
      <c r="OKZ4" s="37"/>
      <c r="OLA4" s="37"/>
      <c r="OLB4" s="37"/>
      <c r="OLC4" s="37"/>
      <c r="OLD4" s="37"/>
      <c r="OLE4" s="37"/>
      <c r="OLF4" s="37"/>
      <c r="OLG4" s="37"/>
      <c r="OLH4" s="37"/>
      <c r="OLI4" s="37"/>
      <c r="OLJ4" s="37"/>
      <c r="OLK4" s="37"/>
      <c r="OLL4" s="37"/>
      <c r="OLM4" s="37"/>
      <c r="OLN4" s="37"/>
      <c r="OLO4" s="37"/>
      <c r="OLP4" s="37"/>
      <c r="OLQ4" s="37"/>
      <c r="OLR4" s="37"/>
      <c r="OLS4" s="37"/>
      <c r="OLT4" s="37"/>
      <c r="OLU4" s="37"/>
      <c r="OLV4" s="37"/>
      <c r="OLW4" s="37"/>
      <c r="OLX4" s="37"/>
      <c r="OLY4" s="37"/>
      <c r="OLZ4" s="37"/>
      <c r="OMA4" s="37"/>
      <c r="OMB4" s="37"/>
      <c r="OMC4" s="37"/>
      <c r="OMD4" s="37"/>
      <c r="OME4" s="37"/>
      <c r="OMF4" s="37"/>
      <c r="OMG4" s="37"/>
      <c r="OMH4" s="37"/>
      <c r="OMI4" s="37"/>
      <c r="OMJ4" s="37"/>
      <c r="OMK4" s="37"/>
      <c r="OML4" s="37"/>
      <c r="OMM4" s="37"/>
      <c r="OMN4" s="37"/>
      <c r="OMO4" s="37"/>
      <c r="OMP4" s="37"/>
      <c r="OMQ4" s="37"/>
      <c r="OMR4" s="37"/>
      <c r="OMS4" s="37"/>
      <c r="OMT4" s="37"/>
      <c r="OMU4" s="37"/>
      <c r="OMV4" s="37"/>
      <c r="OMW4" s="37"/>
      <c r="OMX4" s="37"/>
      <c r="OMY4" s="37"/>
      <c r="OMZ4" s="37"/>
      <c r="ONA4" s="37"/>
      <c r="ONB4" s="37"/>
      <c r="ONC4" s="37"/>
      <c r="OND4" s="37"/>
      <c r="ONE4" s="37"/>
      <c r="ONF4" s="37"/>
      <c r="ONG4" s="37"/>
      <c r="ONH4" s="37"/>
      <c r="ONI4" s="37"/>
      <c r="ONJ4" s="37"/>
      <c r="ONK4" s="37"/>
      <c r="ONL4" s="37"/>
      <c r="ONM4" s="37"/>
      <c r="ONN4" s="37"/>
      <c r="ONO4" s="37"/>
      <c r="ONP4" s="37"/>
      <c r="ONQ4" s="37"/>
      <c r="ONR4" s="37"/>
      <c r="ONS4" s="37"/>
      <c r="ONT4" s="37"/>
      <c r="ONU4" s="37"/>
      <c r="ONV4" s="37"/>
      <c r="ONW4" s="37"/>
      <c r="ONX4" s="37"/>
      <c r="ONY4" s="37"/>
      <c r="ONZ4" s="37"/>
      <c r="OOA4" s="37"/>
      <c r="OOB4" s="37"/>
      <c r="OOC4" s="37"/>
      <c r="OOD4" s="37"/>
      <c r="OOE4" s="37"/>
      <c r="OOF4" s="37"/>
      <c r="OOG4" s="37"/>
      <c r="OOH4" s="37"/>
      <c r="OOI4" s="37"/>
      <c r="OOJ4" s="37"/>
      <c r="OOK4" s="37"/>
      <c r="OOL4" s="37"/>
      <c r="OOM4" s="37"/>
      <c r="OON4" s="37"/>
      <c r="OOO4" s="37"/>
      <c r="OOP4" s="37"/>
      <c r="OOQ4" s="37"/>
      <c r="OOR4" s="37"/>
      <c r="OOS4" s="37"/>
      <c r="OOT4" s="37"/>
      <c r="OOU4" s="37"/>
      <c r="OOV4" s="37"/>
      <c r="OOW4" s="37"/>
      <c r="OOX4" s="37"/>
      <c r="OOY4" s="37"/>
      <c r="OOZ4" s="37"/>
      <c r="OPA4" s="37"/>
      <c r="OPB4" s="37"/>
      <c r="OPC4" s="37"/>
      <c r="OPD4" s="37"/>
      <c r="OPE4" s="37"/>
      <c r="OPF4" s="37"/>
      <c r="OPG4" s="37"/>
      <c r="OPH4" s="37"/>
      <c r="OPI4" s="37"/>
      <c r="OPJ4" s="37"/>
      <c r="OPK4" s="37"/>
      <c r="OPL4" s="37"/>
      <c r="OPM4" s="37"/>
      <c r="OPN4" s="37"/>
      <c r="OPO4" s="37"/>
      <c r="OPP4" s="37"/>
      <c r="OPQ4" s="37"/>
      <c r="OPR4" s="37"/>
      <c r="OPS4" s="37"/>
      <c r="OPT4" s="37"/>
      <c r="OPU4" s="37"/>
      <c r="OPV4" s="37"/>
      <c r="OPW4" s="37"/>
      <c r="OPX4" s="37"/>
      <c r="OPY4" s="37"/>
      <c r="OPZ4" s="37"/>
      <c r="OQA4" s="37"/>
      <c r="OQB4" s="37"/>
      <c r="OQC4" s="37"/>
      <c r="OQD4" s="37"/>
      <c r="OQE4" s="37"/>
      <c r="OQF4" s="37"/>
      <c r="OQG4" s="37"/>
      <c r="OQH4" s="37"/>
      <c r="OQI4" s="37"/>
      <c r="OQJ4" s="37"/>
      <c r="OQK4" s="37"/>
      <c r="OQL4" s="37"/>
      <c r="OQM4" s="37"/>
      <c r="OQN4" s="37"/>
      <c r="OQO4" s="37"/>
      <c r="OQP4" s="37"/>
      <c r="OQQ4" s="37"/>
      <c r="OQR4" s="37"/>
      <c r="OQS4" s="37"/>
      <c r="OQT4" s="37"/>
      <c r="OQU4" s="37"/>
      <c r="OQV4" s="37"/>
      <c r="OQW4" s="37"/>
      <c r="OQX4" s="37"/>
      <c r="OQY4" s="37"/>
      <c r="OQZ4" s="37"/>
      <c r="ORA4" s="37"/>
      <c r="ORB4" s="37"/>
      <c r="ORC4" s="37"/>
      <c r="ORD4" s="37"/>
      <c r="ORE4" s="37"/>
      <c r="ORF4" s="37"/>
      <c r="ORG4" s="37"/>
      <c r="ORH4" s="37"/>
      <c r="ORI4" s="37"/>
      <c r="ORJ4" s="37"/>
      <c r="ORK4" s="37"/>
      <c r="ORL4" s="37"/>
      <c r="ORM4" s="37"/>
      <c r="ORN4" s="37"/>
      <c r="ORO4" s="37"/>
      <c r="ORP4" s="37"/>
      <c r="ORQ4" s="37"/>
      <c r="ORR4" s="37"/>
      <c r="ORS4" s="37"/>
      <c r="ORT4" s="37"/>
      <c r="ORU4" s="37"/>
      <c r="ORV4" s="37"/>
      <c r="ORW4" s="37"/>
      <c r="ORX4" s="37"/>
      <c r="ORY4" s="37"/>
      <c r="ORZ4" s="37"/>
      <c r="OSA4" s="37"/>
      <c r="OSB4" s="37"/>
      <c r="OSC4" s="37"/>
      <c r="OSD4" s="37"/>
      <c r="OSE4" s="37"/>
      <c r="OSF4" s="37"/>
      <c r="OSG4" s="37"/>
      <c r="OSH4" s="37"/>
      <c r="OSI4" s="37"/>
      <c r="OSJ4" s="37"/>
      <c r="OSK4" s="37"/>
      <c r="OSL4" s="37"/>
      <c r="OSM4" s="37"/>
      <c r="OSN4" s="37"/>
      <c r="OSO4" s="37"/>
      <c r="OSP4" s="37"/>
      <c r="OSQ4" s="37"/>
      <c r="OSR4" s="37"/>
      <c r="OSS4" s="37"/>
      <c r="OST4" s="37"/>
      <c r="OSU4" s="37"/>
      <c r="OSV4" s="37"/>
      <c r="OSW4" s="37"/>
      <c r="OSX4" s="37"/>
      <c r="OSY4" s="37"/>
      <c r="OSZ4" s="37"/>
      <c r="OTA4" s="37"/>
      <c r="OTB4" s="37"/>
      <c r="OTC4" s="37"/>
      <c r="OTD4" s="37"/>
      <c r="OTE4" s="37"/>
      <c r="OTF4" s="37"/>
      <c r="OTG4" s="37"/>
      <c r="OTH4" s="37"/>
      <c r="OTI4" s="37"/>
      <c r="OTJ4" s="37"/>
      <c r="OTK4" s="37"/>
      <c r="OTL4" s="37"/>
      <c r="OTM4" s="37"/>
      <c r="OTN4" s="37"/>
      <c r="OTO4" s="37"/>
      <c r="OTP4" s="37"/>
      <c r="OTQ4" s="37"/>
      <c r="OTR4" s="37"/>
      <c r="OTS4" s="37"/>
      <c r="OTT4" s="37"/>
      <c r="OTU4" s="37"/>
      <c r="OTV4" s="37"/>
      <c r="OTW4" s="37"/>
      <c r="OTX4" s="37"/>
      <c r="OTY4" s="37"/>
      <c r="OTZ4" s="37"/>
      <c r="OUA4" s="37"/>
      <c r="OUB4" s="37"/>
      <c r="OUC4" s="37"/>
      <c r="OUD4" s="37"/>
      <c r="OUE4" s="37"/>
      <c r="OUF4" s="37"/>
      <c r="OUG4" s="37"/>
      <c r="OUH4" s="37"/>
      <c r="OUI4" s="37"/>
      <c r="OUJ4" s="37"/>
      <c r="OUK4" s="37"/>
      <c r="OUL4" s="37"/>
      <c r="OUM4" s="37"/>
      <c r="OUN4" s="37"/>
      <c r="OUO4" s="37"/>
      <c r="OUP4" s="37"/>
      <c r="OUQ4" s="37"/>
      <c r="OUR4" s="37"/>
      <c r="OUS4" s="37"/>
      <c r="OUT4" s="37"/>
      <c r="OUU4" s="37"/>
      <c r="OUV4" s="37"/>
      <c r="OUW4" s="37"/>
      <c r="OUX4" s="37"/>
      <c r="OUY4" s="37"/>
      <c r="OUZ4" s="37"/>
      <c r="OVA4" s="37"/>
      <c r="OVB4" s="37"/>
      <c r="OVC4" s="37"/>
      <c r="OVD4" s="37"/>
      <c r="OVE4" s="37"/>
      <c r="OVF4" s="37"/>
      <c r="OVG4" s="37"/>
      <c r="OVH4" s="37"/>
      <c r="OVI4" s="37"/>
      <c r="OVJ4" s="37"/>
      <c r="OVK4" s="37"/>
      <c r="OVL4" s="37"/>
      <c r="OVM4" s="37"/>
      <c r="OVN4" s="37"/>
      <c r="OVO4" s="37"/>
      <c r="OVP4" s="37"/>
      <c r="OVQ4" s="37"/>
      <c r="OVR4" s="37"/>
      <c r="OVS4" s="37"/>
      <c r="OVT4" s="37"/>
      <c r="OVU4" s="37"/>
      <c r="OVV4" s="37"/>
      <c r="OVW4" s="37"/>
      <c r="OVX4" s="37"/>
      <c r="OVY4" s="37"/>
      <c r="OVZ4" s="37"/>
      <c r="OWA4" s="37"/>
      <c r="OWB4" s="37"/>
      <c r="OWC4" s="37"/>
      <c r="OWD4" s="37"/>
      <c r="OWE4" s="37"/>
      <c r="OWF4" s="37"/>
      <c r="OWG4" s="37"/>
      <c r="OWH4" s="37"/>
      <c r="OWI4" s="37"/>
      <c r="OWJ4" s="37"/>
      <c r="OWK4" s="37"/>
      <c r="OWL4" s="37"/>
      <c r="OWM4" s="37"/>
      <c r="OWN4" s="37"/>
      <c r="OWO4" s="37"/>
      <c r="OWP4" s="37"/>
      <c r="OWQ4" s="37"/>
      <c r="OWR4" s="37"/>
      <c r="OWS4" s="37"/>
      <c r="OWT4" s="37"/>
      <c r="OWU4" s="37"/>
      <c r="OWV4" s="37"/>
      <c r="OWW4" s="37"/>
      <c r="OWX4" s="37"/>
      <c r="OWY4" s="37"/>
      <c r="OWZ4" s="37"/>
      <c r="OXA4" s="37"/>
      <c r="OXB4" s="37"/>
      <c r="OXC4" s="37"/>
      <c r="OXD4" s="37"/>
      <c r="OXE4" s="37"/>
      <c r="OXF4" s="37"/>
      <c r="OXG4" s="37"/>
      <c r="OXH4" s="37"/>
      <c r="OXI4" s="37"/>
      <c r="OXJ4" s="37"/>
      <c r="OXK4" s="37"/>
      <c r="OXL4" s="37"/>
      <c r="OXM4" s="37"/>
      <c r="OXN4" s="37"/>
      <c r="OXO4" s="37"/>
      <c r="OXP4" s="37"/>
      <c r="OXQ4" s="37"/>
      <c r="OXR4" s="37"/>
      <c r="OXS4" s="37"/>
      <c r="OXT4" s="37"/>
      <c r="OXU4" s="37"/>
      <c r="OXV4" s="37"/>
      <c r="OXW4" s="37"/>
      <c r="OXX4" s="37"/>
      <c r="OXY4" s="37"/>
      <c r="OXZ4" s="37"/>
      <c r="OYA4" s="37"/>
      <c r="OYB4" s="37"/>
      <c r="OYC4" s="37"/>
      <c r="OYD4" s="37"/>
      <c r="OYE4" s="37"/>
      <c r="OYF4" s="37"/>
      <c r="OYG4" s="37"/>
      <c r="OYH4" s="37"/>
      <c r="OYI4" s="37"/>
      <c r="OYJ4" s="37"/>
      <c r="OYK4" s="37"/>
      <c r="OYL4" s="37"/>
      <c r="OYM4" s="37"/>
      <c r="OYN4" s="37"/>
      <c r="OYO4" s="37"/>
      <c r="OYP4" s="37"/>
      <c r="OYQ4" s="37"/>
      <c r="OYR4" s="37"/>
      <c r="OYS4" s="37"/>
      <c r="OYT4" s="37"/>
      <c r="OYU4" s="37"/>
      <c r="OYV4" s="37"/>
      <c r="OYW4" s="37"/>
      <c r="OYX4" s="37"/>
      <c r="OYY4" s="37"/>
      <c r="OYZ4" s="37"/>
      <c r="OZA4" s="37"/>
      <c r="OZB4" s="37"/>
      <c r="OZC4" s="37"/>
      <c r="OZD4" s="37"/>
      <c r="OZE4" s="37"/>
      <c r="OZF4" s="37"/>
      <c r="OZG4" s="37"/>
      <c r="OZH4" s="37"/>
      <c r="OZI4" s="37"/>
      <c r="OZJ4" s="37"/>
      <c r="OZK4" s="37"/>
      <c r="OZL4" s="37"/>
      <c r="OZM4" s="37"/>
      <c r="OZN4" s="37"/>
      <c r="OZO4" s="37"/>
      <c r="OZP4" s="37"/>
      <c r="OZQ4" s="37"/>
      <c r="OZR4" s="37"/>
      <c r="OZS4" s="37"/>
      <c r="OZT4" s="37"/>
      <c r="OZU4" s="37"/>
      <c r="OZV4" s="37"/>
      <c r="OZW4" s="37"/>
      <c r="OZX4" s="37"/>
      <c r="OZY4" s="37"/>
      <c r="OZZ4" s="37"/>
      <c r="PAA4" s="37"/>
      <c r="PAB4" s="37"/>
      <c r="PAC4" s="37"/>
      <c r="PAD4" s="37"/>
      <c r="PAE4" s="37"/>
      <c r="PAF4" s="37"/>
      <c r="PAG4" s="37"/>
      <c r="PAH4" s="37"/>
      <c r="PAI4" s="37"/>
      <c r="PAJ4" s="37"/>
      <c r="PAK4" s="37"/>
      <c r="PAL4" s="37"/>
      <c r="PAM4" s="37"/>
      <c r="PAN4" s="37"/>
      <c r="PAO4" s="37"/>
      <c r="PAP4" s="37"/>
      <c r="PAQ4" s="37"/>
      <c r="PAR4" s="37"/>
      <c r="PAS4" s="37"/>
      <c r="PAT4" s="37"/>
      <c r="PAU4" s="37"/>
      <c r="PAV4" s="37"/>
      <c r="PAW4" s="37"/>
      <c r="PAX4" s="37"/>
      <c r="PAY4" s="37"/>
      <c r="PAZ4" s="37"/>
      <c r="PBA4" s="37"/>
      <c r="PBB4" s="37"/>
      <c r="PBC4" s="37"/>
      <c r="PBD4" s="37"/>
      <c r="PBE4" s="37"/>
      <c r="PBF4" s="37"/>
      <c r="PBG4" s="37"/>
      <c r="PBH4" s="37"/>
      <c r="PBI4" s="37"/>
      <c r="PBJ4" s="37"/>
      <c r="PBK4" s="37"/>
      <c r="PBL4" s="37"/>
      <c r="PBM4" s="37"/>
      <c r="PBN4" s="37"/>
      <c r="PBO4" s="37"/>
      <c r="PBP4" s="37"/>
      <c r="PBQ4" s="37"/>
      <c r="PBR4" s="37"/>
      <c r="PBS4" s="37"/>
      <c r="PBT4" s="37"/>
      <c r="PBU4" s="37"/>
      <c r="PBV4" s="37"/>
      <c r="PBW4" s="37"/>
      <c r="PBX4" s="37"/>
      <c r="PBY4" s="37"/>
      <c r="PBZ4" s="37"/>
      <c r="PCA4" s="37"/>
      <c r="PCB4" s="37"/>
      <c r="PCC4" s="37"/>
      <c r="PCD4" s="37"/>
      <c r="PCE4" s="37"/>
      <c r="PCF4" s="37"/>
      <c r="PCG4" s="37"/>
      <c r="PCH4" s="37"/>
      <c r="PCI4" s="37"/>
      <c r="PCJ4" s="37"/>
      <c r="PCK4" s="37"/>
      <c r="PCL4" s="37"/>
      <c r="PCM4" s="37"/>
      <c r="PCN4" s="37"/>
      <c r="PCO4" s="37"/>
      <c r="PCP4" s="37"/>
      <c r="PCQ4" s="37"/>
      <c r="PCR4" s="37"/>
      <c r="PCS4" s="37"/>
      <c r="PCT4" s="37"/>
      <c r="PCU4" s="37"/>
      <c r="PCV4" s="37"/>
      <c r="PCW4" s="37"/>
      <c r="PCX4" s="37"/>
      <c r="PCY4" s="37"/>
      <c r="PCZ4" s="37"/>
      <c r="PDA4" s="37"/>
      <c r="PDB4" s="37"/>
      <c r="PDC4" s="37"/>
      <c r="PDD4" s="37"/>
      <c r="PDE4" s="37"/>
      <c r="PDF4" s="37"/>
      <c r="PDG4" s="37"/>
      <c r="PDH4" s="37"/>
      <c r="PDI4" s="37"/>
      <c r="PDJ4" s="37"/>
      <c r="PDK4" s="37"/>
      <c r="PDL4" s="37"/>
      <c r="PDM4" s="37"/>
      <c r="PDN4" s="37"/>
      <c r="PDO4" s="37"/>
      <c r="PDP4" s="37"/>
      <c r="PDQ4" s="37"/>
      <c r="PDR4" s="37"/>
      <c r="PDS4" s="37"/>
      <c r="PDT4" s="37"/>
      <c r="PDU4" s="37"/>
      <c r="PDV4" s="37"/>
      <c r="PDW4" s="37"/>
      <c r="PDX4" s="37"/>
      <c r="PDY4" s="37"/>
      <c r="PDZ4" s="37"/>
      <c r="PEA4" s="37"/>
      <c r="PEB4" s="37"/>
      <c r="PEC4" s="37"/>
      <c r="PED4" s="37"/>
      <c r="PEE4" s="37"/>
      <c r="PEF4" s="37"/>
      <c r="PEG4" s="37"/>
      <c r="PEH4" s="37"/>
      <c r="PEI4" s="37"/>
      <c r="PEJ4" s="37"/>
      <c r="PEK4" s="37"/>
      <c r="PEL4" s="37"/>
      <c r="PEM4" s="37"/>
      <c r="PEN4" s="37"/>
      <c r="PEO4" s="37"/>
      <c r="PEP4" s="37"/>
      <c r="PEQ4" s="37"/>
      <c r="PER4" s="37"/>
      <c r="PES4" s="37"/>
      <c r="PET4" s="37"/>
      <c r="PEU4" s="37"/>
      <c r="PEV4" s="37"/>
      <c r="PEW4" s="37"/>
      <c r="PEX4" s="37"/>
      <c r="PEY4" s="37"/>
      <c r="PEZ4" s="37"/>
      <c r="PFA4" s="37"/>
      <c r="PFB4" s="37"/>
      <c r="PFC4" s="37"/>
      <c r="PFD4" s="37"/>
      <c r="PFE4" s="37"/>
      <c r="PFF4" s="37"/>
      <c r="PFG4" s="37"/>
      <c r="PFH4" s="37"/>
      <c r="PFI4" s="37"/>
      <c r="PFJ4" s="37"/>
      <c r="PFK4" s="37"/>
      <c r="PFL4" s="37"/>
      <c r="PFM4" s="37"/>
      <c r="PFN4" s="37"/>
      <c r="PFO4" s="37"/>
      <c r="PFP4" s="37"/>
      <c r="PFQ4" s="37"/>
      <c r="PFR4" s="37"/>
      <c r="PFS4" s="37"/>
      <c r="PFT4" s="37"/>
      <c r="PFU4" s="37"/>
      <c r="PFV4" s="37"/>
      <c r="PFW4" s="37"/>
      <c r="PFX4" s="37"/>
      <c r="PFY4" s="37"/>
      <c r="PFZ4" s="37"/>
      <c r="PGA4" s="37"/>
      <c r="PGB4" s="37"/>
      <c r="PGC4" s="37"/>
      <c r="PGD4" s="37"/>
      <c r="PGE4" s="37"/>
      <c r="PGF4" s="37"/>
      <c r="PGG4" s="37"/>
      <c r="PGH4" s="37"/>
      <c r="PGI4" s="37"/>
      <c r="PGJ4" s="37"/>
      <c r="PGK4" s="37"/>
      <c r="PGL4" s="37"/>
      <c r="PGM4" s="37"/>
      <c r="PGN4" s="37"/>
      <c r="PGO4" s="37"/>
      <c r="PGP4" s="37"/>
      <c r="PGQ4" s="37"/>
      <c r="PGR4" s="37"/>
      <c r="PGS4" s="37"/>
      <c r="PGT4" s="37"/>
      <c r="PGU4" s="37"/>
      <c r="PGV4" s="37"/>
      <c r="PGW4" s="37"/>
      <c r="PGX4" s="37"/>
      <c r="PGY4" s="37"/>
      <c r="PGZ4" s="37"/>
      <c r="PHA4" s="37"/>
      <c r="PHB4" s="37"/>
      <c r="PHC4" s="37"/>
      <c r="PHD4" s="37"/>
      <c r="PHE4" s="37"/>
      <c r="PHF4" s="37"/>
      <c r="PHG4" s="37"/>
      <c r="PHH4" s="37"/>
      <c r="PHI4" s="37"/>
      <c r="PHJ4" s="37"/>
      <c r="PHK4" s="37"/>
      <c r="PHL4" s="37"/>
      <c r="PHM4" s="37"/>
      <c r="PHN4" s="37"/>
      <c r="PHO4" s="37"/>
      <c r="PHP4" s="37"/>
      <c r="PHQ4" s="37"/>
      <c r="PHR4" s="37"/>
      <c r="PHS4" s="37"/>
      <c r="PHT4" s="37"/>
      <c r="PHU4" s="37"/>
      <c r="PHV4" s="37"/>
      <c r="PHW4" s="37"/>
      <c r="PHX4" s="37"/>
      <c r="PHY4" s="37"/>
      <c r="PHZ4" s="37"/>
      <c r="PIA4" s="37"/>
      <c r="PIB4" s="37"/>
      <c r="PIC4" s="37"/>
      <c r="PID4" s="37"/>
      <c r="PIE4" s="37"/>
      <c r="PIF4" s="37"/>
      <c r="PIG4" s="37"/>
      <c r="PIH4" s="37"/>
      <c r="PII4" s="37"/>
      <c r="PIJ4" s="37"/>
      <c r="PIK4" s="37"/>
      <c r="PIL4" s="37"/>
      <c r="PIM4" s="37"/>
      <c r="PIN4" s="37"/>
      <c r="PIO4" s="37"/>
      <c r="PIP4" s="37"/>
      <c r="PIQ4" s="37"/>
      <c r="PIR4" s="37"/>
      <c r="PIS4" s="37"/>
      <c r="PIT4" s="37"/>
      <c r="PIU4" s="37"/>
      <c r="PIV4" s="37"/>
      <c r="PIW4" s="37"/>
      <c r="PIX4" s="37"/>
      <c r="PIY4" s="37"/>
      <c r="PIZ4" s="37"/>
      <c r="PJA4" s="37"/>
      <c r="PJB4" s="37"/>
      <c r="PJC4" s="37"/>
      <c r="PJD4" s="37"/>
      <c r="PJE4" s="37"/>
      <c r="PJF4" s="37"/>
      <c r="PJG4" s="37"/>
      <c r="PJH4" s="37"/>
      <c r="PJI4" s="37"/>
      <c r="PJJ4" s="37"/>
      <c r="PJK4" s="37"/>
      <c r="PJL4" s="37"/>
      <c r="PJM4" s="37"/>
      <c r="PJN4" s="37"/>
      <c r="PJO4" s="37"/>
      <c r="PJP4" s="37"/>
      <c r="PJQ4" s="37"/>
      <c r="PJR4" s="37"/>
      <c r="PJS4" s="37"/>
      <c r="PJT4" s="37"/>
      <c r="PJU4" s="37"/>
      <c r="PJV4" s="37"/>
      <c r="PJW4" s="37"/>
      <c r="PJX4" s="37"/>
      <c r="PJY4" s="37"/>
      <c r="PJZ4" s="37"/>
      <c r="PKA4" s="37"/>
      <c r="PKB4" s="37"/>
      <c r="PKC4" s="37"/>
      <c r="PKD4" s="37"/>
      <c r="PKE4" s="37"/>
      <c r="PKF4" s="37"/>
      <c r="PKG4" s="37"/>
      <c r="PKH4" s="37"/>
      <c r="PKI4" s="37"/>
      <c r="PKJ4" s="37"/>
      <c r="PKK4" s="37"/>
      <c r="PKL4" s="37"/>
      <c r="PKM4" s="37"/>
      <c r="PKN4" s="37"/>
      <c r="PKO4" s="37"/>
      <c r="PKP4" s="37"/>
      <c r="PKQ4" s="37"/>
      <c r="PKR4" s="37"/>
      <c r="PKS4" s="37"/>
      <c r="PKT4" s="37"/>
      <c r="PKU4" s="37"/>
      <c r="PKV4" s="37"/>
      <c r="PKW4" s="37"/>
      <c r="PKX4" s="37"/>
      <c r="PKY4" s="37"/>
      <c r="PKZ4" s="37"/>
      <c r="PLA4" s="37"/>
      <c r="PLB4" s="37"/>
      <c r="PLC4" s="37"/>
      <c r="PLD4" s="37"/>
      <c r="PLE4" s="37"/>
      <c r="PLF4" s="37"/>
      <c r="PLG4" s="37"/>
      <c r="PLH4" s="37"/>
      <c r="PLI4" s="37"/>
      <c r="PLJ4" s="37"/>
      <c r="PLK4" s="37"/>
      <c r="PLL4" s="37"/>
      <c r="PLM4" s="37"/>
      <c r="PLN4" s="37"/>
      <c r="PLO4" s="37"/>
      <c r="PLP4" s="37"/>
      <c r="PLQ4" s="37"/>
      <c r="PLR4" s="37"/>
      <c r="PLS4" s="37"/>
      <c r="PLT4" s="37"/>
      <c r="PLU4" s="37"/>
      <c r="PLV4" s="37"/>
      <c r="PLW4" s="37"/>
      <c r="PLX4" s="37"/>
      <c r="PLY4" s="37"/>
      <c r="PLZ4" s="37"/>
      <c r="PMA4" s="37"/>
      <c r="PMB4" s="37"/>
      <c r="PMC4" s="37"/>
      <c r="PMD4" s="37"/>
      <c r="PME4" s="37"/>
      <c r="PMF4" s="37"/>
      <c r="PMG4" s="37"/>
      <c r="PMH4" s="37"/>
      <c r="PMI4" s="37"/>
      <c r="PMJ4" s="37"/>
      <c r="PMK4" s="37"/>
      <c r="PML4" s="37"/>
      <c r="PMM4" s="37"/>
      <c r="PMN4" s="37"/>
      <c r="PMO4" s="37"/>
      <c r="PMP4" s="37"/>
      <c r="PMQ4" s="37"/>
      <c r="PMR4" s="37"/>
      <c r="PMS4" s="37"/>
      <c r="PMT4" s="37"/>
      <c r="PMU4" s="37"/>
      <c r="PMV4" s="37"/>
      <c r="PMW4" s="37"/>
      <c r="PMX4" s="37"/>
      <c r="PMY4" s="37"/>
      <c r="PMZ4" s="37"/>
      <c r="PNA4" s="37"/>
      <c r="PNB4" s="37"/>
      <c r="PNC4" s="37"/>
      <c r="PND4" s="37"/>
      <c r="PNE4" s="37"/>
      <c r="PNF4" s="37"/>
      <c r="PNG4" s="37"/>
      <c r="PNH4" s="37"/>
      <c r="PNI4" s="37"/>
      <c r="PNJ4" s="37"/>
      <c r="PNK4" s="37"/>
      <c r="PNL4" s="37"/>
      <c r="PNM4" s="37"/>
      <c r="PNN4" s="37"/>
      <c r="PNO4" s="37"/>
      <c r="PNP4" s="37"/>
      <c r="PNQ4" s="37"/>
      <c r="PNR4" s="37"/>
      <c r="PNS4" s="37"/>
      <c r="PNT4" s="37"/>
      <c r="PNU4" s="37"/>
      <c r="PNV4" s="37"/>
      <c r="PNW4" s="37"/>
      <c r="PNX4" s="37"/>
      <c r="PNY4" s="37"/>
      <c r="PNZ4" s="37"/>
      <c r="POA4" s="37"/>
      <c r="POB4" s="37"/>
      <c r="POC4" s="37"/>
      <c r="POD4" s="37"/>
      <c r="POE4" s="37"/>
      <c r="POF4" s="37"/>
      <c r="POG4" s="37"/>
      <c r="POH4" s="37"/>
      <c r="POI4" s="37"/>
      <c r="POJ4" s="37"/>
      <c r="POK4" s="37"/>
      <c r="POL4" s="37"/>
      <c r="POM4" s="37"/>
      <c r="PON4" s="37"/>
      <c r="POO4" s="37"/>
      <c r="POP4" s="37"/>
      <c r="POQ4" s="37"/>
      <c r="POR4" s="37"/>
      <c r="POS4" s="37"/>
      <c r="POT4" s="37"/>
      <c r="POU4" s="37"/>
      <c r="POV4" s="37"/>
      <c r="POW4" s="37"/>
      <c r="POX4" s="37"/>
      <c r="POY4" s="37"/>
      <c r="POZ4" s="37"/>
      <c r="PPA4" s="37"/>
      <c r="PPB4" s="37"/>
      <c r="PPC4" s="37"/>
      <c r="PPD4" s="37"/>
      <c r="PPE4" s="37"/>
      <c r="PPF4" s="37"/>
      <c r="PPG4" s="37"/>
      <c r="PPH4" s="37"/>
      <c r="PPI4" s="37"/>
      <c r="PPJ4" s="37"/>
      <c r="PPK4" s="37"/>
      <c r="PPL4" s="37"/>
      <c r="PPM4" s="37"/>
      <c r="PPN4" s="37"/>
      <c r="PPO4" s="37"/>
      <c r="PPP4" s="37"/>
      <c r="PPQ4" s="37"/>
      <c r="PPR4" s="37"/>
      <c r="PPS4" s="37"/>
      <c r="PPT4" s="37"/>
      <c r="PPU4" s="37"/>
      <c r="PPV4" s="37"/>
      <c r="PPW4" s="37"/>
      <c r="PPX4" s="37"/>
      <c r="PPY4" s="37"/>
      <c r="PPZ4" s="37"/>
      <c r="PQA4" s="37"/>
      <c r="PQB4" s="37"/>
      <c r="PQC4" s="37"/>
      <c r="PQD4" s="37"/>
      <c r="PQE4" s="37"/>
      <c r="PQF4" s="37"/>
      <c r="PQG4" s="37"/>
      <c r="PQH4" s="37"/>
      <c r="PQI4" s="37"/>
      <c r="PQJ4" s="37"/>
      <c r="PQK4" s="37"/>
      <c r="PQL4" s="37"/>
      <c r="PQM4" s="37"/>
      <c r="PQN4" s="37"/>
      <c r="PQO4" s="37"/>
      <c r="PQP4" s="37"/>
      <c r="PQQ4" s="37"/>
      <c r="PQR4" s="37"/>
      <c r="PQS4" s="37"/>
      <c r="PQT4" s="37"/>
      <c r="PQU4" s="37"/>
      <c r="PQV4" s="37"/>
      <c r="PQW4" s="37"/>
      <c r="PQX4" s="37"/>
      <c r="PQY4" s="37"/>
      <c r="PQZ4" s="37"/>
      <c r="PRA4" s="37"/>
      <c r="PRB4" s="37"/>
      <c r="PRC4" s="37"/>
      <c r="PRD4" s="37"/>
      <c r="PRE4" s="37"/>
      <c r="PRF4" s="37"/>
      <c r="PRG4" s="37"/>
      <c r="PRH4" s="37"/>
      <c r="PRI4" s="37"/>
      <c r="PRJ4" s="37"/>
      <c r="PRK4" s="37"/>
      <c r="PRL4" s="37"/>
      <c r="PRM4" s="37"/>
      <c r="PRN4" s="37"/>
      <c r="PRO4" s="37"/>
      <c r="PRP4" s="37"/>
      <c r="PRQ4" s="37"/>
      <c r="PRR4" s="37"/>
      <c r="PRS4" s="37"/>
      <c r="PRT4" s="37"/>
      <c r="PRU4" s="37"/>
      <c r="PRV4" s="37"/>
      <c r="PRW4" s="37"/>
      <c r="PRX4" s="37"/>
      <c r="PRY4" s="37"/>
      <c r="PRZ4" s="37"/>
      <c r="PSA4" s="37"/>
      <c r="PSB4" s="37"/>
      <c r="PSC4" s="37"/>
      <c r="PSD4" s="37"/>
      <c r="PSE4" s="37"/>
      <c r="PSF4" s="37"/>
      <c r="PSG4" s="37"/>
      <c r="PSH4" s="37"/>
      <c r="PSI4" s="37"/>
      <c r="PSJ4" s="37"/>
      <c r="PSK4" s="37"/>
      <c r="PSL4" s="37"/>
      <c r="PSM4" s="37"/>
      <c r="PSN4" s="37"/>
      <c r="PSO4" s="37"/>
      <c r="PSP4" s="37"/>
      <c r="PSQ4" s="37"/>
      <c r="PSR4" s="37"/>
      <c r="PSS4" s="37"/>
      <c r="PST4" s="37"/>
      <c r="PSU4" s="37"/>
      <c r="PSV4" s="37"/>
      <c r="PSW4" s="37"/>
      <c r="PSX4" s="37"/>
      <c r="PSY4" s="37"/>
      <c r="PSZ4" s="37"/>
      <c r="PTA4" s="37"/>
      <c r="PTB4" s="37"/>
      <c r="PTC4" s="37"/>
      <c r="PTD4" s="37"/>
      <c r="PTE4" s="37"/>
      <c r="PTF4" s="37"/>
      <c r="PTG4" s="37"/>
      <c r="PTH4" s="37"/>
      <c r="PTI4" s="37"/>
      <c r="PTJ4" s="37"/>
      <c r="PTK4" s="37"/>
      <c r="PTL4" s="37"/>
      <c r="PTM4" s="37"/>
      <c r="PTN4" s="37"/>
      <c r="PTO4" s="37"/>
      <c r="PTP4" s="37"/>
      <c r="PTQ4" s="37"/>
      <c r="PTR4" s="37"/>
      <c r="PTS4" s="37"/>
      <c r="PTT4" s="37"/>
      <c r="PTU4" s="37"/>
      <c r="PTV4" s="37"/>
      <c r="PTW4" s="37"/>
      <c r="PTX4" s="37"/>
      <c r="PTY4" s="37"/>
      <c r="PTZ4" s="37"/>
      <c r="PUA4" s="37"/>
      <c r="PUB4" s="37"/>
      <c r="PUC4" s="37"/>
      <c r="PUD4" s="37"/>
      <c r="PUE4" s="37"/>
      <c r="PUF4" s="37"/>
      <c r="PUG4" s="37"/>
      <c r="PUH4" s="37"/>
      <c r="PUI4" s="37"/>
      <c r="PUJ4" s="37"/>
      <c r="PUK4" s="37"/>
      <c r="PUL4" s="37"/>
      <c r="PUM4" s="37"/>
      <c r="PUN4" s="37"/>
      <c r="PUO4" s="37"/>
      <c r="PUP4" s="37"/>
      <c r="PUQ4" s="37"/>
      <c r="PUR4" s="37"/>
      <c r="PUS4" s="37"/>
      <c r="PUT4" s="37"/>
      <c r="PUU4" s="37"/>
      <c r="PUV4" s="37"/>
      <c r="PUW4" s="37"/>
      <c r="PUX4" s="37"/>
      <c r="PUY4" s="37"/>
      <c r="PUZ4" s="37"/>
      <c r="PVA4" s="37"/>
      <c r="PVB4" s="37"/>
      <c r="PVC4" s="37"/>
      <c r="PVD4" s="37"/>
      <c r="PVE4" s="37"/>
      <c r="PVF4" s="37"/>
      <c r="PVG4" s="37"/>
      <c r="PVH4" s="37"/>
      <c r="PVI4" s="37"/>
      <c r="PVJ4" s="37"/>
      <c r="PVK4" s="37"/>
      <c r="PVL4" s="37"/>
      <c r="PVM4" s="37"/>
      <c r="PVN4" s="37"/>
      <c r="PVO4" s="37"/>
      <c r="PVP4" s="37"/>
      <c r="PVQ4" s="37"/>
      <c r="PVR4" s="37"/>
      <c r="PVS4" s="37"/>
      <c r="PVT4" s="37"/>
      <c r="PVU4" s="37"/>
      <c r="PVV4" s="37"/>
      <c r="PVW4" s="37"/>
      <c r="PVX4" s="37"/>
      <c r="PVY4" s="37"/>
      <c r="PVZ4" s="37"/>
      <c r="PWA4" s="37"/>
      <c r="PWB4" s="37"/>
      <c r="PWC4" s="37"/>
      <c r="PWD4" s="37"/>
      <c r="PWE4" s="37"/>
      <c r="PWF4" s="37"/>
      <c r="PWG4" s="37"/>
      <c r="PWH4" s="37"/>
      <c r="PWI4" s="37"/>
      <c r="PWJ4" s="37"/>
      <c r="PWK4" s="37"/>
      <c r="PWL4" s="37"/>
      <c r="PWM4" s="37"/>
      <c r="PWN4" s="37"/>
      <c r="PWO4" s="37"/>
      <c r="PWP4" s="37"/>
      <c r="PWQ4" s="37"/>
      <c r="PWR4" s="37"/>
      <c r="PWS4" s="37"/>
      <c r="PWT4" s="37"/>
      <c r="PWU4" s="37"/>
      <c r="PWV4" s="37"/>
      <c r="PWW4" s="37"/>
      <c r="PWX4" s="37"/>
      <c r="PWY4" s="37"/>
      <c r="PWZ4" s="37"/>
      <c r="PXA4" s="37"/>
      <c r="PXB4" s="37"/>
      <c r="PXC4" s="37"/>
      <c r="PXD4" s="37"/>
      <c r="PXE4" s="37"/>
      <c r="PXF4" s="37"/>
      <c r="PXG4" s="37"/>
      <c r="PXH4" s="37"/>
      <c r="PXI4" s="37"/>
      <c r="PXJ4" s="37"/>
      <c r="PXK4" s="37"/>
      <c r="PXL4" s="37"/>
      <c r="PXM4" s="37"/>
      <c r="PXN4" s="37"/>
      <c r="PXO4" s="37"/>
      <c r="PXP4" s="37"/>
      <c r="PXQ4" s="37"/>
      <c r="PXR4" s="37"/>
      <c r="PXS4" s="37"/>
      <c r="PXT4" s="37"/>
      <c r="PXU4" s="37"/>
      <c r="PXV4" s="37"/>
      <c r="PXW4" s="37"/>
      <c r="PXX4" s="37"/>
      <c r="PXY4" s="37"/>
      <c r="PXZ4" s="37"/>
      <c r="PYA4" s="37"/>
      <c r="PYB4" s="37"/>
      <c r="PYC4" s="37"/>
      <c r="PYD4" s="37"/>
      <c r="PYE4" s="37"/>
      <c r="PYF4" s="37"/>
      <c r="PYG4" s="37"/>
      <c r="PYH4" s="37"/>
      <c r="PYI4" s="37"/>
      <c r="PYJ4" s="37"/>
      <c r="PYK4" s="37"/>
      <c r="PYL4" s="37"/>
      <c r="PYM4" s="37"/>
      <c r="PYN4" s="37"/>
      <c r="PYO4" s="37"/>
      <c r="PYP4" s="37"/>
      <c r="PYQ4" s="37"/>
      <c r="PYR4" s="37"/>
      <c r="PYS4" s="37"/>
      <c r="PYT4" s="37"/>
      <c r="PYU4" s="37"/>
      <c r="PYV4" s="37"/>
      <c r="PYW4" s="37"/>
      <c r="PYX4" s="37"/>
      <c r="PYY4" s="37"/>
      <c r="PYZ4" s="37"/>
      <c r="PZA4" s="37"/>
      <c r="PZB4" s="37"/>
      <c r="PZC4" s="37"/>
      <c r="PZD4" s="37"/>
      <c r="PZE4" s="37"/>
      <c r="PZF4" s="37"/>
      <c r="PZG4" s="37"/>
      <c r="PZH4" s="37"/>
      <c r="PZI4" s="37"/>
      <c r="PZJ4" s="37"/>
      <c r="PZK4" s="37"/>
      <c r="PZL4" s="37"/>
      <c r="PZM4" s="37"/>
      <c r="PZN4" s="37"/>
      <c r="PZO4" s="37"/>
      <c r="PZP4" s="37"/>
      <c r="PZQ4" s="37"/>
      <c r="PZR4" s="37"/>
      <c r="PZS4" s="37"/>
      <c r="PZT4" s="37"/>
      <c r="PZU4" s="37"/>
      <c r="PZV4" s="37"/>
      <c r="PZW4" s="37"/>
      <c r="PZX4" s="37"/>
      <c r="PZY4" s="37"/>
      <c r="PZZ4" s="37"/>
      <c r="QAA4" s="37"/>
      <c r="QAB4" s="37"/>
      <c r="QAC4" s="37"/>
      <c r="QAD4" s="37"/>
      <c r="QAE4" s="37"/>
      <c r="QAF4" s="37"/>
      <c r="QAG4" s="37"/>
      <c r="QAH4" s="37"/>
      <c r="QAI4" s="37"/>
      <c r="QAJ4" s="37"/>
      <c r="QAK4" s="37"/>
      <c r="QAL4" s="37"/>
      <c r="QAM4" s="37"/>
      <c r="QAN4" s="37"/>
      <c r="QAO4" s="37"/>
      <c r="QAP4" s="37"/>
      <c r="QAQ4" s="37"/>
      <c r="QAR4" s="37"/>
      <c r="QAS4" s="37"/>
      <c r="QAT4" s="37"/>
      <c r="QAU4" s="37"/>
      <c r="QAV4" s="37"/>
      <c r="QAW4" s="37"/>
      <c r="QAX4" s="37"/>
      <c r="QAY4" s="37"/>
      <c r="QAZ4" s="37"/>
      <c r="QBA4" s="37"/>
      <c r="QBB4" s="37"/>
      <c r="QBC4" s="37"/>
      <c r="QBD4" s="37"/>
      <c r="QBE4" s="37"/>
      <c r="QBF4" s="37"/>
      <c r="QBG4" s="37"/>
      <c r="QBH4" s="37"/>
      <c r="QBI4" s="37"/>
      <c r="QBJ4" s="37"/>
      <c r="QBK4" s="37"/>
      <c r="QBL4" s="37"/>
      <c r="QBM4" s="37"/>
      <c r="QBN4" s="37"/>
      <c r="QBO4" s="37"/>
      <c r="QBP4" s="37"/>
      <c r="QBQ4" s="37"/>
      <c r="QBR4" s="37"/>
      <c r="QBS4" s="37"/>
      <c r="QBT4" s="37"/>
      <c r="QBU4" s="37"/>
      <c r="QBV4" s="37"/>
      <c r="QBW4" s="37"/>
      <c r="QBX4" s="37"/>
      <c r="QBY4" s="37"/>
      <c r="QBZ4" s="37"/>
      <c r="QCA4" s="37"/>
      <c r="QCB4" s="37"/>
      <c r="QCC4" s="37"/>
      <c r="QCD4" s="37"/>
      <c r="QCE4" s="37"/>
      <c r="QCF4" s="37"/>
      <c r="QCG4" s="37"/>
      <c r="QCH4" s="37"/>
      <c r="QCI4" s="37"/>
      <c r="QCJ4" s="37"/>
      <c r="QCK4" s="37"/>
      <c r="QCL4" s="37"/>
      <c r="QCM4" s="37"/>
      <c r="QCN4" s="37"/>
      <c r="QCO4" s="37"/>
      <c r="QCP4" s="37"/>
      <c r="QCQ4" s="37"/>
      <c r="QCR4" s="37"/>
      <c r="QCS4" s="37"/>
      <c r="QCT4" s="37"/>
      <c r="QCU4" s="37"/>
      <c r="QCV4" s="37"/>
      <c r="QCW4" s="37"/>
      <c r="QCX4" s="37"/>
      <c r="QCY4" s="37"/>
      <c r="QCZ4" s="37"/>
      <c r="QDA4" s="37"/>
      <c r="QDB4" s="37"/>
      <c r="QDC4" s="37"/>
      <c r="QDD4" s="37"/>
      <c r="QDE4" s="37"/>
      <c r="QDF4" s="37"/>
      <c r="QDG4" s="37"/>
      <c r="QDH4" s="37"/>
      <c r="QDI4" s="37"/>
      <c r="QDJ4" s="37"/>
      <c r="QDK4" s="37"/>
      <c r="QDL4" s="37"/>
      <c r="QDM4" s="37"/>
      <c r="QDN4" s="37"/>
      <c r="QDO4" s="37"/>
      <c r="QDP4" s="37"/>
      <c r="QDQ4" s="37"/>
      <c r="QDR4" s="37"/>
      <c r="QDS4" s="37"/>
      <c r="QDT4" s="37"/>
      <c r="QDU4" s="37"/>
      <c r="QDV4" s="37"/>
      <c r="QDW4" s="37"/>
      <c r="QDX4" s="37"/>
      <c r="QDY4" s="37"/>
      <c r="QDZ4" s="37"/>
      <c r="QEA4" s="37"/>
      <c r="QEB4" s="37"/>
      <c r="QEC4" s="37"/>
      <c r="QED4" s="37"/>
      <c r="QEE4" s="37"/>
      <c r="QEF4" s="37"/>
      <c r="QEG4" s="37"/>
      <c r="QEH4" s="37"/>
      <c r="QEI4" s="37"/>
      <c r="QEJ4" s="37"/>
      <c r="QEK4" s="37"/>
      <c r="QEL4" s="37"/>
      <c r="QEM4" s="37"/>
      <c r="QEN4" s="37"/>
      <c r="QEO4" s="37"/>
      <c r="QEP4" s="37"/>
      <c r="QEQ4" s="37"/>
      <c r="QER4" s="37"/>
      <c r="QES4" s="37"/>
      <c r="QET4" s="37"/>
      <c r="QEU4" s="37"/>
      <c r="QEV4" s="37"/>
      <c r="QEW4" s="37"/>
      <c r="QEX4" s="37"/>
      <c r="QEY4" s="37"/>
      <c r="QEZ4" s="37"/>
      <c r="QFA4" s="37"/>
      <c r="QFB4" s="37"/>
      <c r="QFC4" s="37"/>
      <c r="QFD4" s="37"/>
      <c r="QFE4" s="37"/>
      <c r="QFF4" s="37"/>
      <c r="QFG4" s="37"/>
      <c r="QFH4" s="37"/>
      <c r="QFI4" s="37"/>
      <c r="QFJ4" s="37"/>
      <c r="QFK4" s="37"/>
      <c r="QFL4" s="37"/>
      <c r="QFM4" s="37"/>
      <c r="QFN4" s="37"/>
      <c r="QFO4" s="37"/>
      <c r="QFP4" s="37"/>
      <c r="QFQ4" s="37"/>
      <c r="QFR4" s="37"/>
      <c r="QFS4" s="37"/>
      <c r="QFT4" s="37"/>
      <c r="QFU4" s="37"/>
      <c r="QFV4" s="37"/>
      <c r="QFW4" s="37"/>
      <c r="QFX4" s="37"/>
      <c r="QFY4" s="37"/>
      <c r="QFZ4" s="37"/>
      <c r="QGA4" s="37"/>
      <c r="QGB4" s="37"/>
      <c r="QGC4" s="37"/>
      <c r="QGD4" s="37"/>
      <c r="QGE4" s="37"/>
      <c r="QGF4" s="37"/>
      <c r="QGG4" s="37"/>
      <c r="QGH4" s="37"/>
      <c r="QGI4" s="37"/>
      <c r="QGJ4" s="37"/>
      <c r="QGK4" s="37"/>
      <c r="QGL4" s="37"/>
      <c r="QGM4" s="37"/>
      <c r="QGN4" s="37"/>
      <c r="QGO4" s="37"/>
      <c r="QGP4" s="37"/>
      <c r="QGQ4" s="37"/>
      <c r="QGR4" s="37"/>
      <c r="QGS4" s="37"/>
      <c r="QGT4" s="37"/>
      <c r="QGU4" s="37"/>
      <c r="QGV4" s="37"/>
      <c r="QGW4" s="37"/>
      <c r="QGX4" s="37"/>
      <c r="QGY4" s="37"/>
      <c r="QGZ4" s="37"/>
      <c r="QHA4" s="37"/>
      <c r="QHB4" s="37"/>
      <c r="QHC4" s="37"/>
      <c r="QHD4" s="37"/>
      <c r="QHE4" s="37"/>
      <c r="QHF4" s="37"/>
      <c r="QHG4" s="37"/>
      <c r="QHH4" s="37"/>
      <c r="QHI4" s="37"/>
      <c r="QHJ4" s="37"/>
      <c r="QHK4" s="37"/>
      <c r="QHL4" s="37"/>
      <c r="QHM4" s="37"/>
      <c r="QHN4" s="37"/>
      <c r="QHO4" s="37"/>
      <c r="QHP4" s="37"/>
      <c r="QHQ4" s="37"/>
      <c r="QHR4" s="37"/>
      <c r="QHS4" s="37"/>
      <c r="QHT4" s="37"/>
      <c r="QHU4" s="37"/>
      <c r="QHV4" s="37"/>
      <c r="QHW4" s="37"/>
      <c r="QHX4" s="37"/>
      <c r="QHY4" s="37"/>
      <c r="QHZ4" s="37"/>
      <c r="QIA4" s="37"/>
      <c r="QIB4" s="37"/>
      <c r="QIC4" s="37"/>
      <c r="QID4" s="37"/>
      <c r="QIE4" s="37"/>
      <c r="QIF4" s="37"/>
      <c r="QIG4" s="37"/>
      <c r="QIH4" s="37"/>
      <c r="QII4" s="37"/>
      <c r="QIJ4" s="37"/>
      <c r="QIK4" s="37"/>
      <c r="QIL4" s="37"/>
      <c r="QIM4" s="37"/>
      <c r="QIN4" s="37"/>
      <c r="QIO4" s="37"/>
      <c r="QIP4" s="37"/>
      <c r="QIQ4" s="37"/>
      <c r="QIR4" s="37"/>
      <c r="QIS4" s="37"/>
      <c r="QIT4" s="37"/>
      <c r="QIU4" s="37"/>
      <c r="QIV4" s="37"/>
      <c r="QIW4" s="37"/>
      <c r="QIX4" s="37"/>
      <c r="QIY4" s="37"/>
      <c r="QIZ4" s="37"/>
      <c r="QJA4" s="37"/>
      <c r="QJB4" s="37"/>
      <c r="QJC4" s="37"/>
      <c r="QJD4" s="37"/>
      <c r="QJE4" s="37"/>
      <c r="QJF4" s="37"/>
      <c r="QJG4" s="37"/>
      <c r="QJH4" s="37"/>
      <c r="QJI4" s="37"/>
      <c r="QJJ4" s="37"/>
      <c r="QJK4" s="37"/>
      <c r="QJL4" s="37"/>
      <c r="QJM4" s="37"/>
      <c r="QJN4" s="37"/>
      <c r="QJO4" s="37"/>
      <c r="QJP4" s="37"/>
      <c r="QJQ4" s="37"/>
      <c r="QJR4" s="37"/>
      <c r="QJS4" s="37"/>
      <c r="QJT4" s="37"/>
      <c r="QJU4" s="37"/>
      <c r="QJV4" s="37"/>
      <c r="QJW4" s="37"/>
      <c r="QJX4" s="37"/>
      <c r="QJY4" s="37"/>
      <c r="QJZ4" s="37"/>
      <c r="QKA4" s="37"/>
      <c r="QKB4" s="37"/>
      <c r="QKC4" s="37"/>
      <c r="QKD4" s="37"/>
      <c r="QKE4" s="37"/>
      <c r="QKF4" s="37"/>
      <c r="QKG4" s="37"/>
      <c r="QKH4" s="37"/>
      <c r="QKI4" s="37"/>
      <c r="QKJ4" s="37"/>
      <c r="QKK4" s="37"/>
      <c r="QKL4" s="37"/>
      <c r="QKM4" s="37"/>
      <c r="QKN4" s="37"/>
      <c r="QKO4" s="37"/>
      <c r="QKP4" s="37"/>
      <c r="QKQ4" s="37"/>
      <c r="QKR4" s="37"/>
      <c r="QKS4" s="37"/>
      <c r="QKT4" s="37"/>
      <c r="QKU4" s="37"/>
      <c r="QKV4" s="37"/>
      <c r="QKW4" s="37"/>
      <c r="QKX4" s="37"/>
      <c r="QKY4" s="37"/>
      <c r="QKZ4" s="37"/>
      <c r="QLA4" s="37"/>
      <c r="QLB4" s="37"/>
      <c r="QLC4" s="37"/>
      <c r="QLD4" s="37"/>
      <c r="QLE4" s="37"/>
      <c r="QLF4" s="37"/>
      <c r="QLG4" s="37"/>
      <c r="QLH4" s="37"/>
      <c r="QLI4" s="37"/>
      <c r="QLJ4" s="37"/>
      <c r="QLK4" s="37"/>
      <c r="QLL4" s="37"/>
      <c r="QLM4" s="37"/>
      <c r="QLN4" s="37"/>
      <c r="QLO4" s="37"/>
      <c r="QLP4" s="37"/>
      <c r="QLQ4" s="37"/>
      <c r="QLR4" s="37"/>
      <c r="QLS4" s="37"/>
      <c r="QLT4" s="37"/>
      <c r="QLU4" s="37"/>
      <c r="QLV4" s="37"/>
      <c r="QLW4" s="37"/>
      <c r="QLX4" s="37"/>
      <c r="QLY4" s="37"/>
      <c r="QLZ4" s="37"/>
      <c r="QMA4" s="37"/>
      <c r="QMB4" s="37"/>
      <c r="QMC4" s="37"/>
      <c r="QMD4" s="37"/>
      <c r="QME4" s="37"/>
      <c r="QMF4" s="37"/>
      <c r="QMG4" s="37"/>
      <c r="QMH4" s="37"/>
      <c r="QMI4" s="37"/>
      <c r="QMJ4" s="37"/>
      <c r="QMK4" s="37"/>
      <c r="QML4" s="37"/>
      <c r="QMM4" s="37"/>
      <c r="QMN4" s="37"/>
      <c r="QMO4" s="37"/>
      <c r="QMP4" s="37"/>
      <c r="QMQ4" s="37"/>
      <c r="QMR4" s="37"/>
      <c r="QMS4" s="37"/>
      <c r="QMT4" s="37"/>
      <c r="QMU4" s="37"/>
      <c r="QMV4" s="37"/>
      <c r="QMW4" s="37"/>
      <c r="QMX4" s="37"/>
      <c r="QMY4" s="37"/>
      <c r="QMZ4" s="37"/>
      <c r="QNA4" s="37"/>
      <c r="QNB4" s="37"/>
      <c r="QNC4" s="37"/>
      <c r="QND4" s="37"/>
      <c r="QNE4" s="37"/>
      <c r="QNF4" s="37"/>
      <c r="QNG4" s="37"/>
      <c r="QNH4" s="37"/>
      <c r="QNI4" s="37"/>
      <c r="QNJ4" s="37"/>
      <c r="QNK4" s="37"/>
      <c r="QNL4" s="37"/>
      <c r="QNM4" s="37"/>
      <c r="QNN4" s="37"/>
      <c r="QNO4" s="37"/>
      <c r="QNP4" s="37"/>
      <c r="QNQ4" s="37"/>
      <c r="QNR4" s="37"/>
      <c r="QNS4" s="37"/>
      <c r="QNT4" s="37"/>
      <c r="QNU4" s="37"/>
      <c r="QNV4" s="37"/>
      <c r="QNW4" s="37"/>
      <c r="QNX4" s="37"/>
      <c r="QNY4" s="37"/>
      <c r="QNZ4" s="37"/>
      <c r="QOA4" s="37"/>
      <c r="QOB4" s="37"/>
      <c r="QOC4" s="37"/>
      <c r="QOD4" s="37"/>
      <c r="QOE4" s="37"/>
      <c r="QOF4" s="37"/>
      <c r="QOG4" s="37"/>
      <c r="QOH4" s="37"/>
      <c r="QOI4" s="37"/>
      <c r="QOJ4" s="37"/>
      <c r="QOK4" s="37"/>
      <c r="QOL4" s="37"/>
      <c r="QOM4" s="37"/>
      <c r="QON4" s="37"/>
      <c r="QOO4" s="37"/>
      <c r="QOP4" s="37"/>
      <c r="QOQ4" s="37"/>
      <c r="QOR4" s="37"/>
      <c r="QOS4" s="37"/>
      <c r="QOT4" s="37"/>
      <c r="QOU4" s="37"/>
      <c r="QOV4" s="37"/>
      <c r="QOW4" s="37"/>
      <c r="QOX4" s="37"/>
      <c r="QOY4" s="37"/>
      <c r="QOZ4" s="37"/>
      <c r="QPA4" s="37"/>
      <c r="QPB4" s="37"/>
      <c r="QPC4" s="37"/>
      <c r="QPD4" s="37"/>
      <c r="QPE4" s="37"/>
      <c r="QPF4" s="37"/>
      <c r="QPG4" s="37"/>
      <c r="QPH4" s="37"/>
      <c r="QPI4" s="37"/>
      <c r="QPJ4" s="37"/>
      <c r="QPK4" s="37"/>
      <c r="QPL4" s="37"/>
      <c r="QPM4" s="37"/>
      <c r="QPN4" s="37"/>
      <c r="QPO4" s="37"/>
      <c r="QPP4" s="37"/>
      <c r="QPQ4" s="37"/>
      <c r="QPR4" s="37"/>
      <c r="QPS4" s="37"/>
      <c r="QPT4" s="37"/>
      <c r="QPU4" s="37"/>
      <c r="QPV4" s="37"/>
      <c r="QPW4" s="37"/>
      <c r="QPX4" s="37"/>
      <c r="QPY4" s="37"/>
      <c r="QPZ4" s="37"/>
      <c r="QQA4" s="37"/>
      <c r="QQB4" s="37"/>
      <c r="QQC4" s="37"/>
      <c r="QQD4" s="37"/>
      <c r="QQE4" s="37"/>
      <c r="QQF4" s="37"/>
      <c r="QQG4" s="37"/>
      <c r="QQH4" s="37"/>
      <c r="QQI4" s="37"/>
      <c r="QQJ4" s="37"/>
      <c r="QQK4" s="37"/>
      <c r="QQL4" s="37"/>
      <c r="QQM4" s="37"/>
      <c r="QQN4" s="37"/>
      <c r="QQO4" s="37"/>
      <c r="QQP4" s="37"/>
      <c r="QQQ4" s="37"/>
      <c r="QQR4" s="37"/>
      <c r="QQS4" s="37"/>
      <c r="QQT4" s="37"/>
      <c r="QQU4" s="37"/>
      <c r="QQV4" s="37"/>
      <c r="QQW4" s="37"/>
      <c r="QQX4" s="37"/>
      <c r="QQY4" s="37"/>
      <c r="QQZ4" s="37"/>
      <c r="QRA4" s="37"/>
      <c r="QRB4" s="37"/>
      <c r="QRC4" s="37"/>
      <c r="QRD4" s="37"/>
      <c r="QRE4" s="37"/>
      <c r="QRF4" s="37"/>
      <c r="QRG4" s="37"/>
      <c r="QRH4" s="37"/>
      <c r="QRI4" s="37"/>
      <c r="QRJ4" s="37"/>
      <c r="QRK4" s="37"/>
      <c r="QRL4" s="37"/>
      <c r="QRM4" s="37"/>
      <c r="QRN4" s="37"/>
      <c r="QRO4" s="37"/>
      <c r="QRP4" s="37"/>
      <c r="QRQ4" s="37"/>
      <c r="QRR4" s="37"/>
      <c r="QRS4" s="37"/>
      <c r="QRT4" s="37"/>
      <c r="QRU4" s="37"/>
      <c r="QRV4" s="37"/>
      <c r="QRW4" s="37"/>
      <c r="QRX4" s="37"/>
      <c r="QRY4" s="37"/>
      <c r="QRZ4" s="37"/>
      <c r="QSA4" s="37"/>
      <c r="QSB4" s="37"/>
      <c r="QSC4" s="37"/>
      <c r="QSD4" s="37"/>
      <c r="QSE4" s="37"/>
      <c r="QSF4" s="37"/>
      <c r="QSG4" s="37"/>
      <c r="QSH4" s="37"/>
      <c r="QSI4" s="37"/>
      <c r="QSJ4" s="37"/>
      <c r="QSK4" s="37"/>
      <c r="QSL4" s="37"/>
      <c r="QSM4" s="37"/>
      <c r="QSN4" s="37"/>
      <c r="QSO4" s="37"/>
      <c r="QSP4" s="37"/>
      <c r="QSQ4" s="37"/>
      <c r="QSR4" s="37"/>
      <c r="QSS4" s="37"/>
      <c r="QST4" s="37"/>
      <c r="QSU4" s="37"/>
      <c r="QSV4" s="37"/>
      <c r="QSW4" s="37"/>
      <c r="QSX4" s="37"/>
      <c r="QSY4" s="37"/>
      <c r="QSZ4" s="37"/>
      <c r="QTA4" s="37"/>
      <c r="QTB4" s="37"/>
      <c r="QTC4" s="37"/>
      <c r="QTD4" s="37"/>
      <c r="QTE4" s="37"/>
      <c r="QTF4" s="37"/>
      <c r="QTG4" s="37"/>
      <c r="QTH4" s="37"/>
      <c r="QTI4" s="37"/>
      <c r="QTJ4" s="37"/>
      <c r="QTK4" s="37"/>
      <c r="QTL4" s="37"/>
      <c r="QTM4" s="37"/>
      <c r="QTN4" s="37"/>
      <c r="QTO4" s="37"/>
      <c r="QTP4" s="37"/>
      <c r="QTQ4" s="37"/>
      <c r="QTR4" s="37"/>
      <c r="QTS4" s="37"/>
      <c r="QTT4" s="37"/>
      <c r="QTU4" s="37"/>
      <c r="QTV4" s="37"/>
      <c r="QTW4" s="37"/>
      <c r="QTX4" s="37"/>
      <c r="QTY4" s="37"/>
      <c r="QTZ4" s="37"/>
      <c r="QUA4" s="37"/>
      <c r="QUB4" s="37"/>
      <c r="QUC4" s="37"/>
      <c r="QUD4" s="37"/>
      <c r="QUE4" s="37"/>
      <c r="QUF4" s="37"/>
      <c r="QUG4" s="37"/>
      <c r="QUH4" s="37"/>
      <c r="QUI4" s="37"/>
      <c r="QUJ4" s="37"/>
      <c r="QUK4" s="37"/>
      <c r="QUL4" s="37"/>
      <c r="QUM4" s="37"/>
      <c r="QUN4" s="37"/>
      <c r="QUO4" s="37"/>
      <c r="QUP4" s="37"/>
      <c r="QUQ4" s="37"/>
      <c r="QUR4" s="37"/>
      <c r="QUS4" s="37"/>
      <c r="QUT4" s="37"/>
      <c r="QUU4" s="37"/>
      <c r="QUV4" s="37"/>
      <c r="QUW4" s="37"/>
      <c r="QUX4" s="37"/>
      <c r="QUY4" s="37"/>
      <c r="QUZ4" s="37"/>
      <c r="QVA4" s="37"/>
      <c r="QVB4" s="37"/>
      <c r="QVC4" s="37"/>
      <c r="QVD4" s="37"/>
      <c r="QVE4" s="37"/>
      <c r="QVF4" s="37"/>
      <c r="QVG4" s="37"/>
      <c r="QVH4" s="37"/>
      <c r="QVI4" s="37"/>
      <c r="QVJ4" s="37"/>
      <c r="QVK4" s="37"/>
      <c r="QVL4" s="37"/>
      <c r="QVM4" s="37"/>
      <c r="QVN4" s="37"/>
      <c r="QVO4" s="37"/>
      <c r="QVP4" s="37"/>
      <c r="QVQ4" s="37"/>
      <c r="QVR4" s="37"/>
      <c r="QVS4" s="37"/>
      <c r="QVT4" s="37"/>
      <c r="QVU4" s="37"/>
      <c r="QVV4" s="37"/>
      <c r="QVW4" s="37"/>
      <c r="QVX4" s="37"/>
      <c r="QVY4" s="37"/>
      <c r="QVZ4" s="37"/>
      <c r="QWA4" s="37"/>
      <c r="QWB4" s="37"/>
      <c r="QWC4" s="37"/>
      <c r="QWD4" s="37"/>
      <c r="QWE4" s="37"/>
      <c r="QWF4" s="37"/>
      <c r="QWG4" s="37"/>
      <c r="QWH4" s="37"/>
      <c r="QWI4" s="37"/>
      <c r="QWJ4" s="37"/>
      <c r="QWK4" s="37"/>
      <c r="QWL4" s="37"/>
      <c r="QWM4" s="37"/>
      <c r="QWN4" s="37"/>
      <c r="QWO4" s="37"/>
      <c r="QWP4" s="37"/>
      <c r="QWQ4" s="37"/>
      <c r="QWR4" s="37"/>
      <c r="QWS4" s="37"/>
      <c r="QWT4" s="37"/>
      <c r="QWU4" s="37"/>
      <c r="QWV4" s="37"/>
      <c r="QWW4" s="37"/>
      <c r="QWX4" s="37"/>
      <c r="QWY4" s="37"/>
      <c r="QWZ4" s="37"/>
      <c r="QXA4" s="37"/>
      <c r="QXB4" s="37"/>
      <c r="QXC4" s="37"/>
      <c r="QXD4" s="37"/>
      <c r="QXE4" s="37"/>
      <c r="QXF4" s="37"/>
      <c r="QXG4" s="37"/>
      <c r="QXH4" s="37"/>
      <c r="QXI4" s="37"/>
      <c r="QXJ4" s="37"/>
      <c r="QXK4" s="37"/>
      <c r="QXL4" s="37"/>
      <c r="QXM4" s="37"/>
      <c r="QXN4" s="37"/>
      <c r="QXO4" s="37"/>
      <c r="QXP4" s="37"/>
      <c r="QXQ4" s="37"/>
      <c r="QXR4" s="37"/>
      <c r="QXS4" s="37"/>
      <c r="QXT4" s="37"/>
      <c r="QXU4" s="37"/>
      <c r="QXV4" s="37"/>
      <c r="QXW4" s="37"/>
      <c r="QXX4" s="37"/>
      <c r="QXY4" s="37"/>
      <c r="QXZ4" s="37"/>
      <c r="QYA4" s="37"/>
      <c r="QYB4" s="37"/>
      <c r="QYC4" s="37"/>
      <c r="QYD4" s="37"/>
      <c r="QYE4" s="37"/>
      <c r="QYF4" s="37"/>
      <c r="QYG4" s="37"/>
      <c r="QYH4" s="37"/>
      <c r="QYI4" s="37"/>
      <c r="QYJ4" s="37"/>
      <c r="QYK4" s="37"/>
      <c r="QYL4" s="37"/>
      <c r="QYM4" s="37"/>
      <c r="QYN4" s="37"/>
      <c r="QYO4" s="37"/>
      <c r="QYP4" s="37"/>
      <c r="QYQ4" s="37"/>
      <c r="QYR4" s="37"/>
      <c r="QYS4" s="37"/>
      <c r="QYT4" s="37"/>
      <c r="QYU4" s="37"/>
      <c r="QYV4" s="37"/>
      <c r="QYW4" s="37"/>
      <c r="QYX4" s="37"/>
      <c r="QYY4" s="37"/>
      <c r="QYZ4" s="37"/>
      <c r="QZA4" s="37"/>
      <c r="QZB4" s="37"/>
      <c r="QZC4" s="37"/>
      <c r="QZD4" s="37"/>
      <c r="QZE4" s="37"/>
      <c r="QZF4" s="37"/>
      <c r="QZG4" s="37"/>
      <c r="QZH4" s="37"/>
      <c r="QZI4" s="37"/>
      <c r="QZJ4" s="37"/>
      <c r="QZK4" s="37"/>
      <c r="QZL4" s="37"/>
      <c r="QZM4" s="37"/>
      <c r="QZN4" s="37"/>
      <c r="QZO4" s="37"/>
      <c r="QZP4" s="37"/>
      <c r="QZQ4" s="37"/>
      <c r="QZR4" s="37"/>
      <c r="QZS4" s="37"/>
      <c r="QZT4" s="37"/>
      <c r="QZU4" s="37"/>
      <c r="QZV4" s="37"/>
      <c r="QZW4" s="37"/>
      <c r="QZX4" s="37"/>
      <c r="QZY4" s="37"/>
      <c r="QZZ4" s="37"/>
      <c r="RAA4" s="37"/>
      <c r="RAB4" s="37"/>
      <c r="RAC4" s="37"/>
      <c r="RAD4" s="37"/>
      <c r="RAE4" s="37"/>
      <c r="RAF4" s="37"/>
      <c r="RAG4" s="37"/>
      <c r="RAH4" s="37"/>
      <c r="RAI4" s="37"/>
      <c r="RAJ4" s="37"/>
      <c r="RAK4" s="37"/>
      <c r="RAL4" s="37"/>
      <c r="RAM4" s="37"/>
      <c r="RAN4" s="37"/>
      <c r="RAO4" s="37"/>
      <c r="RAP4" s="37"/>
      <c r="RAQ4" s="37"/>
      <c r="RAR4" s="37"/>
      <c r="RAS4" s="37"/>
      <c r="RAT4" s="37"/>
      <c r="RAU4" s="37"/>
      <c r="RAV4" s="37"/>
      <c r="RAW4" s="37"/>
      <c r="RAX4" s="37"/>
      <c r="RAY4" s="37"/>
      <c r="RAZ4" s="37"/>
      <c r="RBA4" s="37"/>
      <c r="RBB4" s="37"/>
      <c r="RBC4" s="37"/>
      <c r="RBD4" s="37"/>
      <c r="RBE4" s="37"/>
      <c r="RBF4" s="37"/>
      <c r="RBG4" s="37"/>
      <c r="RBH4" s="37"/>
      <c r="RBI4" s="37"/>
      <c r="RBJ4" s="37"/>
      <c r="RBK4" s="37"/>
      <c r="RBL4" s="37"/>
      <c r="RBM4" s="37"/>
      <c r="RBN4" s="37"/>
      <c r="RBO4" s="37"/>
      <c r="RBP4" s="37"/>
      <c r="RBQ4" s="37"/>
      <c r="RBR4" s="37"/>
      <c r="RBS4" s="37"/>
      <c r="RBT4" s="37"/>
      <c r="RBU4" s="37"/>
      <c r="RBV4" s="37"/>
      <c r="RBW4" s="37"/>
      <c r="RBX4" s="37"/>
      <c r="RBY4" s="37"/>
      <c r="RBZ4" s="37"/>
      <c r="RCA4" s="37"/>
      <c r="RCB4" s="37"/>
      <c r="RCC4" s="37"/>
      <c r="RCD4" s="37"/>
      <c r="RCE4" s="37"/>
      <c r="RCF4" s="37"/>
      <c r="RCG4" s="37"/>
      <c r="RCH4" s="37"/>
      <c r="RCI4" s="37"/>
      <c r="RCJ4" s="37"/>
      <c r="RCK4" s="37"/>
      <c r="RCL4" s="37"/>
      <c r="RCM4" s="37"/>
      <c r="RCN4" s="37"/>
      <c r="RCO4" s="37"/>
      <c r="RCP4" s="37"/>
      <c r="RCQ4" s="37"/>
      <c r="RCR4" s="37"/>
      <c r="RCS4" s="37"/>
      <c r="RCT4" s="37"/>
      <c r="RCU4" s="37"/>
      <c r="RCV4" s="37"/>
      <c r="RCW4" s="37"/>
      <c r="RCX4" s="37"/>
      <c r="RCY4" s="37"/>
      <c r="RCZ4" s="37"/>
      <c r="RDA4" s="37"/>
      <c r="RDB4" s="37"/>
      <c r="RDC4" s="37"/>
      <c r="RDD4" s="37"/>
      <c r="RDE4" s="37"/>
      <c r="RDF4" s="37"/>
      <c r="RDG4" s="37"/>
      <c r="RDH4" s="37"/>
      <c r="RDI4" s="37"/>
      <c r="RDJ4" s="37"/>
      <c r="RDK4" s="37"/>
      <c r="RDL4" s="37"/>
      <c r="RDM4" s="37"/>
      <c r="RDN4" s="37"/>
      <c r="RDO4" s="37"/>
      <c r="RDP4" s="37"/>
      <c r="RDQ4" s="37"/>
      <c r="RDR4" s="37"/>
      <c r="RDS4" s="37"/>
      <c r="RDT4" s="37"/>
      <c r="RDU4" s="37"/>
      <c r="RDV4" s="37"/>
      <c r="RDW4" s="37"/>
      <c r="RDX4" s="37"/>
      <c r="RDY4" s="37"/>
      <c r="RDZ4" s="37"/>
      <c r="REA4" s="37"/>
      <c r="REB4" s="37"/>
      <c r="REC4" s="37"/>
      <c r="RED4" s="37"/>
      <c r="REE4" s="37"/>
      <c r="REF4" s="37"/>
      <c r="REG4" s="37"/>
      <c r="REH4" s="37"/>
      <c r="REI4" s="37"/>
      <c r="REJ4" s="37"/>
      <c r="REK4" s="37"/>
      <c r="REL4" s="37"/>
      <c r="REM4" s="37"/>
      <c r="REN4" s="37"/>
      <c r="REO4" s="37"/>
      <c r="REP4" s="37"/>
      <c r="REQ4" s="37"/>
      <c r="RER4" s="37"/>
      <c r="RES4" s="37"/>
      <c r="RET4" s="37"/>
      <c r="REU4" s="37"/>
      <c r="REV4" s="37"/>
      <c r="REW4" s="37"/>
      <c r="REX4" s="37"/>
      <c r="REY4" s="37"/>
      <c r="REZ4" s="37"/>
      <c r="RFA4" s="37"/>
      <c r="RFB4" s="37"/>
      <c r="RFC4" s="37"/>
      <c r="RFD4" s="37"/>
      <c r="RFE4" s="37"/>
      <c r="RFF4" s="37"/>
      <c r="RFG4" s="37"/>
      <c r="RFH4" s="37"/>
      <c r="RFI4" s="37"/>
      <c r="RFJ4" s="37"/>
      <c r="RFK4" s="37"/>
      <c r="RFL4" s="37"/>
      <c r="RFM4" s="37"/>
      <c r="RFN4" s="37"/>
      <c r="RFO4" s="37"/>
      <c r="RFP4" s="37"/>
      <c r="RFQ4" s="37"/>
      <c r="RFR4" s="37"/>
      <c r="RFS4" s="37"/>
      <c r="RFT4" s="37"/>
      <c r="RFU4" s="37"/>
      <c r="RFV4" s="37"/>
      <c r="RFW4" s="37"/>
      <c r="RFX4" s="37"/>
      <c r="RFY4" s="37"/>
      <c r="RFZ4" s="37"/>
      <c r="RGA4" s="37"/>
      <c r="RGB4" s="37"/>
      <c r="RGC4" s="37"/>
      <c r="RGD4" s="37"/>
      <c r="RGE4" s="37"/>
      <c r="RGF4" s="37"/>
      <c r="RGG4" s="37"/>
      <c r="RGH4" s="37"/>
      <c r="RGI4" s="37"/>
      <c r="RGJ4" s="37"/>
      <c r="RGK4" s="37"/>
      <c r="RGL4" s="37"/>
      <c r="RGM4" s="37"/>
      <c r="RGN4" s="37"/>
      <c r="RGO4" s="37"/>
      <c r="RGP4" s="37"/>
      <c r="RGQ4" s="37"/>
      <c r="RGR4" s="37"/>
      <c r="RGS4" s="37"/>
      <c r="RGT4" s="37"/>
      <c r="RGU4" s="37"/>
      <c r="RGV4" s="37"/>
      <c r="RGW4" s="37"/>
      <c r="RGX4" s="37"/>
      <c r="RGY4" s="37"/>
      <c r="RGZ4" s="37"/>
      <c r="RHA4" s="37"/>
      <c r="RHB4" s="37"/>
      <c r="RHC4" s="37"/>
      <c r="RHD4" s="37"/>
      <c r="RHE4" s="37"/>
      <c r="RHF4" s="37"/>
      <c r="RHG4" s="37"/>
      <c r="RHH4" s="37"/>
      <c r="RHI4" s="37"/>
      <c r="RHJ4" s="37"/>
      <c r="RHK4" s="37"/>
      <c r="RHL4" s="37"/>
      <c r="RHM4" s="37"/>
      <c r="RHN4" s="37"/>
      <c r="RHO4" s="37"/>
      <c r="RHP4" s="37"/>
      <c r="RHQ4" s="37"/>
      <c r="RHR4" s="37"/>
      <c r="RHS4" s="37"/>
      <c r="RHT4" s="37"/>
      <c r="RHU4" s="37"/>
      <c r="RHV4" s="37"/>
      <c r="RHW4" s="37"/>
      <c r="RHX4" s="37"/>
      <c r="RHY4" s="37"/>
      <c r="RHZ4" s="37"/>
      <c r="RIA4" s="37"/>
      <c r="RIB4" s="37"/>
      <c r="RIC4" s="37"/>
      <c r="RID4" s="37"/>
      <c r="RIE4" s="37"/>
      <c r="RIF4" s="37"/>
      <c r="RIG4" s="37"/>
      <c r="RIH4" s="37"/>
      <c r="RII4" s="37"/>
      <c r="RIJ4" s="37"/>
      <c r="RIK4" s="37"/>
      <c r="RIL4" s="37"/>
      <c r="RIM4" s="37"/>
      <c r="RIN4" s="37"/>
      <c r="RIO4" s="37"/>
      <c r="RIP4" s="37"/>
      <c r="RIQ4" s="37"/>
      <c r="RIR4" s="37"/>
      <c r="RIS4" s="37"/>
      <c r="RIT4" s="37"/>
      <c r="RIU4" s="37"/>
      <c r="RIV4" s="37"/>
      <c r="RIW4" s="37"/>
      <c r="RIX4" s="37"/>
      <c r="RIY4" s="37"/>
      <c r="RIZ4" s="37"/>
      <c r="RJA4" s="37"/>
      <c r="RJB4" s="37"/>
      <c r="RJC4" s="37"/>
      <c r="RJD4" s="37"/>
      <c r="RJE4" s="37"/>
      <c r="RJF4" s="37"/>
      <c r="RJG4" s="37"/>
      <c r="RJH4" s="37"/>
      <c r="RJI4" s="37"/>
      <c r="RJJ4" s="37"/>
      <c r="RJK4" s="37"/>
      <c r="RJL4" s="37"/>
      <c r="RJM4" s="37"/>
      <c r="RJN4" s="37"/>
      <c r="RJO4" s="37"/>
      <c r="RJP4" s="37"/>
      <c r="RJQ4" s="37"/>
      <c r="RJR4" s="37"/>
      <c r="RJS4" s="37"/>
      <c r="RJT4" s="37"/>
      <c r="RJU4" s="37"/>
      <c r="RJV4" s="37"/>
      <c r="RJW4" s="37"/>
      <c r="RJX4" s="37"/>
      <c r="RJY4" s="37"/>
      <c r="RJZ4" s="37"/>
      <c r="RKA4" s="37"/>
      <c r="RKB4" s="37"/>
      <c r="RKC4" s="37"/>
      <c r="RKD4" s="37"/>
      <c r="RKE4" s="37"/>
      <c r="RKF4" s="37"/>
      <c r="RKG4" s="37"/>
      <c r="RKH4" s="37"/>
      <c r="RKI4" s="37"/>
      <c r="RKJ4" s="37"/>
      <c r="RKK4" s="37"/>
      <c r="RKL4" s="37"/>
      <c r="RKM4" s="37"/>
      <c r="RKN4" s="37"/>
      <c r="RKO4" s="37"/>
      <c r="RKP4" s="37"/>
      <c r="RKQ4" s="37"/>
      <c r="RKR4" s="37"/>
      <c r="RKS4" s="37"/>
      <c r="RKT4" s="37"/>
      <c r="RKU4" s="37"/>
      <c r="RKV4" s="37"/>
      <c r="RKW4" s="37"/>
      <c r="RKX4" s="37"/>
      <c r="RKY4" s="37"/>
      <c r="RKZ4" s="37"/>
      <c r="RLA4" s="37"/>
      <c r="RLB4" s="37"/>
      <c r="RLC4" s="37"/>
      <c r="RLD4" s="37"/>
      <c r="RLE4" s="37"/>
      <c r="RLF4" s="37"/>
      <c r="RLG4" s="37"/>
      <c r="RLH4" s="37"/>
      <c r="RLI4" s="37"/>
      <c r="RLJ4" s="37"/>
      <c r="RLK4" s="37"/>
      <c r="RLL4" s="37"/>
      <c r="RLM4" s="37"/>
      <c r="RLN4" s="37"/>
      <c r="RLO4" s="37"/>
      <c r="RLP4" s="37"/>
      <c r="RLQ4" s="37"/>
      <c r="RLR4" s="37"/>
      <c r="RLS4" s="37"/>
      <c r="RLT4" s="37"/>
      <c r="RLU4" s="37"/>
      <c r="RLV4" s="37"/>
      <c r="RLW4" s="37"/>
      <c r="RLX4" s="37"/>
      <c r="RLY4" s="37"/>
      <c r="RLZ4" s="37"/>
      <c r="RMA4" s="37"/>
      <c r="RMB4" s="37"/>
      <c r="RMC4" s="37"/>
      <c r="RMD4" s="37"/>
      <c r="RME4" s="37"/>
      <c r="RMF4" s="37"/>
      <c r="RMG4" s="37"/>
      <c r="RMH4" s="37"/>
      <c r="RMI4" s="37"/>
      <c r="RMJ4" s="37"/>
      <c r="RMK4" s="37"/>
      <c r="RML4" s="37"/>
      <c r="RMM4" s="37"/>
      <c r="RMN4" s="37"/>
      <c r="RMO4" s="37"/>
      <c r="RMP4" s="37"/>
      <c r="RMQ4" s="37"/>
      <c r="RMR4" s="37"/>
      <c r="RMS4" s="37"/>
      <c r="RMT4" s="37"/>
      <c r="RMU4" s="37"/>
      <c r="RMV4" s="37"/>
      <c r="RMW4" s="37"/>
      <c r="RMX4" s="37"/>
      <c r="RMY4" s="37"/>
      <c r="RMZ4" s="37"/>
      <c r="RNA4" s="37"/>
      <c r="RNB4" s="37"/>
      <c r="RNC4" s="37"/>
      <c r="RND4" s="37"/>
      <c r="RNE4" s="37"/>
      <c r="RNF4" s="37"/>
      <c r="RNG4" s="37"/>
      <c r="RNH4" s="37"/>
      <c r="RNI4" s="37"/>
      <c r="RNJ4" s="37"/>
      <c r="RNK4" s="37"/>
      <c r="RNL4" s="37"/>
      <c r="RNM4" s="37"/>
      <c r="RNN4" s="37"/>
      <c r="RNO4" s="37"/>
      <c r="RNP4" s="37"/>
      <c r="RNQ4" s="37"/>
      <c r="RNR4" s="37"/>
      <c r="RNS4" s="37"/>
      <c r="RNT4" s="37"/>
      <c r="RNU4" s="37"/>
      <c r="RNV4" s="37"/>
      <c r="RNW4" s="37"/>
      <c r="RNX4" s="37"/>
      <c r="RNY4" s="37"/>
      <c r="RNZ4" s="37"/>
      <c r="ROA4" s="37"/>
      <c r="ROB4" s="37"/>
      <c r="ROC4" s="37"/>
      <c r="ROD4" s="37"/>
      <c r="ROE4" s="37"/>
      <c r="ROF4" s="37"/>
      <c r="ROG4" s="37"/>
      <c r="ROH4" s="37"/>
      <c r="ROI4" s="37"/>
      <c r="ROJ4" s="37"/>
      <c r="ROK4" s="37"/>
      <c r="ROL4" s="37"/>
      <c r="ROM4" s="37"/>
      <c r="RON4" s="37"/>
      <c r="ROO4" s="37"/>
      <c r="ROP4" s="37"/>
      <c r="ROQ4" s="37"/>
      <c r="ROR4" s="37"/>
      <c r="ROS4" s="37"/>
      <c r="ROT4" s="37"/>
      <c r="ROU4" s="37"/>
      <c r="ROV4" s="37"/>
      <c r="ROW4" s="37"/>
      <c r="ROX4" s="37"/>
      <c r="ROY4" s="37"/>
      <c r="ROZ4" s="37"/>
      <c r="RPA4" s="37"/>
      <c r="RPB4" s="37"/>
      <c r="RPC4" s="37"/>
      <c r="RPD4" s="37"/>
      <c r="RPE4" s="37"/>
      <c r="RPF4" s="37"/>
      <c r="RPG4" s="37"/>
      <c r="RPH4" s="37"/>
      <c r="RPI4" s="37"/>
      <c r="RPJ4" s="37"/>
      <c r="RPK4" s="37"/>
      <c r="RPL4" s="37"/>
      <c r="RPM4" s="37"/>
      <c r="RPN4" s="37"/>
      <c r="RPO4" s="37"/>
      <c r="RPP4" s="37"/>
      <c r="RPQ4" s="37"/>
      <c r="RPR4" s="37"/>
      <c r="RPS4" s="37"/>
      <c r="RPT4" s="37"/>
      <c r="RPU4" s="37"/>
      <c r="RPV4" s="37"/>
      <c r="RPW4" s="37"/>
      <c r="RPX4" s="37"/>
      <c r="RPY4" s="37"/>
      <c r="RPZ4" s="37"/>
      <c r="RQA4" s="37"/>
      <c r="RQB4" s="37"/>
      <c r="RQC4" s="37"/>
      <c r="RQD4" s="37"/>
      <c r="RQE4" s="37"/>
      <c r="RQF4" s="37"/>
      <c r="RQG4" s="37"/>
      <c r="RQH4" s="37"/>
      <c r="RQI4" s="37"/>
      <c r="RQJ4" s="37"/>
      <c r="RQK4" s="37"/>
      <c r="RQL4" s="37"/>
      <c r="RQM4" s="37"/>
      <c r="RQN4" s="37"/>
      <c r="RQO4" s="37"/>
      <c r="RQP4" s="37"/>
      <c r="RQQ4" s="37"/>
      <c r="RQR4" s="37"/>
      <c r="RQS4" s="37"/>
      <c r="RQT4" s="37"/>
      <c r="RQU4" s="37"/>
      <c r="RQV4" s="37"/>
      <c r="RQW4" s="37"/>
      <c r="RQX4" s="37"/>
      <c r="RQY4" s="37"/>
      <c r="RQZ4" s="37"/>
      <c r="RRA4" s="37"/>
      <c r="RRB4" s="37"/>
      <c r="RRC4" s="37"/>
      <c r="RRD4" s="37"/>
      <c r="RRE4" s="37"/>
      <c r="RRF4" s="37"/>
      <c r="RRG4" s="37"/>
      <c r="RRH4" s="37"/>
      <c r="RRI4" s="37"/>
      <c r="RRJ4" s="37"/>
      <c r="RRK4" s="37"/>
      <c r="RRL4" s="37"/>
      <c r="RRM4" s="37"/>
      <c r="RRN4" s="37"/>
      <c r="RRO4" s="37"/>
      <c r="RRP4" s="37"/>
      <c r="RRQ4" s="37"/>
      <c r="RRR4" s="37"/>
      <c r="RRS4" s="37"/>
      <c r="RRT4" s="37"/>
      <c r="RRU4" s="37"/>
      <c r="RRV4" s="37"/>
      <c r="RRW4" s="37"/>
      <c r="RRX4" s="37"/>
      <c r="RRY4" s="37"/>
      <c r="RRZ4" s="37"/>
      <c r="RSA4" s="37"/>
      <c r="RSB4" s="37"/>
      <c r="RSC4" s="37"/>
      <c r="RSD4" s="37"/>
      <c r="RSE4" s="37"/>
      <c r="RSF4" s="37"/>
      <c r="RSG4" s="37"/>
      <c r="RSH4" s="37"/>
      <c r="RSI4" s="37"/>
      <c r="RSJ4" s="37"/>
      <c r="RSK4" s="37"/>
      <c r="RSL4" s="37"/>
      <c r="RSM4" s="37"/>
      <c r="RSN4" s="37"/>
      <c r="RSO4" s="37"/>
      <c r="RSP4" s="37"/>
      <c r="RSQ4" s="37"/>
      <c r="RSR4" s="37"/>
      <c r="RSS4" s="37"/>
      <c r="RST4" s="37"/>
      <c r="RSU4" s="37"/>
      <c r="RSV4" s="37"/>
      <c r="RSW4" s="37"/>
      <c r="RSX4" s="37"/>
      <c r="RSY4" s="37"/>
      <c r="RSZ4" s="37"/>
      <c r="RTA4" s="37"/>
      <c r="RTB4" s="37"/>
      <c r="RTC4" s="37"/>
      <c r="RTD4" s="37"/>
      <c r="RTE4" s="37"/>
      <c r="RTF4" s="37"/>
      <c r="RTG4" s="37"/>
      <c r="RTH4" s="37"/>
      <c r="RTI4" s="37"/>
      <c r="RTJ4" s="37"/>
      <c r="RTK4" s="37"/>
      <c r="RTL4" s="37"/>
      <c r="RTM4" s="37"/>
      <c r="RTN4" s="37"/>
      <c r="RTO4" s="37"/>
      <c r="RTP4" s="37"/>
      <c r="RTQ4" s="37"/>
      <c r="RTR4" s="37"/>
      <c r="RTS4" s="37"/>
      <c r="RTT4" s="37"/>
      <c r="RTU4" s="37"/>
      <c r="RTV4" s="37"/>
      <c r="RTW4" s="37"/>
      <c r="RTX4" s="37"/>
      <c r="RTY4" s="37"/>
      <c r="RTZ4" s="37"/>
      <c r="RUA4" s="37"/>
      <c r="RUB4" s="37"/>
      <c r="RUC4" s="37"/>
      <c r="RUD4" s="37"/>
      <c r="RUE4" s="37"/>
      <c r="RUF4" s="37"/>
      <c r="RUG4" s="37"/>
      <c r="RUH4" s="37"/>
      <c r="RUI4" s="37"/>
      <c r="RUJ4" s="37"/>
      <c r="RUK4" s="37"/>
      <c r="RUL4" s="37"/>
      <c r="RUM4" s="37"/>
      <c r="RUN4" s="37"/>
      <c r="RUO4" s="37"/>
      <c r="RUP4" s="37"/>
      <c r="RUQ4" s="37"/>
      <c r="RUR4" s="37"/>
      <c r="RUS4" s="37"/>
      <c r="RUT4" s="37"/>
      <c r="RUU4" s="37"/>
      <c r="RUV4" s="37"/>
      <c r="RUW4" s="37"/>
      <c r="RUX4" s="37"/>
      <c r="RUY4" s="37"/>
      <c r="RUZ4" s="37"/>
      <c r="RVA4" s="37"/>
      <c r="RVB4" s="37"/>
      <c r="RVC4" s="37"/>
      <c r="RVD4" s="37"/>
      <c r="RVE4" s="37"/>
      <c r="RVF4" s="37"/>
      <c r="RVG4" s="37"/>
      <c r="RVH4" s="37"/>
      <c r="RVI4" s="37"/>
      <c r="RVJ4" s="37"/>
      <c r="RVK4" s="37"/>
      <c r="RVL4" s="37"/>
      <c r="RVM4" s="37"/>
      <c r="RVN4" s="37"/>
      <c r="RVO4" s="37"/>
      <c r="RVP4" s="37"/>
      <c r="RVQ4" s="37"/>
      <c r="RVR4" s="37"/>
      <c r="RVS4" s="37"/>
      <c r="RVT4" s="37"/>
      <c r="RVU4" s="37"/>
      <c r="RVV4" s="37"/>
      <c r="RVW4" s="37"/>
      <c r="RVX4" s="37"/>
      <c r="RVY4" s="37"/>
      <c r="RVZ4" s="37"/>
      <c r="RWA4" s="37"/>
      <c r="RWB4" s="37"/>
      <c r="RWC4" s="37"/>
      <c r="RWD4" s="37"/>
      <c r="RWE4" s="37"/>
      <c r="RWF4" s="37"/>
      <c r="RWG4" s="37"/>
      <c r="RWH4" s="37"/>
      <c r="RWI4" s="37"/>
      <c r="RWJ4" s="37"/>
      <c r="RWK4" s="37"/>
      <c r="RWL4" s="37"/>
      <c r="RWM4" s="37"/>
      <c r="RWN4" s="37"/>
      <c r="RWO4" s="37"/>
      <c r="RWP4" s="37"/>
      <c r="RWQ4" s="37"/>
      <c r="RWR4" s="37"/>
      <c r="RWS4" s="37"/>
      <c r="RWT4" s="37"/>
      <c r="RWU4" s="37"/>
      <c r="RWV4" s="37"/>
      <c r="RWW4" s="37"/>
      <c r="RWX4" s="37"/>
      <c r="RWY4" s="37"/>
      <c r="RWZ4" s="37"/>
      <c r="RXA4" s="37"/>
      <c r="RXB4" s="37"/>
      <c r="RXC4" s="37"/>
      <c r="RXD4" s="37"/>
      <c r="RXE4" s="37"/>
      <c r="RXF4" s="37"/>
      <c r="RXG4" s="37"/>
      <c r="RXH4" s="37"/>
      <c r="RXI4" s="37"/>
      <c r="RXJ4" s="37"/>
      <c r="RXK4" s="37"/>
      <c r="RXL4" s="37"/>
      <c r="RXM4" s="37"/>
      <c r="RXN4" s="37"/>
      <c r="RXO4" s="37"/>
      <c r="RXP4" s="37"/>
      <c r="RXQ4" s="37"/>
      <c r="RXR4" s="37"/>
      <c r="RXS4" s="37"/>
      <c r="RXT4" s="37"/>
      <c r="RXU4" s="37"/>
      <c r="RXV4" s="37"/>
      <c r="RXW4" s="37"/>
      <c r="RXX4" s="37"/>
      <c r="RXY4" s="37"/>
      <c r="RXZ4" s="37"/>
      <c r="RYA4" s="37"/>
      <c r="RYB4" s="37"/>
      <c r="RYC4" s="37"/>
      <c r="RYD4" s="37"/>
      <c r="RYE4" s="37"/>
      <c r="RYF4" s="37"/>
      <c r="RYG4" s="37"/>
      <c r="RYH4" s="37"/>
      <c r="RYI4" s="37"/>
      <c r="RYJ4" s="37"/>
      <c r="RYK4" s="37"/>
      <c r="RYL4" s="37"/>
      <c r="RYM4" s="37"/>
      <c r="RYN4" s="37"/>
      <c r="RYO4" s="37"/>
      <c r="RYP4" s="37"/>
      <c r="RYQ4" s="37"/>
      <c r="RYR4" s="37"/>
      <c r="RYS4" s="37"/>
      <c r="RYT4" s="37"/>
      <c r="RYU4" s="37"/>
      <c r="RYV4" s="37"/>
      <c r="RYW4" s="37"/>
      <c r="RYX4" s="37"/>
      <c r="RYY4" s="37"/>
      <c r="RYZ4" s="37"/>
      <c r="RZA4" s="37"/>
      <c r="RZB4" s="37"/>
      <c r="RZC4" s="37"/>
      <c r="RZD4" s="37"/>
      <c r="RZE4" s="37"/>
      <c r="RZF4" s="37"/>
      <c r="RZG4" s="37"/>
      <c r="RZH4" s="37"/>
      <c r="RZI4" s="37"/>
      <c r="RZJ4" s="37"/>
      <c r="RZK4" s="37"/>
      <c r="RZL4" s="37"/>
      <c r="RZM4" s="37"/>
      <c r="RZN4" s="37"/>
      <c r="RZO4" s="37"/>
      <c r="RZP4" s="37"/>
      <c r="RZQ4" s="37"/>
      <c r="RZR4" s="37"/>
      <c r="RZS4" s="37"/>
      <c r="RZT4" s="37"/>
      <c r="RZU4" s="37"/>
      <c r="RZV4" s="37"/>
      <c r="RZW4" s="37"/>
      <c r="RZX4" s="37"/>
      <c r="RZY4" s="37"/>
      <c r="RZZ4" s="37"/>
      <c r="SAA4" s="37"/>
      <c r="SAB4" s="37"/>
      <c r="SAC4" s="37"/>
      <c r="SAD4" s="37"/>
      <c r="SAE4" s="37"/>
      <c r="SAF4" s="37"/>
      <c r="SAG4" s="37"/>
      <c r="SAH4" s="37"/>
      <c r="SAI4" s="37"/>
      <c r="SAJ4" s="37"/>
      <c r="SAK4" s="37"/>
      <c r="SAL4" s="37"/>
      <c r="SAM4" s="37"/>
      <c r="SAN4" s="37"/>
      <c r="SAO4" s="37"/>
      <c r="SAP4" s="37"/>
      <c r="SAQ4" s="37"/>
      <c r="SAR4" s="37"/>
      <c r="SAS4" s="37"/>
      <c r="SAT4" s="37"/>
      <c r="SAU4" s="37"/>
      <c r="SAV4" s="37"/>
      <c r="SAW4" s="37"/>
      <c r="SAX4" s="37"/>
      <c r="SAY4" s="37"/>
      <c r="SAZ4" s="37"/>
      <c r="SBA4" s="37"/>
      <c r="SBB4" s="37"/>
      <c r="SBC4" s="37"/>
      <c r="SBD4" s="37"/>
      <c r="SBE4" s="37"/>
      <c r="SBF4" s="37"/>
      <c r="SBG4" s="37"/>
      <c r="SBH4" s="37"/>
      <c r="SBI4" s="37"/>
      <c r="SBJ4" s="37"/>
      <c r="SBK4" s="37"/>
      <c r="SBL4" s="37"/>
      <c r="SBM4" s="37"/>
      <c r="SBN4" s="37"/>
      <c r="SBO4" s="37"/>
      <c r="SBP4" s="37"/>
      <c r="SBQ4" s="37"/>
      <c r="SBR4" s="37"/>
      <c r="SBS4" s="37"/>
      <c r="SBT4" s="37"/>
      <c r="SBU4" s="37"/>
      <c r="SBV4" s="37"/>
      <c r="SBW4" s="37"/>
      <c r="SBX4" s="37"/>
      <c r="SBY4" s="37"/>
      <c r="SBZ4" s="37"/>
      <c r="SCA4" s="37"/>
      <c r="SCB4" s="37"/>
      <c r="SCC4" s="37"/>
      <c r="SCD4" s="37"/>
      <c r="SCE4" s="37"/>
      <c r="SCF4" s="37"/>
      <c r="SCG4" s="37"/>
      <c r="SCH4" s="37"/>
      <c r="SCI4" s="37"/>
      <c r="SCJ4" s="37"/>
      <c r="SCK4" s="37"/>
      <c r="SCL4" s="37"/>
      <c r="SCM4" s="37"/>
      <c r="SCN4" s="37"/>
      <c r="SCO4" s="37"/>
      <c r="SCP4" s="37"/>
      <c r="SCQ4" s="37"/>
      <c r="SCR4" s="37"/>
      <c r="SCS4" s="37"/>
      <c r="SCT4" s="37"/>
      <c r="SCU4" s="37"/>
      <c r="SCV4" s="37"/>
      <c r="SCW4" s="37"/>
      <c r="SCX4" s="37"/>
      <c r="SCY4" s="37"/>
      <c r="SCZ4" s="37"/>
      <c r="SDA4" s="37"/>
      <c r="SDB4" s="37"/>
      <c r="SDC4" s="37"/>
      <c r="SDD4" s="37"/>
      <c r="SDE4" s="37"/>
      <c r="SDF4" s="37"/>
      <c r="SDG4" s="37"/>
      <c r="SDH4" s="37"/>
      <c r="SDI4" s="37"/>
      <c r="SDJ4" s="37"/>
      <c r="SDK4" s="37"/>
      <c r="SDL4" s="37"/>
      <c r="SDM4" s="37"/>
      <c r="SDN4" s="37"/>
      <c r="SDO4" s="37"/>
      <c r="SDP4" s="37"/>
      <c r="SDQ4" s="37"/>
      <c r="SDR4" s="37"/>
      <c r="SDS4" s="37"/>
      <c r="SDT4" s="37"/>
      <c r="SDU4" s="37"/>
      <c r="SDV4" s="37"/>
      <c r="SDW4" s="37"/>
      <c r="SDX4" s="37"/>
      <c r="SDY4" s="37"/>
      <c r="SDZ4" s="37"/>
      <c r="SEA4" s="37"/>
      <c r="SEB4" s="37"/>
      <c r="SEC4" s="37"/>
      <c r="SED4" s="37"/>
      <c r="SEE4" s="37"/>
      <c r="SEF4" s="37"/>
      <c r="SEG4" s="37"/>
      <c r="SEH4" s="37"/>
      <c r="SEI4" s="37"/>
      <c r="SEJ4" s="37"/>
      <c r="SEK4" s="37"/>
      <c r="SEL4" s="37"/>
      <c r="SEM4" s="37"/>
      <c r="SEN4" s="37"/>
      <c r="SEO4" s="37"/>
      <c r="SEP4" s="37"/>
      <c r="SEQ4" s="37"/>
      <c r="SER4" s="37"/>
      <c r="SES4" s="37"/>
      <c r="SET4" s="37"/>
      <c r="SEU4" s="37"/>
      <c r="SEV4" s="37"/>
      <c r="SEW4" s="37"/>
      <c r="SEX4" s="37"/>
      <c r="SEY4" s="37"/>
      <c r="SEZ4" s="37"/>
      <c r="SFA4" s="37"/>
      <c r="SFB4" s="37"/>
      <c r="SFC4" s="37"/>
      <c r="SFD4" s="37"/>
      <c r="SFE4" s="37"/>
      <c r="SFF4" s="37"/>
      <c r="SFG4" s="37"/>
      <c r="SFH4" s="37"/>
      <c r="SFI4" s="37"/>
      <c r="SFJ4" s="37"/>
      <c r="SFK4" s="37"/>
      <c r="SFL4" s="37"/>
      <c r="SFM4" s="37"/>
      <c r="SFN4" s="37"/>
      <c r="SFO4" s="37"/>
      <c r="SFP4" s="37"/>
      <c r="SFQ4" s="37"/>
      <c r="SFR4" s="37"/>
      <c r="SFS4" s="37"/>
      <c r="SFT4" s="37"/>
      <c r="SFU4" s="37"/>
      <c r="SFV4" s="37"/>
      <c r="SFW4" s="37"/>
      <c r="SFX4" s="37"/>
      <c r="SFY4" s="37"/>
      <c r="SFZ4" s="37"/>
      <c r="SGA4" s="37"/>
      <c r="SGB4" s="37"/>
      <c r="SGC4" s="37"/>
      <c r="SGD4" s="37"/>
      <c r="SGE4" s="37"/>
      <c r="SGF4" s="37"/>
      <c r="SGG4" s="37"/>
      <c r="SGH4" s="37"/>
      <c r="SGI4" s="37"/>
      <c r="SGJ4" s="37"/>
      <c r="SGK4" s="37"/>
      <c r="SGL4" s="37"/>
      <c r="SGM4" s="37"/>
      <c r="SGN4" s="37"/>
      <c r="SGO4" s="37"/>
      <c r="SGP4" s="37"/>
      <c r="SGQ4" s="37"/>
      <c r="SGR4" s="37"/>
      <c r="SGS4" s="37"/>
      <c r="SGT4" s="37"/>
      <c r="SGU4" s="37"/>
      <c r="SGV4" s="37"/>
      <c r="SGW4" s="37"/>
      <c r="SGX4" s="37"/>
      <c r="SGY4" s="37"/>
      <c r="SGZ4" s="37"/>
      <c r="SHA4" s="37"/>
      <c r="SHB4" s="37"/>
      <c r="SHC4" s="37"/>
      <c r="SHD4" s="37"/>
      <c r="SHE4" s="37"/>
      <c r="SHF4" s="37"/>
      <c r="SHG4" s="37"/>
      <c r="SHH4" s="37"/>
      <c r="SHI4" s="37"/>
      <c r="SHJ4" s="37"/>
      <c r="SHK4" s="37"/>
      <c r="SHL4" s="37"/>
      <c r="SHM4" s="37"/>
      <c r="SHN4" s="37"/>
      <c r="SHO4" s="37"/>
      <c r="SHP4" s="37"/>
      <c r="SHQ4" s="37"/>
      <c r="SHR4" s="37"/>
      <c r="SHS4" s="37"/>
      <c r="SHT4" s="37"/>
      <c r="SHU4" s="37"/>
      <c r="SHV4" s="37"/>
      <c r="SHW4" s="37"/>
      <c r="SHX4" s="37"/>
      <c r="SHY4" s="37"/>
      <c r="SHZ4" s="37"/>
      <c r="SIA4" s="37"/>
      <c r="SIB4" s="37"/>
      <c r="SIC4" s="37"/>
      <c r="SID4" s="37"/>
      <c r="SIE4" s="37"/>
      <c r="SIF4" s="37"/>
      <c r="SIG4" s="37"/>
      <c r="SIH4" s="37"/>
      <c r="SII4" s="37"/>
      <c r="SIJ4" s="37"/>
      <c r="SIK4" s="37"/>
      <c r="SIL4" s="37"/>
      <c r="SIM4" s="37"/>
      <c r="SIN4" s="37"/>
      <c r="SIO4" s="37"/>
      <c r="SIP4" s="37"/>
      <c r="SIQ4" s="37"/>
      <c r="SIR4" s="37"/>
      <c r="SIS4" s="37"/>
      <c r="SIT4" s="37"/>
      <c r="SIU4" s="37"/>
      <c r="SIV4" s="37"/>
      <c r="SIW4" s="37"/>
      <c r="SIX4" s="37"/>
      <c r="SIY4" s="37"/>
      <c r="SIZ4" s="37"/>
      <c r="SJA4" s="37"/>
      <c r="SJB4" s="37"/>
      <c r="SJC4" s="37"/>
      <c r="SJD4" s="37"/>
      <c r="SJE4" s="37"/>
      <c r="SJF4" s="37"/>
      <c r="SJG4" s="37"/>
      <c r="SJH4" s="37"/>
      <c r="SJI4" s="37"/>
      <c r="SJJ4" s="37"/>
      <c r="SJK4" s="37"/>
      <c r="SJL4" s="37"/>
      <c r="SJM4" s="37"/>
      <c r="SJN4" s="37"/>
      <c r="SJO4" s="37"/>
      <c r="SJP4" s="37"/>
      <c r="SJQ4" s="37"/>
      <c r="SJR4" s="37"/>
      <c r="SJS4" s="37"/>
      <c r="SJT4" s="37"/>
      <c r="SJU4" s="37"/>
      <c r="SJV4" s="37"/>
      <c r="SJW4" s="37"/>
      <c r="SJX4" s="37"/>
      <c r="SJY4" s="37"/>
      <c r="SJZ4" s="37"/>
      <c r="SKA4" s="37"/>
      <c r="SKB4" s="37"/>
      <c r="SKC4" s="37"/>
      <c r="SKD4" s="37"/>
      <c r="SKE4" s="37"/>
      <c r="SKF4" s="37"/>
      <c r="SKG4" s="37"/>
      <c r="SKH4" s="37"/>
      <c r="SKI4" s="37"/>
      <c r="SKJ4" s="37"/>
      <c r="SKK4" s="37"/>
      <c r="SKL4" s="37"/>
      <c r="SKM4" s="37"/>
      <c r="SKN4" s="37"/>
      <c r="SKO4" s="37"/>
      <c r="SKP4" s="37"/>
      <c r="SKQ4" s="37"/>
      <c r="SKR4" s="37"/>
      <c r="SKS4" s="37"/>
      <c r="SKT4" s="37"/>
      <c r="SKU4" s="37"/>
      <c r="SKV4" s="37"/>
      <c r="SKW4" s="37"/>
      <c r="SKX4" s="37"/>
      <c r="SKY4" s="37"/>
      <c r="SKZ4" s="37"/>
      <c r="SLA4" s="37"/>
      <c r="SLB4" s="37"/>
      <c r="SLC4" s="37"/>
      <c r="SLD4" s="37"/>
      <c r="SLE4" s="37"/>
      <c r="SLF4" s="37"/>
      <c r="SLG4" s="37"/>
      <c r="SLH4" s="37"/>
      <c r="SLI4" s="37"/>
      <c r="SLJ4" s="37"/>
      <c r="SLK4" s="37"/>
      <c r="SLL4" s="37"/>
      <c r="SLM4" s="37"/>
      <c r="SLN4" s="37"/>
      <c r="SLO4" s="37"/>
      <c r="SLP4" s="37"/>
      <c r="SLQ4" s="37"/>
      <c r="SLR4" s="37"/>
      <c r="SLS4" s="37"/>
      <c r="SLT4" s="37"/>
      <c r="SLU4" s="37"/>
      <c r="SLV4" s="37"/>
      <c r="SLW4" s="37"/>
      <c r="SLX4" s="37"/>
      <c r="SLY4" s="37"/>
      <c r="SLZ4" s="37"/>
      <c r="SMA4" s="37"/>
      <c r="SMB4" s="37"/>
      <c r="SMC4" s="37"/>
      <c r="SMD4" s="37"/>
      <c r="SME4" s="37"/>
      <c r="SMF4" s="37"/>
      <c r="SMG4" s="37"/>
      <c r="SMH4" s="37"/>
      <c r="SMI4" s="37"/>
      <c r="SMJ4" s="37"/>
      <c r="SMK4" s="37"/>
      <c r="SML4" s="37"/>
      <c r="SMM4" s="37"/>
      <c r="SMN4" s="37"/>
      <c r="SMO4" s="37"/>
      <c r="SMP4" s="37"/>
      <c r="SMQ4" s="37"/>
      <c r="SMR4" s="37"/>
      <c r="SMS4" s="37"/>
      <c r="SMT4" s="37"/>
      <c r="SMU4" s="37"/>
      <c r="SMV4" s="37"/>
      <c r="SMW4" s="37"/>
      <c r="SMX4" s="37"/>
      <c r="SMY4" s="37"/>
      <c r="SMZ4" s="37"/>
      <c r="SNA4" s="37"/>
      <c r="SNB4" s="37"/>
      <c r="SNC4" s="37"/>
      <c r="SND4" s="37"/>
      <c r="SNE4" s="37"/>
      <c r="SNF4" s="37"/>
      <c r="SNG4" s="37"/>
      <c r="SNH4" s="37"/>
      <c r="SNI4" s="37"/>
      <c r="SNJ4" s="37"/>
      <c r="SNK4" s="37"/>
      <c r="SNL4" s="37"/>
      <c r="SNM4" s="37"/>
      <c r="SNN4" s="37"/>
      <c r="SNO4" s="37"/>
      <c r="SNP4" s="37"/>
      <c r="SNQ4" s="37"/>
      <c r="SNR4" s="37"/>
      <c r="SNS4" s="37"/>
      <c r="SNT4" s="37"/>
      <c r="SNU4" s="37"/>
      <c r="SNV4" s="37"/>
      <c r="SNW4" s="37"/>
      <c r="SNX4" s="37"/>
      <c r="SNY4" s="37"/>
      <c r="SNZ4" s="37"/>
      <c r="SOA4" s="37"/>
      <c r="SOB4" s="37"/>
      <c r="SOC4" s="37"/>
      <c r="SOD4" s="37"/>
      <c r="SOE4" s="37"/>
      <c r="SOF4" s="37"/>
      <c r="SOG4" s="37"/>
      <c r="SOH4" s="37"/>
      <c r="SOI4" s="37"/>
      <c r="SOJ4" s="37"/>
      <c r="SOK4" s="37"/>
      <c r="SOL4" s="37"/>
      <c r="SOM4" s="37"/>
      <c r="SON4" s="37"/>
      <c r="SOO4" s="37"/>
      <c r="SOP4" s="37"/>
      <c r="SOQ4" s="37"/>
      <c r="SOR4" s="37"/>
      <c r="SOS4" s="37"/>
      <c r="SOT4" s="37"/>
      <c r="SOU4" s="37"/>
      <c r="SOV4" s="37"/>
      <c r="SOW4" s="37"/>
      <c r="SOX4" s="37"/>
      <c r="SOY4" s="37"/>
      <c r="SOZ4" s="37"/>
      <c r="SPA4" s="37"/>
      <c r="SPB4" s="37"/>
      <c r="SPC4" s="37"/>
      <c r="SPD4" s="37"/>
      <c r="SPE4" s="37"/>
      <c r="SPF4" s="37"/>
      <c r="SPG4" s="37"/>
      <c r="SPH4" s="37"/>
      <c r="SPI4" s="37"/>
      <c r="SPJ4" s="37"/>
      <c r="SPK4" s="37"/>
      <c r="SPL4" s="37"/>
      <c r="SPM4" s="37"/>
      <c r="SPN4" s="37"/>
      <c r="SPO4" s="37"/>
      <c r="SPP4" s="37"/>
      <c r="SPQ4" s="37"/>
      <c r="SPR4" s="37"/>
      <c r="SPS4" s="37"/>
      <c r="SPT4" s="37"/>
      <c r="SPU4" s="37"/>
      <c r="SPV4" s="37"/>
      <c r="SPW4" s="37"/>
      <c r="SPX4" s="37"/>
      <c r="SPY4" s="37"/>
      <c r="SPZ4" s="37"/>
      <c r="SQA4" s="37"/>
      <c r="SQB4" s="37"/>
      <c r="SQC4" s="37"/>
      <c r="SQD4" s="37"/>
      <c r="SQE4" s="37"/>
      <c r="SQF4" s="37"/>
      <c r="SQG4" s="37"/>
      <c r="SQH4" s="37"/>
      <c r="SQI4" s="37"/>
      <c r="SQJ4" s="37"/>
      <c r="SQK4" s="37"/>
      <c r="SQL4" s="37"/>
      <c r="SQM4" s="37"/>
      <c r="SQN4" s="37"/>
      <c r="SQO4" s="37"/>
      <c r="SQP4" s="37"/>
      <c r="SQQ4" s="37"/>
      <c r="SQR4" s="37"/>
      <c r="SQS4" s="37"/>
      <c r="SQT4" s="37"/>
      <c r="SQU4" s="37"/>
      <c r="SQV4" s="37"/>
      <c r="SQW4" s="37"/>
      <c r="SQX4" s="37"/>
      <c r="SQY4" s="37"/>
      <c r="SQZ4" s="37"/>
      <c r="SRA4" s="37"/>
      <c r="SRB4" s="37"/>
      <c r="SRC4" s="37"/>
      <c r="SRD4" s="37"/>
      <c r="SRE4" s="37"/>
      <c r="SRF4" s="37"/>
      <c r="SRG4" s="37"/>
      <c r="SRH4" s="37"/>
      <c r="SRI4" s="37"/>
      <c r="SRJ4" s="37"/>
      <c r="SRK4" s="37"/>
      <c r="SRL4" s="37"/>
      <c r="SRM4" s="37"/>
      <c r="SRN4" s="37"/>
      <c r="SRO4" s="37"/>
      <c r="SRP4" s="37"/>
      <c r="SRQ4" s="37"/>
      <c r="SRR4" s="37"/>
      <c r="SRS4" s="37"/>
      <c r="SRT4" s="37"/>
      <c r="SRU4" s="37"/>
      <c r="SRV4" s="37"/>
      <c r="SRW4" s="37"/>
      <c r="SRX4" s="37"/>
      <c r="SRY4" s="37"/>
      <c r="SRZ4" s="37"/>
      <c r="SSA4" s="37"/>
      <c r="SSB4" s="37"/>
      <c r="SSC4" s="37"/>
      <c r="SSD4" s="37"/>
      <c r="SSE4" s="37"/>
      <c r="SSF4" s="37"/>
      <c r="SSG4" s="37"/>
      <c r="SSH4" s="37"/>
      <c r="SSI4" s="37"/>
      <c r="SSJ4" s="37"/>
      <c r="SSK4" s="37"/>
      <c r="SSL4" s="37"/>
      <c r="SSM4" s="37"/>
      <c r="SSN4" s="37"/>
      <c r="SSO4" s="37"/>
      <c r="SSP4" s="37"/>
      <c r="SSQ4" s="37"/>
      <c r="SSR4" s="37"/>
      <c r="SSS4" s="37"/>
      <c r="SST4" s="37"/>
      <c r="SSU4" s="37"/>
      <c r="SSV4" s="37"/>
      <c r="SSW4" s="37"/>
      <c r="SSX4" s="37"/>
      <c r="SSY4" s="37"/>
      <c r="SSZ4" s="37"/>
      <c r="STA4" s="37"/>
      <c r="STB4" s="37"/>
      <c r="STC4" s="37"/>
      <c r="STD4" s="37"/>
      <c r="STE4" s="37"/>
      <c r="STF4" s="37"/>
      <c r="STG4" s="37"/>
      <c r="STH4" s="37"/>
      <c r="STI4" s="37"/>
      <c r="STJ4" s="37"/>
      <c r="STK4" s="37"/>
      <c r="STL4" s="37"/>
      <c r="STM4" s="37"/>
      <c r="STN4" s="37"/>
      <c r="STO4" s="37"/>
      <c r="STP4" s="37"/>
      <c r="STQ4" s="37"/>
      <c r="STR4" s="37"/>
      <c r="STS4" s="37"/>
      <c r="STT4" s="37"/>
      <c r="STU4" s="37"/>
      <c r="STV4" s="37"/>
      <c r="STW4" s="37"/>
      <c r="STX4" s="37"/>
      <c r="STY4" s="37"/>
      <c r="STZ4" s="37"/>
      <c r="SUA4" s="37"/>
      <c r="SUB4" s="37"/>
      <c r="SUC4" s="37"/>
      <c r="SUD4" s="37"/>
      <c r="SUE4" s="37"/>
      <c r="SUF4" s="37"/>
      <c r="SUG4" s="37"/>
      <c r="SUH4" s="37"/>
      <c r="SUI4" s="37"/>
      <c r="SUJ4" s="37"/>
      <c r="SUK4" s="37"/>
      <c r="SUL4" s="37"/>
      <c r="SUM4" s="37"/>
      <c r="SUN4" s="37"/>
      <c r="SUO4" s="37"/>
      <c r="SUP4" s="37"/>
      <c r="SUQ4" s="37"/>
      <c r="SUR4" s="37"/>
      <c r="SUS4" s="37"/>
      <c r="SUT4" s="37"/>
      <c r="SUU4" s="37"/>
      <c r="SUV4" s="37"/>
      <c r="SUW4" s="37"/>
      <c r="SUX4" s="37"/>
      <c r="SUY4" s="37"/>
      <c r="SUZ4" s="37"/>
      <c r="SVA4" s="37"/>
      <c r="SVB4" s="37"/>
      <c r="SVC4" s="37"/>
      <c r="SVD4" s="37"/>
      <c r="SVE4" s="37"/>
      <c r="SVF4" s="37"/>
      <c r="SVG4" s="37"/>
      <c r="SVH4" s="37"/>
      <c r="SVI4" s="37"/>
      <c r="SVJ4" s="37"/>
      <c r="SVK4" s="37"/>
      <c r="SVL4" s="37"/>
      <c r="SVM4" s="37"/>
      <c r="SVN4" s="37"/>
      <c r="SVO4" s="37"/>
      <c r="SVP4" s="37"/>
      <c r="SVQ4" s="37"/>
      <c r="SVR4" s="37"/>
      <c r="SVS4" s="37"/>
      <c r="SVT4" s="37"/>
      <c r="SVU4" s="37"/>
      <c r="SVV4" s="37"/>
      <c r="SVW4" s="37"/>
      <c r="SVX4" s="37"/>
      <c r="SVY4" s="37"/>
      <c r="SVZ4" s="37"/>
      <c r="SWA4" s="37"/>
      <c r="SWB4" s="37"/>
      <c r="SWC4" s="37"/>
      <c r="SWD4" s="37"/>
      <c r="SWE4" s="37"/>
      <c r="SWF4" s="37"/>
      <c r="SWG4" s="37"/>
      <c r="SWH4" s="37"/>
      <c r="SWI4" s="37"/>
      <c r="SWJ4" s="37"/>
      <c r="SWK4" s="37"/>
      <c r="SWL4" s="37"/>
      <c r="SWM4" s="37"/>
      <c r="SWN4" s="37"/>
      <c r="SWO4" s="37"/>
      <c r="SWP4" s="37"/>
      <c r="SWQ4" s="37"/>
      <c r="SWR4" s="37"/>
      <c r="SWS4" s="37"/>
      <c r="SWT4" s="37"/>
      <c r="SWU4" s="37"/>
      <c r="SWV4" s="37"/>
      <c r="SWW4" s="37"/>
      <c r="SWX4" s="37"/>
      <c r="SWY4" s="37"/>
      <c r="SWZ4" s="37"/>
      <c r="SXA4" s="37"/>
      <c r="SXB4" s="37"/>
      <c r="SXC4" s="37"/>
      <c r="SXD4" s="37"/>
      <c r="SXE4" s="37"/>
      <c r="SXF4" s="37"/>
      <c r="SXG4" s="37"/>
      <c r="SXH4" s="37"/>
      <c r="SXI4" s="37"/>
      <c r="SXJ4" s="37"/>
      <c r="SXK4" s="37"/>
      <c r="SXL4" s="37"/>
      <c r="SXM4" s="37"/>
      <c r="SXN4" s="37"/>
      <c r="SXO4" s="37"/>
      <c r="SXP4" s="37"/>
      <c r="SXQ4" s="37"/>
      <c r="SXR4" s="37"/>
      <c r="SXS4" s="37"/>
      <c r="SXT4" s="37"/>
      <c r="SXU4" s="37"/>
      <c r="SXV4" s="37"/>
      <c r="SXW4" s="37"/>
      <c r="SXX4" s="37"/>
      <c r="SXY4" s="37"/>
      <c r="SXZ4" s="37"/>
      <c r="SYA4" s="37"/>
      <c r="SYB4" s="37"/>
      <c r="SYC4" s="37"/>
      <c r="SYD4" s="37"/>
      <c r="SYE4" s="37"/>
      <c r="SYF4" s="37"/>
      <c r="SYG4" s="37"/>
      <c r="SYH4" s="37"/>
      <c r="SYI4" s="37"/>
      <c r="SYJ4" s="37"/>
      <c r="SYK4" s="37"/>
      <c r="SYL4" s="37"/>
      <c r="SYM4" s="37"/>
      <c r="SYN4" s="37"/>
      <c r="SYO4" s="37"/>
      <c r="SYP4" s="37"/>
      <c r="SYQ4" s="37"/>
      <c r="SYR4" s="37"/>
      <c r="SYS4" s="37"/>
      <c r="SYT4" s="37"/>
      <c r="SYU4" s="37"/>
      <c r="SYV4" s="37"/>
      <c r="SYW4" s="37"/>
      <c r="SYX4" s="37"/>
      <c r="SYY4" s="37"/>
      <c r="SYZ4" s="37"/>
      <c r="SZA4" s="37"/>
      <c r="SZB4" s="37"/>
      <c r="SZC4" s="37"/>
      <c r="SZD4" s="37"/>
      <c r="SZE4" s="37"/>
      <c r="SZF4" s="37"/>
      <c r="SZG4" s="37"/>
      <c r="SZH4" s="37"/>
      <c r="SZI4" s="37"/>
      <c r="SZJ4" s="37"/>
      <c r="SZK4" s="37"/>
      <c r="SZL4" s="37"/>
      <c r="SZM4" s="37"/>
      <c r="SZN4" s="37"/>
      <c r="SZO4" s="37"/>
      <c r="SZP4" s="37"/>
      <c r="SZQ4" s="37"/>
      <c r="SZR4" s="37"/>
      <c r="SZS4" s="37"/>
      <c r="SZT4" s="37"/>
      <c r="SZU4" s="37"/>
      <c r="SZV4" s="37"/>
      <c r="SZW4" s="37"/>
      <c r="SZX4" s="37"/>
      <c r="SZY4" s="37"/>
      <c r="SZZ4" s="37"/>
      <c r="TAA4" s="37"/>
      <c r="TAB4" s="37"/>
      <c r="TAC4" s="37"/>
      <c r="TAD4" s="37"/>
      <c r="TAE4" s="37"/>
      <c r="TAF4" s="37"/>
      <c r="TAG4" s="37"/>
      <c r="TAH4" s="37"/>
      <c r="TAI4" s="37"/>
      <c r="TAJ4" s="37"/>
      <c r="TAK4" s="37"/>
      <c r="TAL4" s="37"/>
      <c r="TAM4" s="37"/>
      <c r="TAN4" s="37"/>
      <c r="TAO4" s="37"/>
      <c r="TAP4" s="37"/>
      <c r="TAQ4" s="37"/>
      <c r="TAR4" s="37"/>
      <c r="TAS4" s="37"/>
      <c r="TAT4" s="37"/>
      <c r="TAU4" s="37"/>
      <c r="TAV4" s="37"/>
      <c r="TAW4" s="37"/>
      <c r="TAX4" s="37"/>
      <c r="TAY4" s="37"/>
      <c r="TAZ4" s="37"/>
      <c r="TBA4" s="37"/>
      <c r="TBB4" s="37"/>
      <c r="TBC4" s="37"/>
      <c r="TBD4" s="37"/>
      <c r="TBE4" s="37"/>
      <c r="TBF4" s="37"/>
      <c r="TBG4" s="37"/>
      <c r="TBH4" s="37"/>
      <c r="TBI4" s="37"/>
      <c r="TBJ4" s="37"/>
      <c r="TBK4" s="37"/>
      <c r="TBL4" s="37"/>
      <c r="TBM4" s="37"/>
      <c r="TBN4" s="37"/>
      <c r="TBO4" s="37"/>
      <c r="TBP4" s="37"/>
      <c r="TBQ4" s="37"/>
      <c r="TBR4" s="37"/>
      <c r="TBS4" s="37"/>
      <c r="TBT4" s="37"/>
      <c r="TBU4" s="37"/>
      <c r="TBV4" s="37"/>
      <c r="TBW4" s="37"/>
      <c r="TBX4" s="37"/>
      <c r="TBY4" s="37"/>
      <c r="TBZ4" s="37"/>
      <c r="TCA4" s="37"/>
      <c r="TCB4" s="37"/>
      <c r="TCC4" s="37"/>
      <c r="TCD4" s="37"/>
      <c r="TCE4" s="37"/>
      <c r="TCF4" s="37"/>
      <c r="TCG4" s="37"/>
      <c r="TCH4" s="37"/>
      <c r="TCI4" s="37"/>
      <c r="TCJ4" s="37"/>
      <c r="TCK4" s="37"/>
      <c r="TCL4" s="37"/>
      <c r="TCM4" s="37"/>
      <c r="TCN4" s="37"/>
      <c r="TCO4" s="37"/>
      <c r="TCP4" s="37"/>
      <c r="TCQ4" s="37"/>
      <c r="TCR4" s="37"/>
      <c r="TCS4" s="37"/>
      <c r="TCT4" s="37"/>
      <c r="TCU4" s="37"/>
      <c r="TCV4" s="37"/>
      <c r="TCW4" s="37"/>
      <c r="TCX4" s="37"/>
      <c r="TCY4" s="37"/>
      <c r="TCZ4" s="37"/>
      <c r="TDA4" s="37"/>
      <c r="TDB4" s="37"/>
      <c r="TDC4" s="37"/>
      <c r="TDD4" s="37"/>
      <c r="TDE4" s="37"/>
      <c r="TDF4" s="37"/>
      <c r="TDG4" s="37"/>
      <c r="TDH4" s="37"/>
      <c r="TDI4" s="37"/>
      <c r="TDJ4" s="37"/>
      <c r="TDK4" s="37"/>
      <c r="TDL4" s="37"/>
      <c r="TDM4" s="37"/>
      <c r="TDN4" s="37"/>
      <c r="TDO4" s="37"/>
      <c r="TDP4" s="37"/>
      <c r="TDQ4" s="37"/>
      <c r="TDR4" s="37"/>
      <c r="TDS4" s="37"/>
      <c r="TDT4" s="37"/>
      <c r="TDU4" s="37"/>
      <c r="TDV4" s="37"/>
      <c r="TDW4" s="37"/>
      <c r="TDX4" s="37"/>
      <c r="TDY4" s="37"/>
      <c r="TDZ4" s="37"/>
      <c r="TEA4" s="37"/>
      <c r="TEB4" s="37"/>
      <c r="TEC4" s="37"/>
      <c r="TED4" s="37"/>
      <c r="TEE4" s="37"/>
      <c r="TEF4" s="37"/>
      <c r="TEG4" s="37"/>
      <c r="TEH4" s="37"/>
      <c r="TEI4" s="37"/>
      <c r="TEJ4" s="37"/>
      <c r="TEK4" s="37"/>
      <c r="TEL4" s="37"/>
      <c r="TEM4" s="37"/>
      <c r="TEN4" s="37"/>
      <c r="TEO4" s="37"/>
      <c r="TEP4" s="37"/>
      <c r="TEQ4" s="37"/>
      <c r="TER4" s="37"/>
      <c r="TES4" s="37"/>
      <c r="TET4" s="37"/>
      <c r="TEU4" s="37"/>
      <c r="TEV4" s="37"/>
      <c r="TEW4" s="37"/>
      <c r="TEX4" s="37"/>
      <c r="TEY4" s="37"/>
      <c r="TEZ4" s="37"/>
      <c r="TFA4" s="37"/>
      <c r="TFB4" s="37"/>
      <c r="TFC4" s="37"/>
      <c r="TFD4" s="37"/>
      <c r="TFE4" s="37"/>
      <c r="TFF4" s="37"/>
      <c r="TFG4" s="37"/>
      <c r="TFH4" s="37"/>
      <c r="TFI4" s="37"/>
      <c r="TFJ4" s="37"/>
      <c r="TFK4" s="37"/>
      <c r="TFL4" s="37"/>
      <c r="TFM4" s="37"/>
      <c r="TFN4" s="37"/>
      <c r="TFO4" s="37"/>
      <c r="TFP4" s="37"/>
      <c r="TFQ4" s="37"/>
      <c r="TFR4" s="37"/>
      <c r="TFS4" s="37"/>
      <c r="TFT4" s="37"/>
      <c r="TFU4" s="37"/>
      <c r="TFV4" s="37"/>
      <c r="TFW4" s="37"/>
      <c r="TFX4" s="37"/>
      <c r="TFY4" s="37"/>
      <c r="TFZ4" s="37"/>
      <c r="TGA4" s="37"/>
      <c r="TGB4" s="37"/>
      <c r="TGC4" s="37"/>
      <c r="TGD4" s="37"/>
      <c r="TGE4" s="37"/>
      <c r="TGF4" s="37"/>
      <c r="TGG4" s="37"/>
      <c r="TGH4" s="37"/>
      <c r="TGI4" s="37"/>
      <c r="TGJ4" s="37"/>
      <c r="TGK4" s="37"/>
      <c r="TGL4" s="37"/>
      <c r="TGM4" s="37"/>
      <c r="TGN4" s="37"/>
      <c r="TGO4" s="37"/>
      <c r="TGP4" s="37"/>
      <c r="TGQ4" s="37"/>
      <c r="TGR4" s="37"/>
      <c r="TGS4" s="37"/>
      <c r="TGT4" s="37"/>
      <c r="TGU4" s="37"/>
      <c r="TGV4" s="37"/>
      <c r="TGW4" s="37"/>
      <c r="TGX4" s="37"/>
      <c r="TGY4" s="37"/>
      <c r="TGZ4" s="37"/>
      <c r="THA4" s="37"/>
      <c r="THB4" s="37"/>
      <c r="THC4" s="37"/>
      <c r="THD4" s="37"/>
      <c r="THE4" s="37"/>
      <c r="THF4" s="37"/>
      <c r="THG4" s="37"/>
      <c r="THH4" s="37"/>
      <c r="THI4" s="37"/>
      <c r="THJ4" s="37"/>
      <c r="THK4" s="37"/>
      <c r="THL4" s="37"/>
      <c r="THM4" s="37"/>
      <c r="THN4" s="37"/>
      <c r="THO4" s="37"/>
      <c r="THP4" s="37"/>
      <c r="THQ4" s="37"/>
      <c r="THR4" s="37"/>
      <c r="THS4" s="37"/>
      <c r="THT4" s="37"/>
      <c r="THU4" s="37"/>
      <c r="THV4" s="37"/>
      <c r="THW4" s="37"/>
      <c r="THX4" s="37"/>
      <c r="THY4" s="37"/>
      <c r="THZ4" s="37"/>
      <c r="TIA4" s="37"/>
      <c r="TIB4" s="37"/>
      <c r="TIC4" s="37"/>
      <c r="TID4" s="37"/>
      <c r="TIE4" s="37"/>
      <c r="TIF4" s="37"/>
      <c r="TIG4" s="37"/>
      <c r="TIH4" s="37"/>
      <c r="TII4" s="37"/>
      <c r="TIJ4" s="37"/>
      <c r="TIK4" s="37"/>
      <c r="TIL4" s="37"/>
      <c r="TIM4" s="37"/>
      <c r="TIN4" s="37"/>
      <c r="TIO4" s="37"/>
      <c r="TIP4" s="37"/>
      <c r="TIQ4" s="37"/>
      <c r="TIR4" s="37"/>
      <c r="TIS4" s="37"/>
      <c r="TIT4" s="37"/>
      <c r="TIU4" s="37"/>
      <c r="TIV4" s="37"/>
      <c r="TIW4" s="37"/>
      <c r="TIX4" s="37"/>
      <c r="TIY4" s="37"/>
      <c r="TIZ4" s="37"/>
      <c r="TJA4" s="37"/>
      <c r="TJB4" s="37"/>
      <c r="TJC4" s="37"/>
      <c r="TJD4" s="37"/>
      <c r="TJE4" s="37"/>
      <c r="TJF4" s="37"/>
      <c r="TJG4" s="37"/>
      <c r="TJH4" s="37"/>
      <c r="TJI4" s="37"/>
      <c r="TJJ4" s="37"/>
      <c r="TJK4" s="37"/>
      <c r="TJL4" s="37"/>
      <c r="TJM4" s="37"/>
      <c r="TJN4" s="37"/>
      <c r="TJO4" s="37"/>
      <c r="TJP4" s="37"/>
      <c r="TJQ4" s="37"/>
      <c r="TJR4" s="37"/>
      <c r="TJS4" s="37"/>
      <c r="TJT4" s="37"/>
      <c r="TJU4" s="37"/>
      <c r="TJV4" s="37"/>
      <c r="TJW4" s="37"/>
      <c r="TJX4" s="37"/>
      <c r="TJY4" s="37"/>
      <c r="TJZ4" s="37"/>
      <c r="TKA4" s="37"/>
      <c r="TKB4" s="37"/>
      <c r="TKC4" s="37"/>
      <c r="TKD4" s="37"/>
      <c r="TKE4" s="37"/>
      <c r="TKF4" s="37"/>
      <c r="TKG4" s="37"/>
      <c r="TKH4" s="37"/>
      <c r="TKI4" s="37"/>
      <c r="TKJ4" s="37"/>
      <c r="TKK4" s="37"/>
      <c r="TKL4" s="37"/>
      <c r="TKM4" s="37"/>
      <c r="TKN4" s="37"/>
      <c r="TKO4" s="37"/>
      <c r="TKP4" s="37"/>
      <c r="TKQ4" s="37"/>
      <c r="TKR4" s="37"/>
      <c r="TKS4" s="37"/>
      <c r="TKT4" s="37"/>
      <c r="TKU4" s="37"/>
      <c r="TKV4" s="37"/>
      <c r="TKW4" s="37"/>
      <c r="TKX4" s="37"/>
      <c r="TKY4" s="37"/>
      <c r="TKZ4" s="37"/>
      <c r="TLA4" s="37"/>
      <c r="TLB4" s="37"/>
      <c r="TLC4" s="37"/>
      <c r="TLD4" s="37"/>
      <c r="TLE4" s="37"/>
      <c r="TLF4" s="37"/>
      <c r="TLG4" s="37"/>
      <c r="TLH4" s="37"/>
      <c r="TLI4" s="37"/>
      <c r="TLJ4" s="37"/>
      <c r="TLK4" s="37"/>
      <c r="TLL4" s="37"/>
      <c r="TLM4" s="37"/>
      <c r="TLN4" s="37"/>
      <c r="TLO4" s="37"/>
      <c r="TLP4" s="37"/>
      <c r="TLQ4" s="37"/>
      <c r="TLR4" s="37"/>
      <c r="TLS4" s="37"/>
      <c r="TLT4" s="37"/>
      <c r="TLU4" s="37"/>
      <c r="TLV4" s="37"/>
      <c r="TLW4" s="37"/>
      <c r="TLX4" s="37"/>
      <c r="TLY4" s="37"/>
      <c r="TLZ4" s="37"/>
      <c r="TMA4" s="37"/>
      <c r="TMB4" s="37"/>
      <c r="TMC4" s="37"/>
      <c r="TMD4" s="37"/>
      <c r="TME4" s="37"/>
      <c r="TMF4" s="37"/>
      <c r="TMG4" s="37"/>
      <c r="TMH4" s="37"/>
      <c r="TMI4" s="37"/>
      <c r="TMJ4" s="37"/>
      <c r="TMK4" s="37"/>
      <c r="TML4" s="37"/>
      <c r="TMM4" s="37"/>
      <c r="TMN4" s="37"/>
      <c r="TMO4" s="37"/>
      <c r="TMP4" s="37"/>
      <c r="TMQ4" s="37"/>
      <c r="TMR4" s="37"/>
      <c r="TMS4" s="37"/>
      <c r="TMT4" s="37"/>
      <c r="TMU4" s="37"/>
      <c r="TMV4" s="37"/>
      <c r="TMW4" s="37"/>
      <c r="TMX4" s="37"/>
      <c r="TMY4" s="37"/>
      <c r="TMZ4" s="37"/>
      <c r="TNA4" s="37"/>
      <c r="TNB4" s="37"/>
      <c r="TNC4" s="37"/>
      <c r="TND4" s="37"/>
      <c r="TNE4" s="37"/>
      <c r="TNF4" s="37"/>
      <c r="TNG4" s="37"/>
      <c r="TNH4" s="37"/>
      <c r="TNI4" s="37"/>
      <c r="TNJ4" s="37"/>
      <c r="TNK4" s="37"/>
      <c r="TNL4" s="37"/>
      <c r="TNM4" s="37"/>
      <c r="TNN4" s="37"/>
      <c r="TNO4" s="37"/>
      <c r="TNP4" s="37"/>
      <c r="TNQ4" s="37"/>
      <c r="TNR4" s="37"/>
      <c r="TNS4" s="37"/>
      <c r="TNT4" s="37"/>
      <c r="TNU4" s="37"/>
      <c r="TNV4" s="37"/>
      <c r="TNW4" s="37"/>
      <c r="TNX4" s="37"/>
      <c r="TNY4" s="37"/>
      <c r="TNZ4" s="37"/>
      <c r="TOA4" s="37"/>
      <c r="TOB4" s="37"/>
      <c r="TOC4" s="37"/>
      <c r="TOD4" s="37"/>
      <c r="TOE4" s="37"/>
      <c r="TOF4" s="37"/>
      <c r="TOG4" s="37"/>
      <c r="TOH4" s="37"/>
      <c r="TOI4" s="37"/>
      <c r="TOJ4" s="37"/>
      <c r="TOK4" s="37"/>
      <c r="TOL4" s="37"/>
      <c r="TOM4" s="37"/>
      <c r="TON4" s="37"/>
      <c r="TOO4" s="37"/>
      <c r="TOP4" s="37"/>
      <c r="TOQ4" s="37"/>
      <c r="TOR4" s="37"/>
      <c r="TOS4" s="37"/>
      <c r="TOT4" s="37"/>
      <c r="TOU4" s="37"/>
      <c r="TOV4" s="37"/>
      <c r="TOW4" s="37"/>
      <c r="TOX4" s="37"/>
      <c r="TOY4" s="37"/>
      <c r="TOZ4" s="37"/>
      <c r="TPA4" s="37"/>
      <c r="TPB4" s="37"/>
      <c r="TPC4" s="37"/>
      <c r="TPD4" s="37"/>
      <c r="TPE4" s="37"/>
      <c r="TPF4" s="37"/>
      <c r="TPG4" s="37"/>
      <c r="TPH4" s="37"/>
      <c r="TPI4" s="37"/>
      <c r="TPJ4" s="37"/>
      <c r="TPK4" s="37"/>
      <c r="TPL4" s="37"/>
      <c r="TPM4" s="37"/>
      <c r="TPN4" s="37"/>
      <c r="TPO4" s="37"/>
      <c r="TPP4" s="37"/>
      <c r="TPQ4" s="37"/>
      <c r="TPR4" s="37"/>
      <c r="TPS4" s="37"/>
      <c r="TPT4" s="37"/>
      <c r="TPU4" s="37"/>
      <c r="TPV4" s="37"/>
      <c r="TPW4" s="37"/>
      <c r="TPX4" s="37"/>
      <c r="TPY4" s="37"/>
      <c r="TPZ4" s="37"/>
      <c r="TQA4" s="37"/>
      <c r="TQB4" s="37"/>
      <c r="TQC4" s="37"/>
      <c r="TQD4" s="37"/>
      <c r="TQE4" s="37"/>
      <c r="TQF4" s="37"/>
      <c r="TQG4" s="37"/>
      <c r="TQH4" s="37"/>
      <c r="TQI4" s="37"/>
      <c r="TQJ4" s="37"/>
      <c r="TQK4" s="37"/>
      <c r="TQL4" s="37"/>
      <c r="TQM4" s="37"/>
      <c r="TQN4" s="37"/>
      <c r="TQO4" s="37"/>
      <c r="TQP4" s="37"/>
      <c r="TQQ4" s="37"/>
      <c r="TQR4" s="37"/>
      <c r="TQS4" s="37"/>
      <c r="TQT4" s="37"/>
      <c r="TQU4" s="37"/>
      <c r="TQV4" s="37"/>
      <c r="TQW4" s="37"/>
      <c r="TQX4" s="37"/>
      <c r="TQY4" s="37"/>
      <c r="TQZ4" s="37"/>
      <c r="TRA4" s="37"/>
      <c r="TRB4" s="37"/>
      <c r="TRC4" s="37"/>
      <c r="TRD4" s="37"/>
      <c r="TRE4" s="37"/>
      <c r="TRF4" s="37"/>
      <c r="TRG4" s="37"/>
      <c r="TRH4" s="37"/>
      <c r="TRI4" s="37"/>
      <c r="TRJ4" s="37"/>
      <c r="TRK4" s="37"/>
      <c r="TRL4" s="37"/>
      <c r="TRM4" s="37"/>
      <c r="TRN4" s="37"/>
      <c r="TRO4" s="37"/>
      <c r="TRP4" s="37"/>
      <c r="TRQ4" s="37"/>
      <c r="TRR4" s="37"/>
      <c r="TRS4" s="37"/>
      <c r="TRT4" s="37"/>
      <c r="TRU4" s="37"/>
      <c r="TRV4" s="37"/>
      <c r="TRW4" s="37"/>
      <c r="TRX4" s="37"/>
      <c r="TRY4" s="37"/>
      <c r="TRZ4" s="37"/>
      <c r="TSA4" s="37"/>
      <c r="TSB4" s="37"/>
      <c r="TSC4" s="37"/>
      <c r="TSD4" s="37"/>
      <c r="TSE4" s="37"/>
      <c r="TSF4" s="37"/>
      <c r="TSG4" s="37"/>
      <c r="TSH4" s="37"/>
      <c r="TSI4" s="37"/>
      <c r="TSJ4" s="37"/>
      <c r="TSK4" s="37"/>
      <c r="TSL4" s="37"/>
      <c r="TSM4" s="37"/>
      <c r="TSN4" s="37"/>
      <c r="TSO4" s="37"/>
      <c r="TSP4" s="37"/>
      <c r="TSQ4" s="37"/>
      <c r="TSR4" s="37"/>
      <c r="TSS4" s="37"/>
      <c r="TST4" s="37"/>
      <c r="TSU4" s="37"/>
      <c r="TSV4" s="37"/>
      <c r="TSW4" s="37"/>
      <c r="TSX4" s="37"/>
      <c r="TSY4" s="37"/>
      <c r="TSZ4" s="37"/>
      <c r="TTA4" s="37"/>
      <c r="TTB4" s="37"/>
      <c r="TTC4" s="37"/>
      <c r="TTD4" s="37"/>
      <c r="TTE4" s="37"/>
      <c r="TTF4" s="37"/>
      <c r="TTG4" s="37"/>
      <c r="TTH4" s="37"/>
      <c r="TTI4" s="37"/>
      <c r="TTJ4" s="37"/>
      <c r="TTK4" s="37"/>
      <c r="TTL4" s="37"/>
      <c r="TTM4" s="37"/>
      <c r="TTN4" s="37"/>
      <c r="TTO4" s="37"/>
      <c r="TTP4" s="37"/>
      <c r="TTQ4" s="37"/>
      <c r="TTR4" s="37"/>
      <c r="TTS4" s="37"/>
      <c r="TTT4" s="37"/>
      <c r="TTU4" s="37"/>
      <c r="TTV4" s="37"/>
      <c r="TTW4" s="37"/>
      <c r="TTX4" s="37"/>
      <c r="TTY4" s="37"/>
      <c r="TTZ4" s="37"/>
      <c r="TUA4" s="37"/>
      <c r="TUB4" s="37"/>
      <c r="TUC4" s="37"/>
      <c r="TUD4" s="37"/>
      <c r="TUE4" s="37"/>
      <c r="TUF4" s="37"/>
      <c r="TUG4" s="37"/>
      <c r="TUH4" s="37"/>
      <c r="TUI4" s="37"/>
      <c r="TUJ4" s="37"/>
      <c r="TUK4" s="37"/>
      <c r="TUL4" s="37"/>
      <c r="TUM4" s="37"/>
      <c r="TUN4" s="37"/>
      <c r="TUO4" s="37"/>
      <c r="TUP4" s="37"/>
      <c r="TUQ4" s="37"/>
      <c r="TUR4" s="37"/>
      <c r="TUS4" s="37"/>
      <c r="TUT4" s="37"/>
      <c r="TUU4" s="37"/>
      <c r="TUV4" s="37"/>
      <c r="TUW4" s="37"/>
      <c r="TUX4" s="37"/>
      <c r="TUY4" s="37"/>
      <c r="TUZ4" s="37"/>
      <c r="TVA4" s="37"/>
      <c r="TVB4" s="37"/>
      <c r="TVC4" s="37"/>
      <c r="TVD4" s="37"/>
      <c r="TVE4" s="37"/>
      <c r="TVF4" s="37"/>
      <c r="TVG4" s="37"/>
      <c r="TVH4" s="37"/>
      <c r="TVI4" s="37"/>
      <c r="TVJ4" s="37"/>
      <c r="TVK4" s="37"/>
      <c r="TVL4" s="37"/>
      <c r="TVM4" s="37"/>
      <c r="TVN4" s="37"/>
      <c r="TVO4" s="37"/>
      <c r="TVP4" s="37"/>
      <c r="TVQ4" s="37"/>
      <c r="TVR4" s="37"/>
      <c r="TVS4" s="37"/>
      <c r="TVT4" s="37"/>
      <c r="TVU4" s="37"/>
      <c r="TVV4" s="37"/>
      <c r="TVW4" s="37"/>
      <c r="TVX4" s="37"/>
      <c r="TVY4" s="37"/>
      <c r="TVZ4" s="37"/>
      <c r="TWA4" s="37"/>
      <c r="TWB4" s="37"/>
      <c r="TWC4" s="37"/>
      <c r="TWD4" s="37"/>
      <c r="TWE4" s="37"/>
      <c r="TWF4" s="37"/>
      <c r="TWG4" s="37"/>
      <c r="TWH4" s="37"/>
      <c r="TWI4" s="37"/>
      <c r="TWJ4" s="37"/>
      <c r="TWK4" s="37"/>
      <c r="TWL4" s="37"/>
      <c r="TWM4" s="37"/>
      <c r="TWN4" s="37"/>
      <c r="TWO4" s="37"/>
      <c r="TWP4" s="37"/>
      <c r="TWQ4" s="37"/>
      <c r="TWR4" s="37"/>
      <c r="TWS4" s="37"/>
      <c r="TWT4" s="37"/>
      <c r="TWU4" s="37"/>
      <c r="TWV4" s="37"/>
      <c r="TWW4" s="37"/>
      <c r="TWX4" s="37"/>
      <c r="TWY4" s="37"/>
      <c r="TWZ4" s="37"/>
      <c r="TXA4" s="37"/>
      <c r="TXB4" s="37"/>
      <c r="TXC4" s="37"/>
      <c r="TXD4" s="37"/>
      <c r="TXE4" s="37"/>
      <c r="TXF4" s="37"/>
      <c r="TXG4" s="37"/>
      <c r="TXH4" s="37"/>
      <c r="TXI4" s="37"/>
      <c r="TXJ4" s="37"/>
      <c r="TXK4" s="37"/>
      <c r="TXL4" s="37"/>
      <c r="TXM4" s="37"/>
      <c r="TXN4" s="37"/>
      <c r="TXO4" s="37"/>
      <c r="TXP4" s="37"/>
      <c r="TXQ4" s="37"/>
      <c r="TXR4" s="37"/>
      <c r="TXS4" s="37"/>
      <c r="TXT4" s="37"/>
      <c r="TXU4" s="37"/>
      <c r="TXV4" s="37"/>
      <c r="TXW4" s="37"/>
      <c r="TXX4" s="37"/>
      <c r="TXY4" s="37"/>
      <c r="TXZ4" s="37"/>
      <c r="TYA4" s="37"/>
      <c r="TYB4" s="37"/>
      <c r="TYC4" s="37"/>
      <c r="TYD4" s="37"/>
      <c r="TYE4" s="37"/>
      <c r="TYF4" s="37"/>
      <c r="TYG4" s="37"/>
      <c r="TYH4" s="37"/>
      <c r="TYI4" s="37"/>
      <c r="TYJ4" s="37"/>
      <c r="TYK4" s="37"/>
      <c r="TYL4" s="37"/>
      <c r="TYM4" s="37"/>
      <c r="TYN4" s="37"/>
      <c r="TYO4" s="37"/>
      <c r="TYP4" s="37"/>
      <c r="TYQ4" s="37"/>
      <c r="TYR4" s="37"/>
      <c r="TYS4" s="37"/>
      <c r="TYT4" s="37"/>
      <c r="TYU4" s="37"/>
      <c r="TYV4" s="37"/>
      <c r="TYW4" s="37"/>
      <c r="TYX4" s="37"/>
      <c r="TYY4" s="37"/>
      <c r="TYZ4" s="37"/>
      <c r="TZA4" s="37"/>
      <c r="TZB4" s="37"/>
      <c r="TZC4" s="37"/>
      <c r="TZD4" s="37"/>
      <c r="TZE4" s="37"/>
      <c r="TZF4" s="37"/>
      <c r="TZG4" s="37"/>
      <c r="TZH4" s="37"/>
      <c r="TZI4" s="37"/>
      <c r="TZJ4" s="37"/>
      <c r="TZK4" s="37"/>
      <c r="TZL4" s="37"/>
      <c r="TZM4" s="37"/>
      <c r="TZN4" s="37"/>
      <c r="TZO4" s="37"/>
      <c r="TZP4" s="37"/>
      <c r="TZQ4" s="37"/>
      <c r="TZR4" s="37"/>
      <c r="TZS4" s="37"/>
      <c r="TZT4" s="37"/>
      <c r="TZU4" s="37"/>
      <c r="TZV4" s="37"/>
      <c r="TZW4" s="37"/>
      <c r="TZX4" s="37"/>
      <c r="TZY4" s="37"/>
      <c r="TZZ4" s="37"/>
      <c r="UAA4" s="37"/>
      <c r="UAB4" s="37"/>
      <c r="UAC4" s="37"/>
      <c r="UAD4" s="37"/>
      <c r="UAE4" s="37"/>
      <c r="UAF4" s="37"/>
      <c r="UAG4" s="37"/>
      <c r="UAH4" s="37"/>
      <c r="UAI4" s="37"/>
      <c r="UAJ4" s="37"/>
      <c r="UAK4" s="37"/>
      <c r="UAL4" s="37"/>
      <c r="UAM4" s="37"/>
      <c r="UAN4" s="37"/>
      <c r="UAO4" s="37"/>
      <c r="UAP4" s="37"/>
      <c r="UAQ4" s="37"/>
      <c r="UAR4" s="37"/>
      <c r="UAS4" s="37"/>
      <c r="UAT4" s="37"/>
      <c r="UAU4" s="37"/>
      <c r="UAV4" s="37"/>
      <c r="UAW4" s="37"/>
      <c r="UAX4" s="37"/>
      <c r="UAY4" s="37"/>
      <c r="UAZ4" s="37"/>
      <c r="UBA4" s="37"/>
      <c r="UBB4" s="37"/>
      <c r="UBC4" s="37"/>
      <c r="UBD4" s="37"/>
      <c r="UBE4" s="37"/>
      <c r="UBF4" s="37"/>
      <c r="UBG4" s="37"/>
      <c r="UBH4" s="37"/>
      <c r="UBI4" s="37"/>
      <c r="UBJ4" s="37"/>
      <c r="UBK4" s="37"/>
      <c r="UBL4" s="37"/>
      <c r="UBM4" s="37"/>
      <c r="UBN4" s="37"/>
      <c r="UBO4" s="37"/>
      <c r="UBP4" s="37"/>
      <c r="UBQ4" s="37"/>
      <c r="UBR4" s="37"/>
      <c r="UBS4" s="37"/>
      <c r="UBT4" s="37"/>
      <c r="UBU4" s="37"/>
      <c r="UBV4" s="37"/>
      <c r="UBW4" s="37"/>
      <c r="UBX4" s="37"/>
      <c r="UBY4" s="37"/>
      <c r="UBZ4" s="37"/>
      <c r="UCA4" s="37"/>
      <c r="UCB4" s="37"/>
      <c r="UCC4" s="37"/>
      <c r="UCD4" s="37"/>
      <c r="UCE4" s="37"/>
      <c r="UCF4" s="37"/>
      <c r="UCG4" s="37"/>
      <c r="UCH4" s="37"/>
      <c r="UCI4" s="37"/>
      <c r="UCJ4" s="37"/>
      <c r="UCK4" s="37"/>
      <c r="UCL4" s="37"/>
      <c r="UCM4" s="37"/>
      <c r="UCN4" s="37"/>
      <c r="UCO4" s="37"/>
      <c r="UCP4" s="37"/>
      <c r="UCQ4" s="37"/>
      <c r="UCR4" s="37"/>
      <c r="UCS4" s="37"/>
      <c r="UCT4" s="37"/>
      <c r="UCU4" s="37"/>
      <c r="UCV4" s="37"/>
      <c r="UCW4" s="37"/>
      <c r="UCX4" s="37"/>
      <c r="UCY4" s="37"/>
      <c r="UCZ4" s="37"/>
      <c r="UDA4" s="37"/>
      <c r="UDB4" s="37"/>
      <c r="UDC4" s="37"/>
      <c r="UDD4" s="37"/>
      <c r="UDE4" s="37"/>
      <c r="UDF4" s="37"/>
      <c r="UDG4" s="37"/>
      <c r="UDH4" s="37"/>
      <c r="UDI4" s="37"/>
      <c r="UDJ4" s="37"/>
      <c r="UDK4" s="37"/>
      <c r="UDL4" s="37"/>
      <c r="UDM4" s="37"/>
      <c r="UDN4" s="37"/>
      <c r="UDO4" s="37"/>
      <c r="UDP4" s="37"/>
      <c r="UDQ4" s="37"/>
      <c r="UDR4" s="37"/>
      <c r="UDS4" s="37"/>
      <c r="UDT4" s="37"/>
      <c r="UDU4" s="37"/>
      <c r="UDV4" s="37"/>
      <c r="UDW4" s="37"/>
      <c r="UDX4" s="37"/>
      <c r="UDY4" s="37"/>
      <c r="UDZ4" s="37"/>
      <c r="UEA4" s="37"/>
      <c r="UEB4" s="37"/>
      <c r="UEC4" s="37"/>
      <c r="UED4" s="37"/>
      <c r="UEE4" s="37"/>
      <c r="UEF4" s="37"/>
      <c r="UEG4" s="37"/>
      <c r="UEH4" s="37"/>
      <c r="UEI4" s="37"/>
      <c r="UEJ4" s="37"/>
      <c r="UEK4" s="37"/>
      <c r="UEL4" s="37"/>
      <c r="UEM4" s="37"/>
      <c r="UEN4" s="37"/>
      <c r="UEO4" s="37"/>
      <c r="UEP4" s="37"/>
      <c r="UEQ4" s="37"/>
      <c r="UER4" s="37"/>
      <c r="UES4" s="37"/>
      <c r="UET4" s="37"/>
      <c r="UEU4" s="37"/>
      <c r="UEV4" s="37"/>
      <c r="UEW4" s="37"/>
      <c r="UEX4" s="37"/>
      <c r="UEY4" s="37"/>
      <c r="UEZ4" s="37"/>
      <c r="UFA4" s="37"/>
      <c r="UFB4" s="37"/>
      <c r="UFC4" s="37"/>
      <c r="UFD4" s="37"/>
      <c r="UFE4" s="37"/>
      <c r="UFF4" s="37"/>
      <c r="UFG4" s="37"/>
      <c r="UFH4" s="37"/>
      <c r="UFI4" s="37"/>
      <c r="UFJ4" s="37"/>
      <c r="UFK4" s="37"/>
      <c r="UFL4" s="37"/>
      <c r="UFM4" s="37"/>
      <c r="UFN4" s="37"/>
      <c r="UFO4" s="37"/>
      <c r="UFP4" s="37"/>
      <c r="UFQ4" s="37"/>
      <c r="UFR4" s="37"/>
      <c r="UFS4" s="37"/>
      <c r="UFT4" s="37"/>
      <c r="UFU4" s="37"/>
      <c r="UFV4" s="37"/>
      <c r="UFW4" s="37"/>
      <c r="UFX4" s="37"/>
      <c r="UFY4" s="37"/>
      <c r="UFZ4" s="37"/>
      <c r="UGA4" s="37"/>
      <c r="UGB4" s="37"/>
      <c r="UGC4" s="37"/>
      <c r="UGD4" s="37"/>
      <c r="UGE4" s="37"/>
      <c r="UGF4" s="37"/>
      <c r="UGG4" s="37"/>
      <c r="UGH4" s="37"/>
      <c r="UGI4" s="37"/>
      <c r="UGJ4" s="37"/>
      <c r="UGK4" s="37"/>
      <c r="UGL4" s="37"/>
      <c r="UGM4" s="37"/>
      <c r="UGN4" s="37"/>
      <c r="UGO4" s="37"/>
      <c r="UGP4" s="37"/>
      <c r="UGQ4" s="37"/>
      <c r="UGR4" s="37"/>
      <c r="UGS4" s="37"/>
      <c r="UGT4" s="37"/>
      <c r="UGU4" s="37"/>
      <c r="UGV4" s="37"/>
      <c r="UGW4" s="37"/>
      <c r="UGX4" s="37"/>
      <c r="UGY4" s="37"/>
      <c r="UGZ4" s="37"/>
      <c r="UHA4" s="37"/>
      <c r="UHB4" s="37"/>
      <c r="UHC4" s="37"/>
      <c r="UHD4" s="37"/>
      <c r="UHE4" s="37"/>
      <c r="UHF4" s="37"/>
      <c r="UHG4" s="37"/>
      <c r="UHH4" s="37"/>
      <c r="UHI4" s="37"/>
      <c r="UHJ4" s="37"/>
      <c r="UHK4" s="37"/>
      <c r="UHL4" s="37"/>
      <c r="UHM4" s="37"/>
      <c r="UHN4" s="37"/>
      <c r="UHO4" s="37"/>
      <c r="UHP4" s="37"/>
      <c r="UHQ4" s="37"/>
      <c r="UHR4" s="37"/>
      <c r="UHS4" s="37"/>
      <c r="UHT4" s="37"/>
      <c r="UHU4" s="37"/>
      <c r="UHV4" s="37"/>
      <c r="UHW4" s="37"/>
      <c r="UHX4" s="37"/>
      <c r="UHY4" s="37"/>
      <c r="UHZ4" s="37"/>
      <c r="UIA4" s="37"/>
      <c r="UIB4" s="37"/>
      <c r="UIC4" s="37"/>
      <c r="UID4" s="37"/>
      <c r="UIE4" s="37"/>
      <c r="UIF4" s="37"/>
      <c r="UIG4" s="37"/>
      <c r="UIH4" s="37"/>
      <c r="UII4" s="37"/>
      <c r="UIJ4" s="37"/>
      <c r="UIK4" s="37"/>
      <c r="UIL4" s="37"/>
      <c r="UIM4" s="37"/>
      <c r="UIN4" s="37"/>
      <c r="UIO4" s="37"/>
      <c r="UIP4" s="37"/>
      <c r="UIQ4" s="37"/>
      <c r="UIR4" s="37"/>
      <c r="UIS4" s="37"/>
      <c r="UIT4" s="37"/>
      <c r="UIU4" s="37"/>
      <c r="UIV4" s="37"/>
      <c r="UIW4" s="37"/>
      <c r="UIX4" s="37"/>
      <c r="UIY4" s="37"/>
      <c r="UIZ4" s="37"/>
      <c r="UJA4" s="37"/>
      <c r="UJB4" s="37"/>
      <c r="UJC4" s="37"/>
      <c r="UJD4" s="37"/>
      <c r="UJE4" s="37"/>
      <c r="UJF4" s="37"/>
      <c r="UJG4" s="37"/>
      <c r="UJH4" s="37"/>
      <c r="UJI4" s="37"/>
      <c r="UJJ4" s="37"/>
      <c r="UJK4" s="37"/>
      <c r="UJL4" s="37"/>
      <c r="UJM4" s="37"/>
      <c r="UJN4" s="37"/>
      <c r="UJO4" s="37"/>
      <c r="UJP4" s="37"/>
      <c r="UJQ4" s="37"/>
      <c r="UJR4" s="37"/>
      <c r="UJS4" s="37"/>
      <c r="UJT4" s="37"/>
      <c r="UJU4" s="37"/>
      <c r="UJV4" s="37"/>
      <c r="UJW4" s="37"/>
      <c r="UJX4" s="37"/>
      <c r="UJY4" s="37"/>
      <c r="UJZ4" s="37"/>
      <c r="UKA4" s="37"/>
      <c r="UKB4" s="37"/>
      <c r="UKC4" s="37"/>
      <c r="UKD4" s="37"/>
      <c r="UKE4" s="37"/>
      <c r="UKF4" s="37"/>
      <c r="UKG4" s="37"/>
      <c r="UKH4" s="37"/>
      <c r="UKI4" s="37"/>
      <c r="UKJ4" s="37"/>
      <c r="UKK4" s="37"/>
      <c r="UKL4" s="37"/>
      <c r="UKM4" s="37"/>
      <c r="UKN4" s="37"/>
      <c r="UKO4" s="37"/>
      <c r="UKP4" s="37"/>
      <c r="UKQ4" s="37"/>
      <c r="UKR4" s="37"/>
      <c r="UKS4" s="37"/>
      <c r="UKT4" s="37"/>
      <c r="UKU4" s="37"/>
      <c r="UKV4" s="37"/>
      <c r="UKW4" s="37"/>
      <c r="UKX4" s="37"/>
      <c r="UKY4" s="37"/>
      <c r="UKZ4" s="37"/>
      <c r="ULA4" s="37"/>
      <c r="ULB4" s="37"/>
      <c r="ULC4" s="37"/>
      <c r="ULD4" s="37"/>
      <c r="ULE4" s="37"/>
      <c r="ULF4" s="37"/>
      <c r="ULG4" s="37"/>
      <c r="ULH4" s="37"/>
      <c r="ULI4" s="37"/>
      <c r="ULJ4" s="37"/>
      <c r="ULK4" s="37"/>
      <c r="ULL4" s="37"/>
      <c r="ULM4" s="37"/>
      <c r="ULN4" s="37"/>
      <c r="ULO4" s="37"/>
      <c r="ULP4" s="37"/>
      <c r="ULQ4" s="37"/>
      <c r="ULR4" s="37"/>
      <c r="ULS4" s="37"/>
      <c r="ULT4" s="37"/>
      <c r="ULU4" s="37"/>
      <c r="ULV4" s="37"/>
      <c r="ULW4" s="37"/>
      <c r="ULX4" s="37"/>
      <c r="ULY4" s="37"/>
      <c r="ULZ4" s="37"/>
      <c r="UMA4" s="37"/>
      <c r="UMB4" s="37"/>
      <c r="UMC4" s="37"/>
      <c r="UMD4" s="37"/>
      <c r="UME4" s="37"/>
      <c r="UMF4" s="37"/>
      <c r="UMG4" s="37"/>
      <c r="UMH4" s="37"/>
      <c r="UMI4" s="37"/>
      <c r="UMJ4" s="37"/>
      <c r="UMK4" s="37"/>
      <c r="UML4" s="37"/>
      <c r="UMM4" s="37"/>
      <c r="UMN4" s="37"/>
      <c r="UMO4" s="37"/>
      <c r="UMP4" s="37"/>
      <c r="UMQ4" s="37"/>
      <c r="UMR4" s="37"/>
      <c r="UMS4" s="37"/>
      <c r="UMT4" s="37"/>
      <c r="UMU4" s="37"/>
      <c r="UMV4" s="37"/>
      <c r="UMW4" s="37"/>
      <c r="UMX4" s="37"/>
      <c r="UMY4" s="37"/>
      <c r="UMZ4" s="37"/>
      <c r="UNA4" s="37"/>
      <c r="UNB4" s="37"/>
      <c r="UNC4" s="37"/>
      <c r="UND4" s="37"/>
      <c r="UNE4" s="37"/>
      <c r="UNF4" s="37"/>
      <c r="UNG4" s="37"/>
      <c r="UNH4" s="37"/>
      <c r="UNI4" s="37"/>
      <c r="UNJ4" s="37"/>
      <c r="UNK4" s="37"/>
      <c r="UNL4" s="37"/>
      <c r="UNM4" s="37"/>
      <c r="UNN4" s="37"/>
      <c r="UNO4" s="37"/>
      <c r="UNP4" s="37"/>
      <c r="UNQ4" s="37"/>
      <c r="UNR4" s="37"/>
      <c r="UNS4" s="37"/>
      <c r="UNT4" s="37"/>
      <c r="UNU4" s="37"/>
      <c r="UNV4" s="37"/>
      <c r="UNW4" s="37"/>
      <c r="UNX4" s="37"/>
      <c r="UNY4" s="37"/>
      <c r="UNZ4" s="37"/>
      <c r="UOA4" s="37"/>
      <c r="UOB4" s="37"/>
      <c r="UOC4" s="37"/>
      <c r="UOD4" s="37"/>
      <c r="UOE4" s="37"/>
      <c r="UOF4" s="37"/>
      <c r="UOG4" s="37"/>
      <c r="UOH4" s="37"/>
      <c r="UOI4" s="37"/>
      <c r="UOJ4" s="37"/>
      <c r="UOK4" s="37"/>
      <c r="UOL4" s="37"/>
      <c r="UOM4" s="37"/>
      <c r="UON4" s="37"/>
      <c r="UOO4" s="37"/>
      <c r="UOP4" s="37"/>
      <c r="UOQ4" s="37"/>
      <c r="UOR4" s="37"/>
      <c r="UOS4" s="37"/>
      <c r="UOT4" s="37"/>
      <c r="UOU4" s="37"/>
      <c r="UOV4" s="37"/>
      <c r="UOW4" s="37"/>
      <c r="UOX4" s="37"/>
      <c r="UOY4" s="37"/>
      <c r="UOZ4" s="37"/>
      <c r="UPA4" s="37"/>
      <c r="UPB4" s="37"/>
      <c r="UPC4" s="37"/>
      <c r="UPD4" s="37"/>
      <c r="UPE4" s="37"/>
      <c r="UPF4" s="37"/>
      <c r="UPG4" s="37"/>
      <c r="UPH4" s="37"/>
      <c r="UPI4" s="37"/>
      <c r="UPJ4" s="37"/>
      <c r="UPK4" s="37"/>
      <c r="UPL4" s="37"/>
      <c r="UPM4" s="37"/>
      <c r="UPN4" s="37"/>
      <c r="UPO4" s="37"/>
      <c r="UPP4" s="37"/>
      <c r="UPQ4" s="37"/>
      <c r="UPR4" s="37"/>
      <c r="UPS4" s="37"/>
      <c r="UPT4" s="37"/>
      <c r="UPU4" s="37"/>
      <c r="UPV4" s="37"/>
      <c r="UPW4" s="37"/>
      <c r="UPX4" s="37"/>
      <c r="UPY4" s="37"/>
      <c r="UPZ4" s="37"/>
      <c r="UQA4" s="37"/>
      <c r="UQB4" s="37"/>
      <c r="UQC4" s="37"/>
      <c r="UQD4" s="37"/>
      <c r="UQE4" s="37"/>
      <c r="UQF4" s="37"/>
      <c r="UQG4" s="37"/>
      <c r="UQH4" s="37"/>
      <c r="UQI4" s="37"/>
      <c r="UQJ4" s="37"/>
      <c r="UQK4" s="37"/>
      <c r="UQL4" s="37"/>
      <c r="UQM4" s="37"/>
      <c r="UQN4" s="37"/>
      <c r="UQO4" s="37"/>
      <c r="UQP4" s="37"/>
      <c r="UQQ4" s="37"/>
      <c r="UQR4" s="37"/>
      <c r="UQS4" s="37"/>
      <c r="UQT4" s="37"/>
      <c r="UQU4" s="37"/>
      <c r="UQV4" s="37"/>
      <c r="UQW4" s="37"/>
      <c r="UQX4" s="37"/>
      <c r="UQY4" s="37"/>
      <c r="UQZ4" s="37"/>
      <c r="URA4" s="37"/>
      <c r="URB4" s="37"/>
      <c r="URC4" s="37"/>
      <c r="URD4" s="37"/>
      <c r="URE4" s="37"/>
      <c r="URF4" s="37"/>
      <c r="URG4" s="37"/>
      <c r="URH4" s="37"/>
      <c r="URI4" s="37"/>
      <c r="URJ4" s="37"/>
      <c r="URK4" s="37"/>
      <c r="URL4" s="37"/>
      <c r="URM4" s="37"/>
      <c r="URN4" s="37"/>
      <c r="URO4" s="37"/>
      <c r="URP4" s="37"/>
      <c r="URQ4" s="37"/>
      <c r="URR4" s="37"/>
      <c r="URS4" s="37"/>
      <c r="URT4" s="37"/>
      <c r="URU4" s="37"/>
      <c r="URV4" s="37"/>
      <c r="URW4" s="37"/>
      <c r="URX4" s="37"/>
      <c r="URY4" s="37"/>
      <c r="URZ4" s="37"/>
      <c r="USA4" s="37"/>
      <c r="USB4" s="37"/>
      <c r="USC4" s="37"/>
      <c r="USD4" s="37"/>
      <c r="USE4" s="37"/>
      <c r="USF4" s="37"/>
      <c r="USG4" s="37"/>
      <c r="USH4" s="37"/>
      <c r="USI4" s="37"/>
      <c r="USJ4" s="37"/>
      <c r="USK4" s="37"/>
      <c r="USL4" s="37"/>
      <c r="USM4" s="37"/>
      <c r="USN4" s="37"/>
      <c r="USO4" s="37"/>
      <c r="USP4" s="37"/>
      <c r="USQ4" s="37"/>
      <c r="USR4" s="37"/>
      <c r="USS4" s="37"/>
      <c r="UST4" s="37"/>
      <c r="USU4" s="37"/>
      <c r="USV4" s="37"/>
      <c r="USW4" s="37"/>
      <c r="USX4" s="37"/>
      <c r="USY4" s="37"/>
      <c r="USZ4" s="37"/>
      <c r="UTA4" s="37"/>
      <c r="UTB4" s="37"/>
      <c r="UTC4" s="37"/>
      <c r="UTD4" s="37"/>
      <c r="UTE4" s="37"/>
      <c r="UTF4" s="37"/>
      <c r="UTG4" s="37"/>
      <c r="UTH4" s="37"/>
      <c r="UTI4" s="37"/>
      <c r="UTJ4" s="37"/>
      <c r="UTK4" s="37"/>
      <c r="UTL4" s="37"/>
      <c r="UTM4" s="37"/>
      <c r="UTN4" s="37"/>
      <c r="UTO4" s="37"/>
      <c r="UTP4" s="37"/>
      <c r="UTQ4" s="37"/>
      <c r="UTR4" s="37"/>
      <c r="UTS4" s="37"/>
      <c r="UTT4" s="37"/>
      <c r="UTU4" s="37"/>
      <c r="UTV4" s="37"/>
      <c r="UTW4" s="37"/>
      <c r="UTX4" s="37"/>
      <c r="UTY4" s="37"/>
      <c r="UTZ4" s="37"/>
      <c r="UUA4" s="37"/>
      <c r="UUB4" s="37"/>
      <c r="UUC4" s="37"/>
      <c r="UUD4" s="37"/>
      <c r="UUE4" s="37"/>
      <c r="UUF4" s="37"/>
      <c r="UUG4" s="37"/>
      <c r="UUH4" s="37"/>
      <c r="UUI4" s="37"/>
      <c r="UUJ4" s="37"/>
      <c r="UUK4" s="37"/>
      <c r="UUL4" s="37"/>
      <c r="UUM4" s="37"/>
      <c r="UUN4" s="37"/>
      <c r="UUO4" s="37"/>
      <c r="UUP4" s="37"/>
      <c r="UUQ4" s="37"/>
      <c r="UUR4" s="37"/>
      <c r="UUS4" s="37"/>
      <c r="UUT4" s="37"/>
      <c r="UUU4" s="37"/>
      <c r="UUV4" s="37"/>
      <c r="UUW4" s="37"/>
      <c r="UUX4" s="37"/>
      <c r="UUY4" s="37"/>
      <c r="UUZ4" s="37"/>
      <c r="UVA4" s="37"/>
      <c r="UVB4" s="37"/>
      <c r="UVC4" s="37"/>
      <c r="UVD4" s="37"/>
      <c r="UVE4" s="37"/>
      <c r="UVF4" s="37"/>
      <c r="UVG4" s="37"/>
      <c r="UVH4" s="37"/>
      <c r="UVI4" s="37"/>
      <c r="UVJ4" s="37"/>
      <c r="UVK4" s="37"/>
      <c r="UVL4" s="37"/>
      <c r="UVM4" s="37"/>
      <c r="UVN4" s="37"/>
      <c r="UVO4" s="37"/>
      <c r="UVP4" s="37"/>
      <c r="UVQ4" s="37"/>
      <c r="UVR4" s="37"/>
      <c r="UVS4" s="37"/>
      <c r="UVT4" s="37"/>
      <c r="UVU4" s="37"/>
      <c r="UVV4" s="37"/>
      <c r="UVW4" s="37"/>
      <c r="UVX4" s="37"/>
      <c r="UVY4" s="37"/>
      <c r="UVZ4" s="37"/>
      <c r="UWA4" s="37"/>
      <c r="UWB4" s="37"/>
      <c r="UWC4" s="37"/>
      <c r="UWD4" s="37"/>
      <c r="UWE4" s="37"/>
      <c r="UWF4" s="37"/>
      <c r="UWG4" s="37"/>
      <c r="UWH4" s="37"/>
      <c r="UWI4" s="37"/>
      <c r="UWJ4" s="37"/>
      <c r="UWK4" s="37"/>
      <c r="UWL4" s="37"/>
      <c r="UWM4" s="37"/>
      <c r="UWN4" s="37"/>
      <c r="UWO4" s="37"/>
      <c r="UWP4" s="37"/>
      <c r="UWQ4" s="37"/>
      <c r="UWR4" s="37"/>
      <c r="UWS4" s="37"/>
      <c r="UWT4" s="37"/>
      <c r="UWU4" s="37"/>
      <c r="UWV4" s="37"/>
      <c r="UWW4" s="37"/>
      <c r="UWX4" s="37"/>
      <c r="UWY4" s="37"/>
      <c r="UWZ4" s="37"/>
      <c r="UXA4" s="37"/>
      <c r="UXB4" s="37"/>
      <c r="UXC4" s="37"/>
      <c r="UXD4" s="37"/>
      <c r="UXE4" s="37"/>
      <c r="UXF4" s="37"/>
      <c r="UXG4" s="37"/>
      <c r="UXH4" s="37"/>
      <c r="UXI4" s="37"/>
      <c r="UXJ4" s="37"/>
      <c r="UXK4" s="37"/>
      <c r="UXL4" s="37"/>
      <c r="UXM4" s="37"/>
      <c r="UXN4" s="37"/>
      <c r="UXO4" s="37"/>
      <c r="UXP4" s="37"/>
      <c r="UXQ4" s="37"/>
      <c r="UXR4" s="37"/>
      <c r="UXS4" s="37"/>
      <c r="UXT4" s="37"/>
      <c r="UXU4" s="37"/>
      <c r="UXV4" s="37"/>
      <c r="UXW4" s="37"/>
      <c r="UXX4" s="37"/>
      <c r="UXY4" s="37"/>
      <c r="UXZ4" s="37"/>
      <c r="UYA4" s="37"/>
      <c r="UYB4" s="37"/>
      <c r="UYC4" s="37"/>
      <c r="UYD4" s="37"/>
      <c r="UYE4" s="37"/>
      <c r="UYF4" s="37"/>
      <c r="UYG4" s="37"/>
      <c r="UYH4" s="37"/>
      <c r="UYI4" s="37"/>
      <c r="UYJ4" s="37"/>
      <c r="UYK4" s="37"/>
      <c r="UYL4" s="37"/>
      <c r="UYM4" s="37"/>
      <c r="UYN4" s="37"/>
      <c r="UYO4" s="37"/>
      <c r="UYP4" s="37"/>
      <c r="UYQ4" s="37"/>
      <c r="UYR4" s="37"/>
      <c r="UYS4" s="37"/>
      <c r="UYT4" s="37"/>
      <c r="UYU4" s="37"/>
      <c r="UYV4" s="37"/>
      <c r="UYW4" s="37"/>
      <c r="UYX4" s="37"/>
      <c r="UYY4" s="37"/>
      <c r="UYZ4" s="37"/>
      <c r="UZA4" s="37"/>
      <c r="UZB4" s="37"/>
      <c r="UZC4" s="37"/>
      <c r="UZD4" s="37"/>
      <c r="UZE4" s="37"/>
      <c r="UZF4" s="37"/>
      <c r="UZG4" s="37"/>
      <c r="UZH4" s="37"/>
      <c r="UZI4" s="37"/>
      <c r="UZJ4" s="37"/>
      <c r="UZK4" s="37"/>
      <c r="UZL4" s="37"/>
      <c r="UZM4" s="37"/>
      <c r="UZN4" s="37"/>
      <c r="UZO4" s="37"/>
      <c r="UZP4" s="37"/>
      <c r="UZQ4" s="37"/>
      <c r="UZR4" s="37"/>
      <c r="UZS4" s="37"/>
      <c r="UZT4" s="37"/>
      <c r="UZU4" s="37"/>
      <c r="UZV4" s="37"/>
      <c r="UZW4" s="37"/>
      <c r="UZX4" s="37"/>
      <c r="UZY4" s="37"/>
      <c r="UZZ4" s="37"/>
      <c r="VAA4" s="37"/>
      <c r="VAB4" s="37"/>
      <c r="VAC4" s="37"/>
      <c r="VAD4" s="37"/>
      <c r="VAE4" s="37"/>
      <c r="VAF4" s="37"/>
      <c r="VAG4" s="37"/>
      <c r="VAH4" s="37"/>
      <c r="VAI4" s="37"/>
      <c r="VAJ4" s="37"/>
      <c r="VAK4" s="37"/>
      <c r="VAL4" s="37"/>
      <c r="VAM4" s="37"/>
      <c r="VAN4" s="37"/>
      <c r="VAO4" s="37"/>
      <c r="VAP4" s="37"/>
      <c r="VAQ4" s="37"/>
      <c r="VAR4" s="37"/>
      <c r="VAS4" s="37"/>
      <c r="VAT4" s="37"/>
      <c r="VAU4" s="37"/>
      <c r="VAV4" s="37"/>
      <c r="VAW4" s="37"/>
      <c r="VAX4" s="37"/>
      <c r="VAY4" s="37"/>
      <c r="VAZ4" s="37"/>
      <c r="VBA4" s="37"/>
      <c r="VBB4" s="37"/>
      <c r="VBC4" s="37"/>
      <c r="VBD4" s="37"/>
      <c r="VBE4" s="37"/>
      <c r="VBF4" s="37"/>
      <c r="VBG4" s="37"/>
      <c r="VBH4" s="37"/>
      <c r="VBI4" s="37"/>
      <c r="VBJ4" s="37"/>
      <c r="VBK4" s="37"/>
      <c r="VBL4" s="37"/>
      <c r="VBM4" s="37"/>
      <c r="VBN4" s="37"/>
      <c r="VBO4" s="37"/>
      <c r="VBP4" s="37"/>
      <c r="VBQ4" s="37"/>
      <c r="VBR4" s="37"/>
      <c r="VBS4" s="37"/>
      <c r="VBT4" s="37"/>
      <c r="VBU4" s="37"/>
      <c r="VBV4" s="37"/>
      <c r="VBW4" s="37"/>
      <c r="VBX4" s="37"/>
      <c r="VBY4" s="37"/>
      <c r="VBZ4" s="37"/>
      <c r="VCA4" s="37"/>
      <c r="VCB4" s="37"/>
      <c r="VCC4" s="37"/>
      <c r="VCD4" s="37"/>
      <c r="VCE4" s="37"/>
      <c r="VCF4" s="37"/>
      <c r="VCG4" s="37"/>
      <c r="VCH4" s="37"/>
      <c r="VCI4" s="37"/>
      <c r="VCJ4" s="37"/>
      <c r="VCK4" s="37"/>
      <c r="VCL4" s="37"/>
      <c r="VCM4" s="37"/>
      <c r="VCN4" s="37"/>
      <c r="VCO4" s="37"/>
      <c r="VCP4" s="37"/>
      <c r="VCQ4" s="37"/>
      <c r="VCR4" s="37"/>
      <c r="VCS4" s="37"/>
      <c r="VCT4" s="37"/>
      <c r="VCU4" s="37"/>
      <c r="VCV4" s="37"/>
      <c r="VCW4" s="37"/>
      <c r="VCX4" s="37"/>
      <c r="VCY4" s="37"/>
      <c r="VCZ4" s="37"/>
      <c r="VDA4" s="37"/>
      <c r="VDB4" s="37"/>
      <c r="VDC4" s="37"/>
      <c r="VDD4" s="37"/>
      <c r="VDE4" s="37"/>
      <c r="VDF4" s="37"/>
      <c r="VDG4" s="37"/>
      <c r="VDH4" s="37"/>
      <c r="VDI4" s="37"/>
      <c r="VDJ4" s="37"/>
      <c r="VDK4" s="37"/>
      <c r="VDL4" s="37"/>
      <c r="VDM4" s="37"/>
      <c r="VDN4" s="37"/>
      <c r="VDO4" s="37"/>
      <c r="VDP4" s="37"/>
      <c r="VDQ4" s="37"/>
      <c r="VDR4" s="37"/>
      <c r="VDS4" s="37"/>
      <c r="VDT4" s="37"/>
      <c r="VDU4" s="37"/>
      <c r="VDV4" s="37"/>
      <c r="VDW4" s="37"/>
      <c r="VDX4" s="37"/>
      <c r="VDY4" s="37"/>
      <c r="VDZ4" s="37"/>
      <c r="VEA4" s="37"/>
      <c r="VEB4" s="37"/>
      <c r="VEC4" s="37"/>
      <c r="VED4" s="37"/>
      <c r="VEE4" s="37"/>
      <c r="VEF4" s="37"/>
      <c r="VEG4" s="37"/>
      <c r="VEH4" s="37"/>
      <c r="VEI4" s="37"/>
      <c r="VEJ4" s="37"/>
      <c r="VEK4" s="37"/>
      <c r="VEL4" s="37"/>
      <c r="VEM4" s="37"/>
      <c r="VEN4" s="37"/>
      <c r="VEO4" s="37"/>
      <c r="VEP4" s="37"/>
      <c r="VEQ4" s="37"/>
      <c r="VER4" s="37"/>
      <c r="VES4" s="37"/>
      <c r="VET4" s="37"/>
      <c r="VEU4" s="37"/>
      <c r="VEV4" s="37"/>
      <c r="VEW4" s="37"/>
      <c r="VEX4" s="37"/>
      <c r="VEY4" s="37"/>
      <c r="VEZ4" s="37"/>
      <c r="VFA4" s="37"/>
      <c r="VFB4" s="37"/>
      <c r="VFC4" s="37"/>
      <c r="VFD4" s="37"/>
      <c r="VFE4" s="37"/>
      <c r="VFF4" s="37"/>
      <c r="VFG4" s="37"/>
      <c r="VFH4" s="37"/>
      <c r="VFI4" s="37"/>
      <c r="VFJ4" s="37"/>
      <c r="VFK4" s="37"/>
      <c r="VFL4" s="37"/>
      <c r="VFM4" s="37"/>
      <c r="VFN4" s="37"/>
      <c r="VFO4" s="37"/>
      <c r="VFP4" s="37"/>
      <c r="VFQ4" s="37"/>
      <c r="VFR4" s="37"/>
      <c r="VFS4" s="37"/>
      <c r="VFT4" s="37"/>
      <c r="VFU4" s="37"/>
      <c r="VFV4" s="37"/>
      <c r="VFW4" s="37"/>
      <c r="VFX4" s="37"/>
      <c r="VFY4" s="37"/>
      <c r="VFZ4" s="37"/>
      <c r="VGA4" s="37"/>
      <c r="VGB4" s="37"/>
      <c r="VGC4" s="37"/>
      <c r="VGD4" s="37"/>
      <c r="VGE4" s="37"/>
      <c r="VGF4" s="37"/>
      <c r="VGG4" s="37"/>
      <c r="VGH4" s="37"/>
      <c r="VGI4" s="37"/>
      <c r="VGJ4" s="37"/>
      <c r="VGK4" s="37"/>
      <c r="VGL4" s="37"/>
      <c r="VGM4" s="37"/>
      <c r="VGN4" s="37"/>
      <c r="VGO4" s="37"/>
      <c r="VGP4" s="37"/>
      <c r="VGQ4" s="37"/>
      <c r="VGR4" s="37"/>
      <c r="VGS4" s="37"/>
      <c r="VGT4" s="37"/>
      <c r="VGU4" s="37"/>
      <c r="VGV4" s="37"/>
      <c r="VGW4" s="37"/>
      <c r="VGX4" s="37"/>
      <c r="VGY4" s="37"/>
      <c r="VGZ4" s="37"/>
      <c r="VHA4" s="37"/>
      <c r="VHB4" s="37"/>
      <c r="VHC4" s="37"/>
      <c r="VHD4" s="37"/>
      <c r="VHE4" s="37"/>
      <c r="VHF4" s="37"/>
      <c r="VHG4" s="37"/>
      <c r="VHH4" s="37"/>
      <c r="VHI4" s="37"/>
      <c r="VHJ4" s="37"/>
      <c r="VHK4" s="37"/>
      <c r="VHL4" s="37"/>
      <c r="VHM4" s="37"/>
      <c r="VHN4" s="37"/>
      <c r="VHO4" s="37"/>
      <c r="VHP4" s="37"/>
      <c r="VHQ4" s="37"/>
      <c r="VHR4" s="37"/>
      <c r="VHS4" s="37"/>
      <c r="VHT4" s="37"/>
      <c r="VHU4" s="37"/>
      <c r="VHV4" s="37"/>
      <c r="VHW4" s="37"/>
      <c r="VHX4" s="37"/>
      <c r="VHY4" s="37"/>
      <c r="VHZ4" s="37"/>
      <c r="VIA4" s="37"/>
      <c r="VIB4" s="37"/>
      <c r="VIC4" s="37"/>
      <c r="VID4" s="37"/>
      <c r="VIE4" s="37"/>
      <c r="VIF4" s="37"/>
      <c r="VIG4" s="37"/>
      <c r="VIH4" s="37"/>
      <c r="VII4" s="37"/>
      <c r="VIJ4" s="37"/>
      <c r="VIK4" s="37"/>
      <c r="VIL4" s="37"/>
      <c r="VIM4" s="37"/>
      <c r="VIN4" s="37"/>
      <c r="VIO4" s="37"/>
      <c r="VIP4" s="37"/>
      <c r="VIQ4" s="37"/>
      <c r="VIR4" s="37"/>
      <c r="VIS4" s="37"/>
      <c r="VIT4" s="37"/>
      <c r="VIU4" s="37"/>
      <c r="VIV4" s="37"/>
      <c r="VIW4" s="37"/>
      <c r="VIX4" s="37"/>
      <c r="VIY4" s="37"/>
      <c r="VIZ4" s="37"/>
      <c r="VJA4" s="37"/>
      <c r="VJB4" s="37"/>
      <c r="VJC4" s="37"/>
      <c r="VJD4" s="37"/>
      <c r="VJE4" s="37"/>
      <c r="VJF4" s="37"/>
      <c r="VJG4" s="37"/>
      <c r="VJH4" s="37"/>
      <c r="VJI4" s="37"/>
      <c r="VJJ4" s="37"/>
      <c r="VJK4" s="37"/>
      <c r="VJL4" s="37"/>
      <c r="VJM4" s="37"/>
      <c r="VJN4" s="37"/>
      <c r="VJO4" s="37"/>
      <c r="VJP4" s="37"/>
      <c r="VJQ4" s="37"/>
      <c r="VJR4" s="37"/>
      <c r="VJS4" s="37"/>
      <c r="VJT4" s="37"/>
      <c r="VJU4" s="37"/>
      <c r="VJV4" s="37"/>
      <c r="VJW4" s="37"/>
      <c r="VJX4" s="37"/>
      <c r="VJY4" s="37"/>
      <c r="VJZ4" s="37"/>
      <c r="VKA4" s="37"/>
      <c r="VKB4" s="37"/>
      <c r="VKC4" s="37"/>
      <c r="VKD4" s="37"/>
      <c r="VKE4" s="37"/>
      <c r="VKF4" s="37"/>
      <c r="VKG4" s="37"/>
      <c r="VKH4" s="37"/>
      <c r="VKI4" s="37"/>
      <c r="VKJ4" s="37"/>
      <c r="VKK4" s="37"/>
      <c r="VKL4" s="37"/>
      <c r="VKM4" s="37"/>
      <c r="VKN4" s="37"/>
      <c r="VKO4" s="37"/>
      <c r="VKP4" s="37"/>
      <c r="VKQ4" s="37"/>
      <c r="VKR4" s="37"/>
      <c r="VKS4" s="37"/>
      <c r="VKT4" s="37"/>
      <c r="VKU4" s="37"/>
      <c r="VKV4" s="37"/>
      <c r="VKW4" s="37"/>
      <c r="VKX4" s="37"/>
      <c r="VKY4" s="37"/>
      <c r="VKZ4" s="37"/>
      <c r="VLA4" s="37"/>
      <c r="VLB4" s="37"/>
      <c r="VLC4" s="37"/>
      <c r="VLD4" s="37"/>
      <c r="VLE4" s="37"/>
      <c r="VLF4" s="37"/>
      <c r="VLG4" s="37"/>
      <c r="VLH4" s="37"/>
      <c r="VLI4" s="37"/>
      <c r="VLJ4" s="37"/>
      <c r="VLK4" s="37"/>
      <c r="VLL4" s="37"/>
      <c r="VLM4" s="37"/>
      <c r="VLN4" s="37"/>
      <c r="VLO4" s="37"/>
      <c r="VLP4" s="37"/>
      <c r="VLQ4" s="37"/>
      <c r="VLR4" s="37"/>
      <c r="VLS4" s="37"/>
      <c r="VLT4" s="37"/>
      <c r="VLU4" s="37"/>
      <c r="VLV4" s="37"/>
      <c r="VLW4" s="37"/>
      <c r="VLX4" s="37"/>
      <c r="VLY4" s="37"/>
      <c r="VLZ4" s="37"/>
      <c r="VMA4" s="37"/>
      <c r="VMB4" s="37"/>
      <c r="VMC4" s="37"/>
      <c r="VMD4" s="37"/>
      <c r="VME4" s="37"/>
      <c r="VMF4" s="37"/>
      <c r="VMG4" s="37"/>
      <c r="VMH4" s="37"/>
      <c r="VMI4" s="37"/>
      <c r="VMJ4" s="37"/>
      <c r="VMK4" s="37"/>
      <c r="VML4" s="37"/>
      <c r="VMM4" s="37"/>
      <c r="VMN4" s="37"/>
      <c r="VMO4" s="37"/>
      <c r="VMP4" s="37"/>
      <c r="VMQ4" s="37"/>
      <c r="VMR4" s="37"/>
      <c r="VMS4" s="37"/>
      <c r="VMT4" s="37"/>
      <c r="VMU4" s="37"/>
      <c r="VMV4" s="37"/>
      <c r="VMW4" s="37"/>
      <c r="VMX4" s="37"/>
      <c r="VMY4" s="37"/>
      <c r="VMZ4" s="37"/>
      <c r="VNA4" s="37"/>
      <c r="VNB4" s="37"/>
      <c r="VNC4" s="37"/>
      <c r="VND4" s="37"/>
      <c r="VNE4" s="37"/>
      <c r="VNF4" s="37"/>
      <c r="VNG4" s="37"/>
      <c r="VNH4" s="37"/>
      <c r="VNI4" s="37"/>
      <c r="VNJ4" s="37"/>
      <c r="VNK4" s="37"/>
      <c r="VNL4" s="37"/>
      <c r="VNM4" s="37"/>
      <c r="VNN4" s="37"/>
      <c r="VNO4" s="37"/>
      <c r="VNP4" s="37"/>
      <c r="VNQ4" s="37"/>
      <c r="VNR4" s="37"/>
      <c r="VNS4" s="37"/>
      <c r="VNT4" s="37"/>
      <c r="VNU4" s="37"/>
      <c r="VNV4" s="37"/>
      <c r="VNW4" s="37"/>
      <c r="VNX4" s="37"/>
      <c r="VNY4" s="37"/>
      <c r="VNZ4" s="37"/>
      <c r="VOA4" s="37"/>
      <c r="VOB4" s="37"/>
      <c r="VOC4" s="37"/>
      <c r="VOD4" s="37"/>
      <c r="VOE4" s="37"/>
      <c r="VOF4" s="37"/>
      <c r="VOG4" s="37"/>
      <c r="VOH4" s="37"/>
      <c r="VOI4" s="37"/>
      <c r="VOJ4" s="37"/>
      <c r="VOK4" s="37"/>
      <c r="VOL4" s="37"/>
      <c r="VOM4" s="37"/>
      <c r="VON4" s="37"/>
      <c r="VOO4" s="37"/>
      <c r="VOP4" s="37"/>
      <c r="VOQ4" s="37"/>
      <c r="VOR4" s="37"/>
      <c r="VOS4" s="37"/>
      <c r="VOT4" s="37"/>
      <c r="VOU4" s="37"/>
      <c r="VOV4" s="37"/>
      <c r="VOW4" s="37"/>
      <c r="VOX4" s="37"/>
      <c r="VOY4" s="37"/>
      <c r="VOZ4" s="37"/>
      <c r="VPA4" s="37"/>
      <c r="VPB4" s="37"/>
      <c r="VPC4" s="37"/>
      <c r="VPD4" s="37"/>
      <c r="VPE4" s="37"/>
      <c r="VPF4" s="37"/>
      <c r="VPG4" s="37"/>
      <c r="VPH4" s="37"/>
      <c r="VPI4" s="37"/>
      <c r="VPJ4" s="37"/>
      <c r="VPK4" s="37"/>
      <c r="VPL4" s="37"/>
      <c r="VPM4" s="37"/>
      <c r="VPN4" s="37"/>
      <c r="VPO4" s="37"/>
      <c r="VPP4" s="37"/>
      <c r="VPQ4" s="37"/>
      <c r="VPR4" s="37"/>
      <c r="VPS4" s="37"/>
      <c r="VPT4" s="37"/>
      <c r="VPU4" s="37"/>
      <c r="VPV4" s="37"/>
      <c r="VPW4" s="37"/>
      <c r="VPX4" s="37"/>
      <c r="VPY4" s="37"/>
      <c r="VPZ4" s="37"/>
      <c r="VQA4" s="37"/>
      <c r="VQB4" s="37"/>
      <c r="VQC4" s="37"/>
      <c r="VQD4" s="37"/>
      <c r="VQE4" s="37"/>
      <c r="VQF4" s="37"/>
      <c r="VQG4" s="37"/>
      <c r="VQH4" s="37"/>
      <c r="VQI4" s="37"/>
      <c r="VQJ4" s="37"/>
      <c r="VQK4" s="37"/>
      <c r="VQL4" s="37"/>
      <c r="VQM4" s="37"/>
      <c r="VQN4" s="37"/>
      <c r="VQO4" s="37"/>
      <c r="VQP4" s="37"/>
      <c r="VQQ4" s="37"/>
      <c r="VQR4" s="37"/>
      <c r="VQS4" s="37"/>
      <c r="VQT4" s="37"/>
      <c r="VQU4" s="37"/>
      <c r="VQV4" s="37"/>
      <c r="VQW4" s="37"/>
      <c r="VQX4" s="37"/>
      <c r="VQY4" s="37"/>
      <c r="VQZ4" s="37"/>
      <c r="VRA4" s="37"/>
      <c r="VRB4" s="37"/>
      <c r="VRC4" s="37"/>
      <c r="VRD4" s="37"/>
      <c r="VRE4" s="37"/>
      <c r="VRF4" s="37"/>
      <c r="VRG4" s="37"/>
      <c r="VRH4" s="37"/>
      <c r="VRI4" s="37"/>
      <c r="VRJ4" s="37"/>
      <c r="VRK4" s="37"/>
      <c r="VRL4" s="37"/>
      <c r="VRM4" s="37"/>
      <c r="VRN4" s="37"/>
      <c r="VRO4" s="37"/>
      <c r="VRP4" s="37"/>
      <c r="VRQ4" s="37"/>
      <c r="VRR4" s="37"/>
      <c r="VRS4" s="37"/>
      <c r="VRT4" s="37"/>
      <c r="VRU4" s="37"/>
      <c r="VRV4" s="37"/>
      <c r="VRW4" s="37"/>
      <c r="VRX4" s="37"/>
      <c r="VRY4" s="37"/>
      <c r="VRZ4" s="37"/>
      <c r="VSA4" s="37"/>
      <c r="VSB4" s="37"/>
      <c r="VSC4" s="37"/>
      <c r="VSD4" s="37"/>
      <c r="VSE4" s="37"/>
      <c r="VSF4" s="37"/>
      <c r="VSG4" s="37"/>
      <c r="VSH4" s="37"/>
      <c r="VSI4" s="37"/>
      <c r="VSJ4" s="37"/>
      <c r="VSK4" s="37"/>
      <c r="VSL4" s="37"/>
      <c r="VSM4" s="37"/>
      <c r="VSN4" s="37"/>
      <c r="VSO4" s="37"/>
      <c r="VSP4" s="37"/>
      <c r="VSQ4" s="37"/>
      <c r="VSR4" s="37"/>
      <c r="VSS4" s="37"/>
      <c r="VST4" s="37"/>
      <c r="VSU4" s="37"/>
      <c r="VSV4" s="37"/>
      <c r="VSW4" s="37"/>
      <c r="VSX4" s="37"/>
      <c r="VSY4" s="37"/>
      <c r="VSZ4" s="37"/>
      <c r="VTA4" s="37"/>
      <c r="VTB4" s="37"/>
      <c r="VTC4" s="37"/>
      <c r="VTD4" s="37"/>
      <c r="VTE4" s="37"/>
      <c r="VTF4" s="37"/>
      <c r="VTG4" s="37"/>
      <c r="VTH4" s="37"/>
      <c r="VTI4" s="37"/>
      <c r="VTJ4" s="37"/>
      <c r="VTK4" s="37"/>
      <c r="VTL4" s="37"/>
      <c r="VTM4" s="37"/>
      <c r="VTN4" s="37"/>
      <c r="VTO4" s="37"/>
      <c r="VTP4" s="37"/>
      <c r="VTQ4" s="37"/>
      <c r="VTR4" s="37"/>
      <c r="VTS4" s="37"/>
      <c r="VTT4" s="37"/>
      <c r="VTU4" s="37"/>
      <c r="VTV4" s="37"/>
      <c r="VTW4" s="37"/>
      <c r="VTX4" s="37"/>
      <c r="VTY4" s="37"/>
      <c r="VTZ4" s="37"/>
      <c r="VUA4" s="37"/>
      <c r="VUB4" s="37"/>
      <c r="VUC4" s="37"/>
      <c r="VUD4" s="37"/>
      <c r="VUE4" s="37"/>
      <c r="VUF4" s="37"/>
      <c r="VUG4" s="37"/>
      <c r="VUH4" s="37"/>
      <c r="VUI4" s="37"/>
      <c r="VUJ4" s="37"/>
      <c r="VUK4" s="37"/>
      <c r="VUL4" s="37"/>
      <c r="VUM4" s="37"/>
      <c r="VUN4" s="37"/>
      <c r="VUO4" s="37"/>
      <c r="VUP4" s="37"/>
      <c r="VUQ4" s="37"/>
      <c r="VUR4" s="37"/>
      <c r="VUS4" s="37"/>
      <c r="VUT4" s="37"/>
      <c r="VUU4" s="37"/>
      <c r="VUV4" s="37"/>
      <c r="VUW4" s="37"/>
      <c r="VUX4" s="37"/>
      <c r="VUY4" s="37"/>
      <c r="VUZ4" s="37"/>
      <c r="VVA4" s="37"/>
      <c r="VVB4" s="37"/>
      <c r="VVC4" s="37"/>
      <c r="VVD4" s="37"/>
      <c r="VVE4" s="37"/>
      <c r="VVF4" s="37"/>
      <c r="VVG4" s="37"/>
      <c r="VVH4" s="37"/>
      <c r="VVI4" s="37"/>
      <c r="VVJ4" s="37"/>
      <c r="VVK4" s="37"/>
      <c r="VVL4" s="37"/>
      <c r="VVM4" s="37"/>
      <c r="VVN4" s="37"/>
      <c r="VVO4" s="37"/>
      <c r="VVP4" s="37"/>
      <c r="VVQ4" s="37"/>
      <c r="VVR4" s="37"/>
      <c r="VVS4" s="37"/>
      <c r="VVT4" s="37"/>
      <c r="VVU4" s="37"/>
      <c r="VVV4" s="37"/>
      <c r="VVW4" s="37"/>
      <c r="VVX4" s="37"/>
      <c r="VVY4" s="37"/>
      <c r="VVZ4" s="37"/>
      <c r="VWA4" s="37"/>
      <c r="VWB4" s="37"/>
      <c r="VWC4" s="37"/>
      <c r="VWD4" s="37"/>
      <c r="VWE4" s="37"/>
      <c r="VWF4" s="37"/>
      <c r="VWG4" s="37"/>
      <c r="VWH4" s="37"/>
      <c r="VWI4" s="37"/>
      <c r="VWJ4" s="37"/>
      <c r="VWK4" s="37"/>
      <c r="VWL4" s="37"/>
      <c r="VWM4" s="37"/>
      <c r="VWN4" s="37"/>
      <c r="VWO4" s="37"/>
      <c r="VWP4" s="37"/>
      <c r="VWQ4" s="37"/>
      <c r="VWR4" s="37"/>
      <c r="VWS4" s="37"/>
      <c r="VWT4" s="37"/>
      <c r="VWU4" s="37"/>
      <c r="VWV4" s="37"/>
      <c r="VWW4" s="37"/>
      <c r="VWX4" s="37"/>
      <c r="VWY4" s="37"/>
      <c r="VWZ4" s="37"/>
      <c r="VXA4" s="37"/>
      <c r="VXB4" s="37"/>
      <c r="VXC4" s="37"/>
      <c r="VXD4" s="37"/>
      <c r="VXE4" s="37"/>
      <c r="VXF4" s="37"/>
      <c r="VXG4" s="37"/>
      <c r="VXH4" s="37"/>
      <c r="VXI4" s="37"/>
      <c r="VXJ4" s="37"/>
      <c r="VXK4" s="37"/>
      <c r="VXL4" s="37"/>
      <c r="VXM4" s="37"/>
      <c r="VXN4" s="37"/>
      <c r="VXO4" s="37"/>
      <c r="VXP4" s="37"/>
      <c r="VXQ4" s="37"/>
      <c r="VXR4" s="37"/>
      <c r="VXS4" s="37"/>
      <c r="VXT4" s="37"/>
      <c r="VXU4" s="37"/>
      <c r="VXV4" s="37"/>
      <c r="VXW4" s="37"/>
      <c r="VXX4" s="37"/>
      <c r="VXY4" s="37"/>
      <c r="VXZ4" s="37"/>
      <c r="VYA4" s="37"/>
      <c r="VYB4" s="37"/>
      <c r="VYC4" s="37"/>
      <c r="VYD4" s="37"/>
      <c r="VYE4" s="37"/>
      <c r="VYF4" s="37"/>
      <c r="VYG4" s="37"/>
      <c r="VYH4" s="37"/>
      <c r="VYI4" s="37"/>
      <c r="VYJ4" s="37"/>
      <c r="VYK4" s="37"/>
      <c r="VYL4" s="37"/>
      <c r="VYM4" s="37"/>
      <c r="VYN4" s="37"/>
      <c r="VYO4" s="37"/>
      <c r="VYP4" s="37"/>
      <c r="VYQ4" s="37"/>
      <c r="VYR4" s="37"/>
      <c r="VYS4" s="37"/>
      <c r="VYT4" s="37"/>
      <c r="VYU4" s="37"/>
      <c r="VYV4" s="37"/>
      <c r="VYW4" s="37"/>
      <c r="VYX4" s="37"/>
      <c r="VYY4" s="37"/>
      <c r="VYZ4" s="37"/>
      <c r="VZA4" s="37"/>
      <c r="VZB4" s="37"/>
      <c r="VZC4" s="37"/>
      <c r="VZD4" s="37"/>
      <c r="VZE4" s="37"/>
      <c r="VZF4" s="37"/>
      <c r="VZG4" s="37"/>
      <c r="VZH4" s="37"/>
      <c r="VZI4" s="37"/>
      <c r="VZJ4" s="37"/>
      <c r="VZK4" s="37"/>
      <c r="VZL4" s="37"/>
      <c r="VZM4" s="37"/>
      <c r="VZN4" s="37"/>
      <c r="VZO4" s="37"/>
      <c r="VZP4" s="37"/>
      <c r="VZQ4" s="37"/>
      <c r="VZR4" s="37"/>
      <c r="VZS4" s="37"/>
      <c r="VZT4" s="37"/>
      <c r="VZU4" s="37"/>
      <c r="VZV4" s="37"/>
      <c r="VZW4" s="37"/>
      <c r="VZX4" s="37"/>
      <c r="VZY4" s="37"/>
      <c r="VZZ4" s="37"/>
      <c r="WAA4" s="37"/>
      <c r="WAB4" s="37"/>
      <c r="WAC4" s="37"/>
      <c r="WAD4" s="37"/>
      <c r="WAE4" s="37"/>
      <c r="WAF4" s="37"/>
      <c r="WAG4" s="37"/>
      <c r="WAH4" s="37"/>
      <c r="WAI4" s="37"/>
      <c r="WAJ4" s="37"/>
      <c r="WAK4" s="37"/>
      <c r="WAL4" s="37"/>
      <c r="WAM4" s="37"/>
      <c r="WAN4" s="37"/>
      <c r="WAO4" s="37"/>
      <c r="WAP4" s="37"/>
      <c r="WAQ4" s="37"/>
      <c r="WAR4" s="37"/>
      <c r="WAS4" s="37"/>
      <c r="WAT4" s="37"/>
      <c r="WAU4" s="37"/>
      <c r="WAV4" s="37"/>
      <c r="WAW4" s="37"/>
      <c r="WAX4" s="37"/>
      <c r="WAY4" s="37"/>
      <c r="WAZ4" s="37"/>
      <c r="WBA4" s="37"/>
      <c r="WBB4" s="37"/>
      <c r="WBC4" s="37"/>
      <c r="WBD4" s="37"/>
      <c r="WBE4" s="37"/>
      <c r="WBF4" s="37"/>
      <c r="WBG4" s="37"/>
      <c r="WBH4" s="37"/>
      <c r="WBI4" s="37"/>
      <c r="WBJ4" s="37"/>
      <c r="WBK4" s="37"/>
      <c r="WBL4" s="37"/>
      <c r="WBM4" s="37"/>
      <c r="WBN4" s="37"/>
      <c r="WBO4" s="37"/>
      <c r="WBP4" s="37"/>
      <c r="WBQ4" s="37"/>
      <c r="WBR4" s="37"/>
      <c r="WBS4" s="37"/>
      <c r="WBT4" s="37"/>
      <c r="WBU4" s="37"/>
      <c r="WBV4" s="37"/>
      <c r="WBW4" s="37"/>
      <c r="WBX4" s="37"/>
      <c r="WBY4" s="37"/>
      <c r="WBZ4" s="37"/>
      <c r="WCA4" s="37"/>
      <c r="WCB4" s="37"/>
      <c r="WCC4" s="37"/>
      <c r="WCD4" s="37"/>
      <c r="WCE4" s="37"/>
      <c r="WCF4" s="37"/>
      <c r="WCG4" s="37"/>
      <c r="WCH4" s="37"/>
      <c r="WCI4" s="37"/>
      <c r="WCJ4" s="37"/>
      <c r="WCK4" s="37"/>
      <c r="WCL4" s="37"/>
      <c r="WCM4" s="37"/>
      <c r="WCN4" s="37"/>
      <c r="WCO4" s="37"/>
      <c r="WCP4" s="37"/>
      <c r="WCQ4" s="37"/>
      <c r="WCR4" s="37"/>
      <c r="WCS4" s="37"/>
      <c r="WCT4" s="37"/>
      <c r="WCU4" s="37"/>
      <c r="WCV4" s="37"/>
      <c r="WCW4" s="37"/>
      <c r="WCX4" s="37"/>
      <c r="WCY4" s="37"/>
      <c r="WCZ4" s="37"/>
      <c r="WDA4" s="37"/>
      <c r="WDB4" s="37"/>
      <c r="WDC4" s="37"/>
      <c r="WDD4" s="37"/>
      <c r="WDE4" s="37"/>
      <c r="WDF4" s="37"/>
      <c r="WDG4" s="37"/>
      <c r="WDH4" s="37"/>
      <c r="WDI4" s="37"/>
      <c r="WDJ4" s="37"/>
      <c r="WDK4" s="37"/>
      <c r="WDL4" s="37"/>
      <c r="WDM4" s="37"/>
      <c r="WDN4" s="37"/>
      <c r="WDO4" s="37"/>
      <c r="WDP4" s="37"/>
      <c r="WDQ4" s="37"/>
      <c r="WDR4" s="37"/>
      <c r="WDS4" s="37"/>
      <c r="WDT4" s="37"/>
      <c r="WDU4" s="37"/>
      <c r="WDV4" s="37"/>
      <c r="WDW4" s="37"/>
      <c r="WDX4" s="37"/>
      <c r="WDY4" s="37"/>
      <c r="WDZ4" s="37"/>
      <c r="WEA4" s="37"/>
      <c r="WEB4" s="37"/>
      <c r="WEC4" s="37"/>
      <c r="WED4" s="37"/>
      <c r="WEE4" s="37"/>
      <c r="WEF4" s="37"/>
      <c r="WEG4" s="37"/>
      <c r="WEH4" s="37"/>
      <c r="WEI4" s="37"/>
      <c r="WEJ4" s="37"/>
      <c r="WEK4" s="37"/>
      <c r="WEL4" s="37"/>
      <c r="WEM4" s="37"/>
      <c r="WEN4" s="37"/>
      <c r="WEO4" s="37"/>
      <c r="WEP4" s="37"/>
      <c r="WEQ4" s="37"/>
      <c r="WER4" s="37"/>
      <c r="WES4" s="37"/>
      <c r="WET4" s="37"/>
      <c r="WEU4" s="37"/>
      <c r="WEV4" s="37"/>
      <c r="WEW4" s="37"/>
      <c r="WEX4" s="37"/>
      <c r="WEY4" s="37"/>
      <c r="WEZ4" s="37"/>
      <c r="WFA4" s="37"/>
      <c r="WFB4" s="37"/>
      <c r="WFC4" s="37"/>
      <c r="WFD4" s="37"/>
      <c r="WFE4" s="37"/>
      <c r="WFF4" s="37"/>
      <c r="WFG4" s="37"/>
      <c r="WFH4" s="37"/>
      <c r="WFI4" s="37"/>
      <c r="WFJ4" s="37"/>
      <c r="WFK4" s="37"/>
      <c r="WFL4" s="37"/>
      <c r="WFM4" s="37"/>
      <c r="WFN4" s="37"/>
      <c r="WFO4" s="37"/>
      <c r="WFP4" s="37"/>
      <c r="WFQ4" s="37"/>
      <c r="WFR4" s="37"/>
      <c r="WFS4" s="37"/>
      <c r="WFT4" s="37"/>
      <c r="WFU4" s="37"/>
      <c r="WFV4" s="37"/>
      <c r="WFW4" s="37"/>
      <c r="WFX4" s="37"/>
      <c r="WFY4" s="37"/>
      <c r="WFZ4" s="37"/>
      <c r="WGA4" s="37"/>
      <c r="WGB4" s="37"/>
      <c r="WGC4" s="37"/>
      <c r="WGD4" s="37"/>
      <c r="WGE4" s="37"/>
      <c r="WGF4" s="37"/>
      <c r="WGG4" s="37"/>
      <c r="WGH4" s="37"/>
      <c r="WGI4" s="37"/>
      <c r="WGJ4" s="37"/>
      <c r="WGK4" s="37"/>
      <c r="WGL4" s="37"/>
      <c r="WGM4" s="37"/>
      <c r="WGN4" s="37"/>
      <c r="WGO4" s="37"/>
      <c r="WGP4" s="37"/>
      <c r="WGQ4" s="37"/>
      <c r="WGR4" s="37"/>
      <c r="WGS4" s="37"/>
      <c r="WGT4" s="37"/>
      <c r="WGU4" s="37"/>
      <c r="WGV4" s="37"/>
      <c r="WGW4" s="37"/>
      <c r="WGX4" s="37"/>
      <c r="WGY4" s="37"/>
      <c r="WGZ4" s="37"/>
      <c r="WHA4" s="37"/>
      <c r="WHB4" s="37"/>
      <c r="WHC4" s="37"/>
      <c r="WHD4" s="37"/>
      <c r="WHE4" s="37"/>
      <c r="WHF4" s="37"/>
      <c r="WHG4" s="37"/>
      <c r="WHH4" s="37"/>
      <c r="WHI4" s="37"/>
      <c r="WHJ4" s="37"/>
      <c r="WHK4" s="37"/>
      <c r="WHL4" s="37"/>
      <c r="WHM4" s="37"/>
      <c r="WHN4" s="37"/>
      <c r="WHO4" s="37"/>
      <c r="WHP4" s="37"/>
      <c r="WHQ4" s="37"/>
      <c r="WHR4" s="37"/>
      <c r="WHS4" s="37"/>
      <c r="WHT4" s="37"/>
      <c r="WHU4" s="37"/>
      <c r="WHV4" s="37"/>
      <c r="WHW4" s="37"/>
      <c r="WHX4" s="37"/>
      <c r="WHY4" s="37"/>
      <c r="WHZ4" s="37"/>
      <c r="WIA4" s="37"/>
      <c r="WIB4" s="37"/>
      <c r="WIC4" s="37"/>
      <c r="WID4" s="37"/>
      <c r="WIE4" s="37"/>
      <c r="WIF4" s="37"/>
      <c r="WIG4" s="37"/>
      <c r="WIH4" s="37"/>
      <c r="WII4" s="37"/>
      <c r="WIJ4" s="37"/>
      <c r="WIK4" s="37"/>
      <c r="WIL4" s="37"/>
      <c r="WIM4" s="37"/>
      <c r="WIN4" s="37"/>
      <c r="WIO4" s="37"/>
      <c r="WIP4" s="37"/>
      <c r="WIQ4" s="37"/>
      <c r="WIR4" s="37"/>
      <c r="WIS4" s="37"/>
      <c r="WIT4" s="37"/>
      <c r="WIU4" s="37"/>
      <c r="WIV4" s="37"/>
      <c r="WIW4" s="37"/>
      <c r="WIX4" s="37"/>
      <c r="WIY4" s="37"/>
      <c r="WIZ4" s="37"/>
      <c r="WJA4" s="37"/>
      <c r="WJB4" s="37"/>
      <c r="WJC4" s="37"/>
      <c r="WJD4" s="37"/>
      <c r="WJE4" s="37"/>
      <c r="WJF4" s="37"/>
      <c r="WJG4" s="37"/>
      <c r="WJH4" s="37"/>
      <c r="WJI4" s="37"/>
      <c r="WJJ4" s="37"/>
      <c r="WJK4" s="37"/>
      <c r="WJL4" s="37"/>
      <c r="WJM4" s="37"/>
      <c r="WJN4" s="37"/>
      <c r="WJO4" s="37"/>
      <c r="WJP4" s="37"/>
      <c r="WJQ4" s="37"/>
      <c r="WJR4" s="37"/>
      <c r="WJS4" s="37"/>
      <c r="WJT4" s="37"/>
      <c r="WJU4" s="37"/>
      <c r="WJV4" s="37"/>
      <c r="WJW4" s="37"/>
      <c r="WJX4" s="37"/>
      <c r="WJY4" s="37"/>
      <c r="WJZ4" s="37"/>
      <c r="WKA4" s="37"/>
      <c r="WKB4" s="37"/>
      <c r="WKC4" s="37"/>
      <c r="WKD4" s="37"/>
      <c r="WKE4" s="37"/>
      <c r="WKF4" s="37"/>
      <c r="WKG4" s="37"/>
      <c r="WKH4" s="37"/>
      <c r="WKI4" s="37"/>
      <c r="WKJ4" s="37"/>
      <c r="WKK4" s="37"/>
      <c r="WKL4" s="37"/>
      <c r="WKM4" s="37"/>
      <c r="WKN4" s="37"/>
      <c r="WKO4" s="37"/>
      <c r="WKP4" s="37"/>
      <c r="WKQ4" s="37"/>
      <c r="WKR4" s="37"/>
      <c r="WKS4" s="37"/>
      <c r="WKT4" s="37"/>
      <c r="WKU4" s="37"/>
      <c r="WKV4" s="37"/>
      <c r="WKW4" s="37"/>
      <c r="WKX4" s="37"/>
      <c r="WKY4" s="37"/>
      <c r="WKZ4" s="37"/>
      <c r="WLA4" s="37"/>
      <c r="WLB4" s="37"/>
      <c r="WLC4" s="37"/>
      <c r="WLD4" s="37"/>
      <c r="WLE4" s="37"/>
      <c r="WLF4" s="37"/>
      <c r="WLG4" s="37"/>
      <c r="WLH4" s="37"/>
      <c r="WLI4" s="37"/>
      <c r="WLJ4" s="37"/>
      <c r="WLK4" s="37"/>
      <c r="WLL4" s="37"/>
      <c r="WLM4" s="37"/>
      <c r="WLN4" s="37"/>
      <c r="WLO4" s="37"/>
      <c r="WLP4" s="37"/>
      <c r="WLQ4" s="37"/>
      <c r="WLR4" s="37"/>
      <c r="WLS4" s="37"/>
      <c r="WLT4" s="37"/>
      <c r="WLU4" s="37"/>
      <c r="WLV4" s="37"/>
      <c r="WLW4" s="37"/>
      <c r="WLX4" s="37"/>
      <c r="WLY4" s="37"/>
      <c r="WLZ4" s="37"/>
      <c r="WMA4" s="37"/>
      <c r="WMB4" s="37"/>
      <c r="WMC4" s="37"/>
      <c r="WMD4" s="37"/>
      <c r="WME4" s="37"/>
      <c r="WMF4" s="37"/>
      <c r="WMG4" s="37"/>
      <c r="WMH4" s="37"/>
      <c r="WMI4" s="37"/>
      <c r="WMJ4" s="37"/>
      <c r="WMK4" s="37"/>
      <c r="WML4" s="37"/>
      <c r="WMM4" s="37"/>
      <c r="WMN4" s="37"/>
      <c r="WMO4" s="37"/>
      <c r="WMP4" s="37"/>
      <c r="WMQ4" s="37"/>
      <c r="WMR4" s="37"/>
      <c r="WMS4" s="37"/>
      <c r="WMT4" s="37"/>
      <c r="WMU4" s="37"/>
      <c r="WMV4" s="37"/>
      <c r="WMW4" s="37"/>
      <c r="WMX4" s="37"/>
      <c r="WMY4" s="37"/>
      <c r="WMZ4" s="37"/>
      <c r="WNA4" s="37"/>
      <c r="WNB4" s="37"/>
      <c r="WNC4" s="37"/>
      <c r="WND4" s="37"/>
      <c r="WNE4" s="37"/>
      <c r="WNF4" s="37"/>
      <c r="WNG4" s="37"/>
      <c r="WNH4" s="37"/>
      <c r="WNI4" s="37"/>
      <c r="WNJ4" s="37"/>
      <c r="WNK4" s="37"/>
      <c r="WNL4" s="37"/>
      <c r="WNM4" s="37"/>
      <c r="WNN4" s="37"/>
      <c r="WNO4" s="37"/>
      <c r="WNP4" s="37"/>
      <c r="WNQ4" s="37"/>
      <c r="WNR4" s="37"/>
      <c r="WNS4" s="37"/>
      <c r="WNT4" s="37"/>
      <c r="WNU4" s="37"/>
      <c r="WNV4" s="37"/>
      <c r="WNW4" s="37"/>
      <c r="WNX4" s="37"/>
      <c r="WNY4" s="37"/>
      <c r="WNZ4" s="37"/>
      <c r="WOA4" s="37"/>
      <c r="WOB4" s="37"/>
      <c r="WOC4" s="37"/>
      <c r="WOD4" s="37"/>
      <c r="WOE4" s="37"/>
      <c r="WOF4" s="37"/>
      <c r="WOG4" s="37"/>
      <c r="WOH4" s="37"/>
      <c r="WOI4" s="37"/>
      <c r="WOJ4" s="37"/>
      <c r="WOK4" s="37"/>
      <c r="WOL4" s="37"/>
      <c r="WOM4" s="37"/>
      <c r="WON4" s="37"/>
      <c r="WOO4" s="37"/>
      <c r="WOP4" s="37"/>
      <c r="WOQ4" s="37"/>
      <c r="WOR4" s="37"/>
      <c r="WOS4" s="37"/>
      <c r="WOT4" s="37"/>
      <c r="WOU4" s="37"/>
      <c r="WOV4" s="37"/>
      <c r="WOW4" s="37"/>
      <c r="WOX4" s="37"/>
      <c r="WOY4" s="37"/>
      <c r="WOZ4" s="37"/>
      <c r="WPA4" s="37"/>
      <c r="WPB4" s="37"/>
      <c r="WPC4" s="37"/>
      <c r="WPD4" s="37"/>
      <c r="WPE4" s="37"/>
      <c r="WPF4" s="37"/>
      <c r="WPG4" s="37"/>
      <c r="WPH4" s="37"/>
      <c r="WPI4" s="37"/>
      <c r="WPJ4" s="37"/>
      <c r="WPK4" s="37"/>
      <c r="WPL4" s="37"/>
      <c r="WPM4" s="37"/>
      <c r="WPN4" s="37"/>
      <c r="WPO4" s="37"/>
      <c r="WPP4" s="37"/>
      <c r="WPQ4" s="37"/>
      <c r="WPR4" s="37"/>
      <c r="WPS4" s="37"/>
      <c r="WPT4" s="37"/>
      <c r="WPU4" s="37"/>
      <c r="WPV4" s="37"/>
      <c r="WPW4" s="37"/>
      <c r="WPX4" s="37"/>
      <c r="WPY4" s="37"/>
      <c r="WPZ4" s="37"/>
      <c r="WQA4" s="37"/>
      <c r="WQB4" s="37"/>
      <c r="WQC4" s="37"/>
      <c r="WQD4" s="37"/>
      <c r="WQE4" s="37"/>
      <c r="WQF4" s="37"/>
      <c r="WQG4" s="37"/>
      <c r="WQH4" s="37"/>
      <c r="WQI4" s="37"/>
      <c r="WQJ4" s="37"/>
      <c r="WQK4" s="37"/>
      <c r="WQL4" s="37"/>
      <c r="WQM4" s="37"/>
      <c r="WQN4" s="37"/>
      <c r="WQO4" s="37"/>
      <c r="WQP4" s="37"/>
      <c r="WQQ4" s="37"/>
      <c r="WQR4" s="37"/>
      <c r="WQS4" s="37"/>
      <c r="WQT4" s="37"/>
      <c r="WQU4" s="37"/>
      <c r="WQV4" s="37"/>
      <c r="WQW4" s="37"/>
      <c r="WQX4" s="37"/>
      <c r="WQY4" s="37"/>
      <c r="WQZ4" s="37"/>
      <c r="WRA4" s="37"/>
      <c r="WRB4" s="37"/>
      <c r="WRC4" s="37"/>
      <c r="WRD4" s="37"/>
      <c r="WRE4" s="37"/>
      <c r="WRF4" s="37"/>
      <c r="WRG4" s="37"/>
      <c r="WRH4" s="37"/>
      <c r="WRI4" s="37"/>
      <c r="WRJ4" s="37"/>
      <c r="WRK4" s="37"/>
      <c r="WRL4" s="37"/>
      <c r="WRM4" s="37"/>
      <c r="WRN4" s="37"/>
      <c r="WRO4" s="37"/>
      <c r="WRP4" s="37"/>
      <c r="WRQ4" s="37"/>
      <c r="WRR4" s="37"/>
      <c r="WRS4" s="37"/>
      <c r="WRT4" s="37"/>
      <c r="WRU4" s="37"/>
      <c r="WRV4" s="37"/>
      <c r="WRW4" s="37"/>
      <c r="WRX4" s="37"/>
      <c r="WRY4" s="37"/>
      <c r="WRZ4" s="37"/>
      <c r="WSA4" s="37"/>
      <c r="WSB4" s="37"/>
      <c r="WSC4" s="37"/>
      <c r="WSD4" s="37"/>
      <c r="WSE4" s="37"/>
      <c r="WSF4" s="37"/>
      <c r="WSG4" s="37"/>
      <c r="WSH4" s="37"/>
      <c r="WSI4" s="37"/>
      <c r="WSJ4" s="37"/>
      <c r="WSK4" s="37"/>
      <c r="WSL4" s="37"/>
      <c r="WSM4" s="37"/>
      <c r="WSN4" s="37"/>
      <c r="WSO4" s="37"/>
      <c r="WSP4" s="37"/>
      <c r="WSQ4" s="37"/>
      <c r="WSR4" s="37"/>
      <c r="WSS4" s="37"/>
      <c r="WST4" s="37"/>
      <c r="WSU4" s="37"/>
      <c r="WSV4" s="37"/>
      <c r="WSW4" s="37"/>
      <c r="WSX4" s="37"/>
      <c r="WSY4" s="37"/>
      <c r="WSZ4" s="37"/>
      <c r="WTA4" s="37"/>
      <c r="WTB4" s="37"/>
      <c r="WTC4" s="37"/>
      <c r="WTD4" s="37"/>
      <c r="WTE4" s="37"/>
      <c r="WTF4" s="37"/>
      <c r="WTG4" s="37"/>
      <c r="WTH4" s="37"/>
      <c r="WTI4" s="37"/>
      <c r="WTJ4" s="37"/>
      <c r="WTK4" s="37"/>
      <c r="WTL4" s="37"/>
      <c r="WTM4" s="37"/>
      <c r="WTN4" s="37"/>
      <c r="WTO4" s="37"/>
      <c r="WTP4" s="37"/>
      <c r="WTQ4" s="37"/>
      <c r="WTR4" s="37"/>
      <c r="WTS4" s="37"/>
      <c r="WTT4" s="37"/>
      <c r="WTU4" s="37"/>
      <c r="WTV4" s="37"/>
      <c r="WTW4" s="37"/>
      <c r="WTX4" s="37"/>
      <c r="WTY4" s="37"/>
      <c r="WTZ4" s="37"/>
      <c r="WUA4" s="37"/>
      <c r="WUB4" s="37"/>
      <c r="WUC4" s="37"/>
      <c r="WUD4" s="37"/>
      <c r="WUE4" s="37"/>
      <c r="WUF4" s="37"/>
      <c r="WUG4" s="37"/>
      <c r="WUH4" s="37"/>
      <c r="WUI4" s="37"/>
      <c r="WUJ4" s="37"/>
      <c r="WUK4" s="37"/>
      <c r="WUL4" s="37"/>
      <c r="WUM4" s="37"/>
      <c r="WUN4" s="37"/>
      <c r="WUO4" s="37"/>
      <c r="WUP4" s="37"/>
      <c r="WUQ4" s="37"/>
      <c r="WUR4" s="37"/>
      <c r="WUS4" s="37"/>
      <c r="WUT4" s="37"/>
      <c r="WUU4" s="37"/>
      <c r="WUV4" s="37"/>
      <c r="WUW4" s="37"/>
      <c r="WUX4" s="37"/>
      <c r="WUY4" s="37"/>
      <c r="WUZ4" s="37"/>
      <c r="WVA4" s="37"/>
      <c r="WVB4" s="37"/>
      <c r="WVC4" s="37"/>
      <c r="WVD4" s="37"/>
      <c r="WVE4" s="37"/>
      <c r="WVF4" s="37"/>
      <c r="WVG4" s="37"/>
      <c r="WVH4" s="37"/>
      <c r="WVI4" s="37"/>
      <c r="WVJ4" s="37"/>
      <c r="WVK4" s="37"/>
      <c r="WVL4" s="37"/>
      <c r="WVM4" s="37"/>
      <c r="WVN4" s="37"/>
      <c r="WVO4" s="37"/>
      <c r="WVP4" s="37"/>
      <c r="WVQ4" s="37"/>
      <c r="WVR4" s="37"/>
      <c r="WVS4" s="37"/>
      <c r="WVT4" s="37"/>
      <c r="WVU4" s="37"/>
      <c r="WVV4" s="37"/>
      <c r="WVW4" s="37"/>
      <c r="WVX4" s="37"/>
      <c r="WVY4" s="37"/>
      <c r="WVZ4" s="37"/>
      <c r="WWA4" s="37"/>
      <c r="WWB4" s="37"/>
      <c r="WWC4" s="37"/>
      <c r="WWD4" s="37"/>
      <c r="WWE4" s="37"/>
      <c r="WWF4" s="37"/>
      <c r="WWG4" s="37"/>
      <c r="WWH4" s="37"/>
      <c r="WWI4" s="37"/>
      <c r="WWJ4" s="37"/>
      <c r="WWK4" s="37"/>
      <c r="WWL4" s="37"/>
      <c r="WWM4" s="37"/>
      <c r="WWN4" s="37"/>
      <c r="WWO4" s="37"/>
      <c r="WWP4" s="37"/>
      <c r="WWQ4" s="37"/>
      <c r="WWR4" s="37"/>
      <c r="WWS4" s="37"/>
      <c r="WWT4" s="37"/>
      <c r="WWU4" s="37"/>
      <c r="WWV4" s="37"/>
      <c r="WWW4" s="37"/>
      <c r="WWX4" s="37"/>
      <c r="WWY4" s="37"/>
      <c r="WWZ4" s="37"/>
      <c r="WXA4" s="37"/>
      <c r="WXB4" s="37"/>
      <c r="WXC4" s="37"/>
      <c r="WXD4" s="37"/>
      <c r="WXE4" s="37"/>
      <c r="WXF4" s="37"/>
      <c r="WXG4" s="37"/>
      <c r="WXH4" s="37"/>
      <c r="WXI4" s="37"/>
      <c r="WXJ4" s="37"/>
      <c r="WXK4" s="37"/>
      <c r="WXL4" s="37"/>
      <c r="WXM4" s="37"/>
      <c r="WXN4" s="37"/>
      <c r="WXO4" s="37"/>
      <c r="WXP4" s="37"/>
      <c r="WXQ4" s="37"/>
      <c r="WXR4" s="37"/>
      <c r="WXS4" s="37"/>
      <c r="WXT4" s="37"/>
      <c r="WXU4" s="37"/>
      <c r="WXV4" s="37"/>
      <c r="WXW4" s="37"/>
      <c r="WXX4" s="37"/>
      <c r="WXY4" s="37"/>
      <c r="WXZ4" s="37"/>
      <c r="WYA4" s="37"/>
      <c r="WYB4" s="37"/>
      <c r="WYC4" s="37"/>
      <c r="WYD4" s="37"/>
      <c r="WYE4" s="37"/>
      <c r="WYF4" s="37"/>
      <c r="WYG4" s="37"/>
      <c r="WYH4" s="37"/>
      <c r="WYI4" s="37"/>
      <c r="WYJ4" s="37"/>
      <c r="WYK4" s="37"/>
      <c r="WYL4" s="37"/>
      <c r="WYM4" s="37"/>
      <c r="WYN4" s="37"/>
      <c r="WYO4" s="37"/>
      <c r="WYP4" s="37"/>
      <c r="WYQ4" s="37"/>
      <c r="WYR4" s="37"/>
      <c r="WYS4" s="37"/>
      <c r="WYT4" s="37"/>
      <c r="WYU4" s="37"/>
      <c r="WYV4" s="37"/>
      <c r="WYW4" s="37"/>
      <c r="WYX4" s="37"/>
      <c r="WYY4" s="37"/>
      <c r="WYZ4" s="37"/>
      <c r="WZA4" s="37"/>
      <c r="WZB4" s="37"/>
      <c r="WZC4" s="37"/>
      <c r="WZD4" s="37"/>
      <c r="WZE4" s="37"/>
      <c r="WZF4" s="37"/>
      <c r="WZG4" s="37"/>
      <c r="WZH4" s="37"/>
      <c r="WZI4" s="37"/>
      <c r="WZJ4" s="37"/>
      <c r="WZK4" s="37"/>
      <c r="WZL4" s="37"/>
      <c r="WZM4" s="37"/>
      <c r="WZN4" s="37"/>
      <c r="WZO4" s="37"/>
      <c r="WZP4" s="37"/>
      <c r="WZQ4" s="37"/>
      <c r="WZR4" s="37"/>
      <c r="WZS4" s="37"/>
      <c r="WZT4" s="37"/>
      <c r="WZU4" s="37"/>
      <c r="WZV4" s="37"/>
      <c r="WZW4" s="37"/>
      <c r="WZX4" s="37"/>
      <c r="WZY4" s="37"/>
      <c r="WZZ4" s="37"/>
      <c r="XAA4" s="37"/>
      <c r="XAB4" s="37"/>
      <c r="XAC4" s="37"/>
      <c r="XAD4" s="37"/>
      <c r="XAE4" s="37"/>
      <c r="XAF4" s="37"/>
      <c r="XAG4" s="37"/>
      <c r="XAH4" s="37"/>
      <c r="XAI4" s="37"/>
      <c r="XAJ4" s="37"/>
      <c r="XAK4" s="37"/>
      <c r="XAL4" s="37"/>
      <c r="XAM4" s="37"/>
      <c r="XAN4" s="37"/>
      <c r="XAO4" s="37"/>
      <c r="XAP4" s="37"/>
      <c r="XAQ4" s="37"/>
      <c r="XAR4" s="37"/>
      <c r="XAS4" s="37"/>
      <c r="XAT4" s="37"/>
      <c r="XAU4" s="37"/>
      <c r="XAV4" s="37"/>
      <c r="XAW4" s="37"/>
      <c r="XAX4" s="37"/>
      <c r="XAY4" s="37"/>
      <c r="XAZ4" s="37"/>
      <c r="XBA4" s="37"/>
      <c r="XBB4" s="37"/>
      <c r="XBC4" s="37"/>
      <c r="XBD4" s="37"/>
      <c r="XBE4" s="37"/>
      <c r="XBF4" s="37"/>
      <c r="XBG4" s="37"/>
      <c r="XBH4" s="37"/>
      <c r="XBI4" s="37"/>
      <c r="XBJ4" s="37"/>
      <c r="XBK4" s="37"/>
      <c r="XBL4" s="37"/>
      <c r="XBM4" s="37"/>
      <c r="XBN4" s="37"/>
      <c r="XBO4" s="37"/>
      <c r="XBP4" s="37"/>
      <c r="XBQ4" s="37"/>
      <c r="XBR4" s="37"/>
      <c r="XBS4" s="37"/>
      <c r="XBT4" s="37"/>
      <c r="XBU4" s="37"/>
      <c r="XBV4" s="37"/>
      <c r="XBW4" s="37"/>
      <c r="XBX4" s="37"/>
      <c r="XBY4" s="37"/>
      <c r="XBZ4" s="37"/>
      <c r="XCA4" s="37"/>
      <c r="XCB4" s="37"/>
      <c r="XCC4" s="37"/>
      <c r="XCD4" s="37"/>
      <c r="XCE4" s="37"/>
      <c r="XCF4" s="37"/>
      <c r="XCG4" s="37"/>
      <c r="XCH4" s="37"/>
      <c r="XCI4" s="37"/>
      <c r="XCJ4" s="37"/>
      <c r="XCK4" s="37"/>
      <c r="XCL4" s="37"/>
      <c r="XCM4" s="37"/>
      <c r="XCN4" s="37"/>
      <c r="XCO4" s="37"/>
      <c r="XCP4" s="37"/>
      <c r="XCQ4" s="37"/>
      <c r="XCR4" s="37"/>
      <c r="XCS4" s="37"/>
      <c r="XCT4" s="37"/>
      <c r="XCU4" s="37"/>
      <c r="XCV4" s="37"/>
      <c r="XCW4" s="37"/>
      <c r="XCX4" s="37"/>
      <c r="XCY4" s="37"/>
      <c r="XCZ4" s="37"/>
      <c r="XDA4" s="37"/>
      <c r="XDB4" s="37"/>
      <c r="XDC4" s="37"/>
      <c r="XDD4" s="37"/>
      <c r="XDE4" s="37"/>
      <c r="XDF4" s="37"/>
      <c r="XDG4" s="37"/>
      <c r="XDH4" s="37"/>
      <c r="XDI4" s="37"/>
      <c r="XDJ4" s="37"/>
      <c r="XDK4" s="37"/>
      <c r="XDL4" s="37"/>
      <c r="XDM4" s="37"/>
      <c r="XDN4" s="37"/>
      <c r="XDO4" s="37"/>
      <c r="XDP4" s="37"/>
      <c r="XDQ4" s="37"/>
      <c r="XDR4" s="37"/>
      <c r="XDS4" s="37"/>
      <c r="XDT4" s="37"/>
      <c r="XDU4" s="37"/>
      <c r="XDV4" s="37"/>
      <c r="XDW4" s="37"/>
      <c r="XDX4" s="37"/>
      <c r="XDY4" s="37"/>
      <c r="XDZ4" s="37"/>
      <c r="XEA4" s="37"/>
      <c r="XEB4" s="37"/>
      <c r="XEC4" s="37"/>
      <c r="XED4" s="37"/>
      <c r="XEE4" s="37"/>
      <c r="XEF4" s="37"/>
      <c r="XEG4" s="37"/>
      <c r="XEH4" s="37"/>
      <c r="XEI4" s="37"/>
      <c r="XEJ4" s="37"/>
      <c r="XEK4" s="37"/>
      <c r="XEL4" s="37"/>
      <c r="XEM4" s="37"/>
      <c r="XEN4" s="37"/>
      <c r="XEO4" s="37"/>
      <c r="XEP4" s="37"/>
      <c r="XEQ4" s="37"/>
      <c r="XER4" s="37"/>
      <c r="XES4" s="37"/>
      <c r="XET4" s="37"/>
      <c r="XEU4" s="37"/>
      <c r="XEV4" s="37"/>
    </row>
    <row r="5" spans="1:16376" ht="12" customHeight="1">
      <c r="E5" s="56" t="s">
        <v>21</v>
      </c>
      <c r="F5" s="57"/>
      <c r="G5" s="58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16376" s="48" customFormat="1" ht="12" customHeight="1">
      <c r="E6" s="42" t="s">
        <v>824</v>
      </c>
      <c r="F6" s="43" t="s">
        <v>37</v>
      </c>
      <c r="G6" s="83">
        <f>Calc!G42/1000</f>
        <v>4.3440000000000003</v>
      </c>
      <c r="H6" s="83">
        <f>Calc!H42/1000</f>
        <v>4.8529999999999998</v>
      </c>
      <c r="I6" s="83">
        <f>Calc!I42/1000</f>
        <v>5.1929999999999996</v>
      </c>
      <c r="J6" s="83">
        <f>Calc!J42/1000</f>
        <v>7.0170000000000003</v>
      </c>
      <c r="K6" s="83">
        <f>Calc!K42/1000</f>
        <v>7.1870000000000003</v>
      </c>
      <c r="L6" s="83">
        <f>Calc!L42/1000</f>
        <v>7.2110000000000003</v>
      </c>
      <c r="M6" s="83">
        <f>Calc!M42/1000</f>
        <v>7.5890000000000004</v>
      </c>
      <c r="N6" s="83">
        <f>Calc!N42/1000</f>
        <v>6.6139999999999999</v>
      </c>
      <c r="O6" s="83">
        <f>Calc!O42/1000</f>
        <v>6.5140000000000002</v>
      </c>
      <c r="P6" s="83">
        <f>Calc!P42/1000</f>
        <v>6.1180000000000003</v>
      </c>
      <c r="Q6" s="83">
        <f>Calc!Q42/1000</f>
        <v>6.1180000000000003</v>
      </c>
      <c r="R6" s="83">
        <f>Calc!R42/1000</f>
        <v>7.7380000000000004</v>
      </c>
      <c r="S6" s="83">
        <f>Calc!S42/1000</f>
        <v>7.7380000000000004</v>
      </c>
      <c r="T6" s="83">
        <f>Calc!T42/1000</f>
        <v>7.7380000000000004</v>
      </c>
      <c r="U6" s="83">
        <f>Calc!U42/1000</f>
        <v>7.7380000000000004</v>
      </c>
      <c r="V6" s="83">
        <f>Calc!V42/1000</f>
        <v>7.7380000000000004</v>
      </c>
      <c r="W6" s="83">
        <f>Calc!W42/1000</f>
        <v>7.7380000000000004</v>
      </c>
      <c r="X6" s="83">
        <f>Calc!X42/1000</f>
        <v>7.7380000000000004</v>
      </c>
      <c r="Y6" s="83">
        <f>Calc!Y42/1000</f>
        <v>7.7380000000000004</v>
      </c>
      <c r="Z6" s="83">
        <f>Calc!Z42/1000</f>
        <v>7.7380000000000004</v>
      </c>
    </row>
    <row r="7" spans="1:16376" s="48" customFormat="1" ht="12" customHeight="1">
      <c r="E7" s="42" t="s">
        <v>835</v>
      </c>
      <c r="F7" s="43" t="s">
        <v>37</v>
      </c>
      <c r="G7" s="83">
        <f>Calc!G63/1000</f>
        <v>7.9909999999999997</v>
      </c>
      <c r="H7" s="83">
        <f>Calc!H63/1000</f>
        <v>8.5039999999999996</v>
      </c>
      <c r="I7" s="83">
        <f>Calc!I63/1000</f>
        <v>8.4710000000000001</v>
      </c>
      <c r="J7" s="83">
        <f>Calc!J63/1000</f>
        <v>9.4779999999999998</v>
      </c>
      <c r="K7" s="83">
        <f>Calc!K63/1000</f>
        <v>10.669</v>
      </c>
      <c r="L7" s="83">
        <f>Calc!L63/1000</f>
        <v>11.208</v>
      </c>
      <c r="M7" s="83">
        <f>Calc!M63/1000</f>
        <v>11.134</v>
      </c>
      <c r="N7" s="83">
        <f>Calc!N63/1000</f>
        <v>10.74</v>
      </c>
      <c r="O7" s="83">
        <f>Calc!O63/1000</f>
        <v>11.183999999999999</v>
      </c>
      <c r="P7" s="83">
        <f>Calc!P63/1000</f>
        <v>10.773999999999999</v>
      </c>
      <c r="Q7" s="83">
        <f>Calc!Q63/1000</f>
        <v>9.9662418278394789</v>
      </c>
      <c r="R7" s="83">
        <f>Calc!R63/1000</f>
        <v>11.586241827839478</v>
      </c>
      <c r="S7" s="83">
        <f>Calc!S63/1000</f>
        <v>11.586241827839478</v>
      </c>
      <c r="T7" s="83">
        <f>Calc!T63/1000</f>
        <v>11.586241827839478</v>
      </c>
      <c r="U7" s="83">
        <f>Calc!U63/1000</f>
        <v>11.586241827839478</v>
      </c>
      <c r="V7" s="83">
        <f>Calc!V63/1000</f>
        <v>11.586241827839478</v>
      </c>
      <c r="W7" s="83">
        <f>Calc!W63/1000</f>
        <v>11.586241827839478</v>
      </c>
      <c r="X7" s="83">
        <f>Calc!X63/1000</f>
        <v>11.586241827839478</v>
      </c>
      <c r="Y7" s="83">
        <f>Calc!Y63/1000</f>
        <v>11.586241827839478</v>
      </c>
      <c r="Z7" s="83">
        <f>Calc!Z63/1000</f>
        <v>11.586241827839478</v>
      </c>
    </row>
    <row r="8" spans="1:16376" s="48" customFormat="1" ht="12" customHeight="1">
      <c r="E8" s="42" t="s">
        <v>36</v>
      </c>
      <c r="F8" s="43" t="s">
        <v>4</v>
      </c>
      <c r="G8" s="82">
        <f>Calc!G68</f>
        <v>378.43161056188211</v>
      </c>
      <c r="H8" s="82">
        <f>Calc!H68</f>
        <v>379.04503762935087</v>
      </c>
      <c r="I8" s="82">
        <f>Calc!I68</f>
        <v>262.73190886554124</v>
      </c>
      <c r="J8" s="82">
        <f>Calc!J68</f>
        <v>210.84922979531547</v>
      </c>
      <c r="K8" s="82">
        <f>Calc!K68</f>
        <v>286.87243415502854</v>
      </c>
      <c r="L8" s="82">
        <f>Calc!L68</f>
        <v>350.80719129193432</v>
      </c>
      <c r="M8" s="82">
        <f>Calc!M68</f>
        <v>294.90874797916297</v>
      </c>
      <c r="N8" s="82">
        <f>Calc!N68</f>
        <v>246.73770949720671</v>
      </c>
      <c r="O8" s="82">
        <f>Calc!O68</f>
        <v>394.72094062947065</v>
      </c>
      <c r="P8" s="82">
        <f>Calc!P68</f>
        <v>400.14739186931502</v>
      </c>
      <c r="Q8" s="82">
        <f>Calc!Q68</f>
        <v>317.93224743724397</v>
      </c>
      <c r="R8" s="82">
        <f>Calc!R68</f>
        <v>380.43866895517914</v>
      </c>
      <c r="S8" s="82">
        <f>Calc!S68</f>
        <v>421.83692946276483</v>
      </c>
      <c r="T8" s="82">
        <f>Calc!T68</f>
        <v>407.3158311966896</v>
      </c>
      <c r="U8" s="82">
        <f>Calc!U68</f>
        <v>406.85634842242683</v>
      </c>
      <c r="V8" s="82">
        <f>Calc!V68</f>
        <v>408.48377381611652</v>
      </c>
      <c r="W8" s="82">
        <f>Calc!W68</f>
        <v>410.11770891138099</v>
      </c>
      <c r="X8" s="82">
        <f>Calc!X68</f>
        <v>411.75817974702653</v>
      </c>
      <c r="Y8" s="82">
        <f>Calc!Y68</f>
        <v>413.40521246601463</v>
      </c>
      <c r="Z8" s="82">
        <f>Calc!Z68</f>
        <v>415.05883331587876</v>
      </c>
    </row>
    <row r="9" spans="1:16376" s="49" customFormat="1" ht="12" customHeight="1">
      <c r="E9" s="38" t="s">
        <v>22</v>
      </c>
      <c r="F9" s="40" t="s">
        <v>3</v>
      </c>
      <c r="G9" s="44" t="str">
        <f t="shared" ref="G9" si="2">IFERROR(G8/F8-1,"-")</f>
        <v>-</v>
      </c>
      <c r="H9" s="44">
        <f t="shared" ref="H9" si="3">IFERROR(H8/G8-1,"-")</f>
        <v>1.6209720603359568E-3</v>
      </c>
      <c r="I9" s="44">
        <f t="shared" ref="I9" si="4">IFERROR(I8/H8-1,"-")</f>
        <v>-0.30685833401556473</v>
      </c>
      <c r="J9" s="44">
        <f t="shared" ref="J9" si="5">IFERROR(J8/I8-1,"-")</f>
        <v>-0.19747384051770378</v>
      </c>
      <c r="K9" s="44">
        <f t="shared" ref="K9" si="6">IFERROR(K8/J8-1,"-")</f>
        <v>0.36055718312802743</v>
      </c>
      <c r="L9" s="44">
        <f t="shared" ref="L9" si="7">IFERROR(L8/K8-1,"-")</f>
        <v>0.22286824917571146</v>
      </c>
      <c r="M9" s="44">
        <f t="shared" ref="M9" si="8">IFERROR(M8/L8-1,"-")</f>
        <v>-0.15934235300853294</v>
      </c>
      <c r="N9" s="44">
        <f t="shared" ref="N9" si="9">IFERROR(N8/M8-1,"-")</f>
        <v>-0.16334218232603881</v>
      </c>
      <c r="O9" s="44">
        <f t="shared" ref="O9" si="10">IFERROR(O8/N8-1,"-")</f>
        <v>0.59975928054863958</v>
      </c>
      <c r="P9" s="44">
        <f t="shared" ref="P9" si="11">IFERROR(P8/O8-1,"-")</f>
        <v>1.374756361086571E-2</v>
      </c>
      <c r="Q9" s="44">
        <f>IFERROR(Q8/P8-1,"-")</f>
        <v>-0.20546215245336863</v>
      </c>
      <c r="R9" s="44">
        <f t="shared" ref="R9" si="12">IFERROR(R8/Q8-1,"-")</f>
        <v>0.19660296186304027</v>
      </c>
      <c r="S9" s="44">
        <f t="shared" ref="S9" si="13">IFERROR(S8/R8-1,"-")</f>
        <v>0.10881717313668493</v>
      </c>
      <c r="T9" s="44">
        <f t="shared" ref="T9" si="14">IFERROR(T8/S8-1,"-")</f>
        <v>-3.4423487494489202E-2</v>
      </c>
      <c r="U9" s="44">
        <f t="shared" ref="U9" si="15">IFERROR(U8/T8-1,"-")</f>
        <v>-1.1280749214014341E-3</v>
      </c>
      <c r="V9" s="44">
        <f t="shared" ref="V9" si="16">IFERROR(V8/U8-1,"-")</f>
        <v>4.0000000000000036E-3</v>
      </c>
      <c r="W9" s="44">
        <f t="shared" ref="W9" si="17">IFERROR(W8/V8-1,"-")</f>
        <v>4.0000000000000036E-3</v>
      </c>
      <c r="X9" s="44">
        <f t="shared" ref="X9" si="18">IFERROR(X8/W8-1,"-")</f>
        <v>4.0000000000000036E-3</v>
      </c>
      <c r="Y9" s="44">
        <f t="shared" ref="Y9" si="19">IFERROR(Y8/X8-1,"-")</f>
        <v>4.0000000000000036E-3</v>
      </c>
      <c r="Z9" s="44">
        <f t="shared" ref="Z9" si="20">IFERROR(Z8/Y8-1,"-")</f>
        <v>4.0000000000002256E-3</v>
      </c>
    </row>
    <row r="10" spans="1:16376" ht="12" customHeight="1">
      <c r="E10" s="56" t="s">
        <v>20</v>
      </c>
      <c r="F10" s="57"/>
      <c r="G10" s="60"/>
      <c r="H10" s="61"/>
      <c r="I10" s="61"/>
      <c r="J10" s="61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16376" ht="12" customHeight="1">
      <c r="E11" s="62" t="s">
        <v>5</v>
      </c>
      <c r="F11" s="63" t="s">
        <v>825</v>
      </c>
      <c r="G11" s="64">
        <f>'P&amp;L'!G8</f>
        <v>3024.047</v>
      </c>
      <c r="H11" s="64">
        <f>'P&amp;L'!H8</f>
        <v>3223.3989999999999</v>
      </c>
      <c r="I11" s="64">
        <f>'P&amp;L'!I8</f>
        <v>2225.6019999999999</v>
      </c>
      <c r="J11" s="64">
        <f>'P&amp;L'!J8</f>
        <v>1998.4290000000001</v>
      </c>
      <c r="K11" s="64">
        <f>'P&amp;L'!K8</f>
        <v>3060.6419999999998</v>
      </c>
      <c r="L11" s="64">
        <f>'P&amp;L'!L8</f>
        <v>3931.8470000000002</v>
      </c>
      <c r="M11" s="64">
        <f>'P&amp;L'!M8</f>
        <v>3283.5140000000001</v>
      </c>
      <c r="N11" s="64">
        <f>'P&amp;L'!N8</f>
        <v>2649.9630000000002</v>
      </c>
      <c r="O11" s="64">
        <f>'P&amp;L'!O8</f>
        <v>4414.5590000000002</v>
      </c>
      <c r="P11" s="64">
        <f>'P&amp;L'!P8</f>
        <v>4311.1880000000001</v>
      </c>
      <c r="Q11" s="64">
        <f>'P&amp;L'!Q8</f>
        <v>3168.5896628280716</v>
      </c>
      <c r="R11" s="64">
        <f>'P&amp;L'!R8</f>
        <v>4407.854419176073</v>
      </c>
      <c r="S11" s="64">
        <f>'P&amp;L'!S8</f>
        <v>4887.5046766688574</v>
      </c>
      <c r="T11" s="64">
        <f>'P&amp;L'!T8</f>
        <v>4719.2597205522889</v>
      </c>
      <c r="U11" s="64">
        <f>'P&amp;L'!U8</f>
        <v>4713.9360420139546</v>
      </c>
      <c r="V11" s="64">
        <f>'P&amp;L'!V8</f>
        <v>4732.7917861820097</v>
      </c>
      <c r="W11" s="64">
        <f>'P&amp;L'!W8</f>
        <v>4751.7229533267373</v>
      </c>
      <c r="X11" s="64">
        <f>'P&amp;L'!X8</f>
        <v>4770.7298451400447</v>
      </c>
      <c r="Y11" s="64">
        <f>'P&amp;L'!Y8</f>
        <v>4789.812764520605</v>
      </c>
      <c r="Z11" s="64">
        <f>'P&amp;L'!Z8</f>
        <v>4808.9720155786881</v>
      </c>
    </row>
    <row r="12" spans="1:16376" s="49" customFormat="1" ht="12" customHeight="1">
      <c r="E12" s="38" t="s">
        <v>31</v>
      </c>
      <c r="F12" s="40" t="s">
        <v>3</v>
      </c>
      <c r="G12" s="44" t="str">
        <f t="shared" ref="G12" si="21">IFERROR(G11/F11-1,"-")</f>
        <v>-</v>
      </c>
      <c r="H12" s="44">
        <f t="shared" ref="H12" si="22">IFERROR(H11/G11-1,"-")</f>
        <v>6.5922255837954857E-2</v>
      </c>
      <c r="I12" s="44">
        <f t="shared" ref="I12" si="23">IFERROR(I11/H11-1,"-")</f>
        <v>-0.30954808883417784</v>
      </c>
      <c r="J12" s="44">
        <f t="shared" ref="J12" si="24">IFERROR(J11/I11-1,"-")</f>
        <v>-0.10207260777084126</v>
      </c>
      <c r="K12" s="44">
        <f t="shared" ref="K12" si="25">IFERROR(K11/J11-1,"-")</f>
        <v>0.53152401211151346</v>
      </c>
      <c r="L12" s="44">
        <f t="shared" ref="L12" si="26">IFERROR(L11/K11-1,"-")</f>
        <v>0.28464779611597835</v>
      </c>
      <c r="M12" s="44">
        <f t="shared" ref="M12" si="27">IFERROR(M11/L11-1,"-")</f>
        <v>-0.1648927336185767</v>
      </c>
      <c r="N12" s="44">
        <f t="shared" ref="N12" si="28">IFERROR(N11/M11-1,"-")</f>
        <v>-0.19294907833497887</v>
      </c>
      <c r="O12" s="44">
        <f t="shared" ref="O12" si="29">IFERROR(O11/N11-1,"-")</f>
        <v>0.66589458041489635</v>
      </c>
      <c r="P12" s="44">
        <f t="shared" ref="P12" si="30">IFERROR(P11/O11-1,"-")</f>
        <v>-2.341592897501199E-2</v>
      </c>
      <c r="Q12" s="44">
        <f>IFERROR(Q11/P11-1,"-")</f>
        <v>-0.26503096992567443</v>
      </c>
      <c r="R12" s="44">
        <f t="shared" ref="R12" si="31">IFERROR(R11/Q11-1,"-")</f>
        <v>0.39110925939268393</v>
      </c>
      <c r="S12" s="44">
        <f t="shared" ref="S12" si="32">IFERROR(S11/R11-1,"-")</f>
        <v>0.10881717313668493</v>
      </c>
      <c r="T12" s="44">
        <f t="shared" ref="T12" si="33">IFERROR(T11/S11-1,"-")</f>
        <v>-3.4423487494489313E-2</v>
      </c>
      <c r="U12" s="44">
        <f t="shared" ref="U12" si="34">IFERROR(U11/T11-1,"-")</f>
        <v>-1.128074921401323E-3</v>
      </c>
      <c r="V12" s="44">
        <f t="shared" ref="V12" si="35">IFERROR(V11/U11-1,"-")</f>
        <v>3.9999999999997815E-3</v>
      </c>
      <c r="W12" s="44">
        <f t="shared" ref="W12" si="36">IFERROR(W11/V11-1,"-")</f>
        <v>4.0000000000000036E-3</v>
      </c>
      <c r="X12" s="44">
        <f t="shared" ref="X12" si="37">IFERROR(X11/W11-1,"-")</f>
        <v>4.0000000000000036E-3</v>
      </c>
      <c r="Y12" s="44">
        <f t="shared" ref="Y12" si="38">IFERROR(Y11/X11-1,"-")</f>
        <v>4.0000000000000036E-3</v>
      </c>
      <c r="Z12" s="44">
        <f t="shared" ref="Z12" si="39">IFERROR(Z11/Y11-1,"-")</f>
        <v>4.0000000000002256E-3</v>
      </c>
    </row>
    <row r="13" spans="1:16376" ht="12" customHeight="1">
      <c r="E13" s="62" t="s">
        <v>7</v>
      </c>
      <c r="F13" s="63" t="s">
        <v>825</v>
      </c>
      <c r="G13" s="64">
        <f>'P&amp;L'!G17</f>
        <v>681.08083299999964</v>
      </c>
      <c r="H13" s="64">
        <f>'P&amp;L'!H17</f>
        <v>806.710463</v>
      </c>
      <c r="I13" s="64">
        <f>'P&amp;L'!I17</f>
        <v>419.54532899999998</v>
      </c>
      <c r="J13" s="64">
        <f>'P&amp;L'!J17</f>
        <v>243.92950400000021</v>
      </c>
      <c r="K13" s="64">
        <f>'P&amp;L'!K17</f>
        <v>784.68811599999981</v>
      </c>
      <c r="L13" s="64">
        <f>'P&amp;L'!L17</f>
        <v>1146.9278860000002</v>
      </c>
      <c r="M13" s="64">
        <f>'P&amp;L'!M17</f>
        <v>535.79477400000019</v>
      </c>
      <c r="N13" s="64">
        <f>'P&amp;L'!N17</f>
        <v>324.41686300000015</v>
      </c>
      <c r="O13" s="64">
        <f>'P&amp;L'!O17</f>
        <v>1172.7915310000001</v>
      </c>
      <c r="P13" s="64">
        <f>'P&amp;L'!P17</f>
        <v>942.02546099999995</v>
      </c>
      <c r="Q13" s="64">
        <f>'P&amp;L'!Q17</f>
        <v>599.72192434150963</v>
      </c>
      <c r="R13" s="64">
        <f>'P&amp;L'!R17</f>
        <v>949.48262352982965</v>
      </c>
      <c r="S13" s="64">
        <f>'P&amp;L'!S17</f>
        <v>1083.967022892364</v>
      </c>
      <c r="T13" s="64">
        <f>'P&amp;L'!T17</f>
        <v>1026.9141033240594</v>
      </c>
      <c r="U13" s="64">
        <f>'P&amp;L'!U17</f>
        <v>1018.1779285789163</v>
      </c>
      <c r="V13" s="64">
        <f>'P&amp;L'!V17</f>
        <v>1016.3787899311466</v>
      </c>
      <c r="W13" s="64">
        <f>'P&amp;L'!W17</f>
        <v>1014.4425947053439</v>
      </c>
      <c r="X13" s="64">
        <f>'P&amp;L'!X17</f>
        <v>1012.4018033513527</v>
      </c>
      <c r="Y13" s="64">
        <f>'P&amp;L'!Y17</f>
        <v>1010.1876982351536</v>
      </c>
      <c r="Z13" s="64">
        <f>'P&amp;L'!Z17</f>
        <v>1007.829112926399</v>
      </c>
    </row>
    <row r="14" spans="1:16376" s="50" customFormat="1" ht="12" customHeight="1">
      <c r="E14" s="38" t="s">
        <v>24</v>
      </c>
      <c r="F14" s="40" t="s">
        <v>3</v>
      </c>
      <c r="G14" s="44">
        <f>IFERROR(G13/G11,"-")</f>
        <v>0.22522164271917719</v>
      </c>
      <c r="H14" s="44">
        <f t="shared" ref="H14:Z14" si="40">IFERROR(H13/H11,"-")</f>
        <v>0.25026702030992753</v>
      </c>
      <c r="I14" s="44">
        <f t="shared" si="40"/>
        <v>0.18850869517550758</v>
      </c>
      <c r="J14" s="44">
        <f t="shared" si="40"/>
        <v>0.12206063062535631</v>
      </c>
      <c r="K14" s="44">
        <f t="shared" si="40"/>
        <v>0.25638023525783149</v>
      </c>
      <c r="L14" s="44">
        <f t="shared" si="40"/>
        <v>0.29170206419527517</v>
      </c>
      <c r="M14" s="44">
        <f t="shared" si="40"/>
        <v>0.16317724669363376</v>
      </c>
      <c r="N14" s="44">
        <f t="shared" si="40"/>
        <v>0.12242316704044552</v>
      </c>
      <c r="O14" s="44">
        <f t="shared" si="40"/>
        <v>0.26566448222800965</v>
      </c>
      <c r="P14" s="44">
        <f t="shared" si="40"/>
        <v>0.21850716345471363</v>
      </c>
      <c r="Q14" s="44">
        <f t="shared" si="40"/>
        <v>0.18927093380915655</v>
      </c>
      <c r="R14" s="44">
        <f t="shared" si="40"/>
        <v>0.2154069833611495</v>
      </c>
      <c r="S14" s="44">
        <f t="shared" si="40"/>
        <v>0.22178332187932673</v>
      </c>
      <c r="T14" s="44">
        <f t="shared" si="40"/>
        <v>0.21760067555762347</v>
      </c>
      <c r="U14" s="44">
        <f t="shared" si="40"/>
        <v>0.21599315720539897</v>
      </c>
      <c r="V14" s="44">
        <f t="shared" si="40"/>
        <v>0.21475248349158194</v>
      </c>
      <c r="W14" s="44">
        <f t="shared" si="40"/>
        <v>0.21348942366160484</v>
      </c>
      <c r="X14" s="44">
        <f t="shared" si="40"/>
        <v>0.21221109478305275</v>
      </c>
      <c r="Y14" s="44">
        <f t="shared" si="40"/>
        <v>0.21090337929655159</v>
      </c>
      <c r="Z14" s="44">
        <f t="shared" si="40"/>
        <v>0.20957267159416434</v>
      </c>
    </row>
    <row r="15" spans="1:16376" ht="12" customHeight="1">
      <c r="E15" s="62" t="s">
        <v>32</v>
      </c>
      <c r="F15" s="63" t="s">
        <v>825</v>
      </c>
      <c r="G15" s="64">
        <f>CFS!G12</f>
        <v>585.79700000000003</v>
      </c>
      <c r="H15" s="64">
        <f>CFS!H12</f>
        <v>801.01700000000005</v>
      </c>
      <c r="I15" s="64">
        <f>CFS!I12</f>
        <v>296.95100000000002</v>
      </c>
      <c r="J15" s="64">
        <f>CFS!J12</f>
        <v>249.93</v>
      </c>
      <c r="K15" s="64">
        <f>CFS!K12</f>
        <v>780.22</v>
      </c>
      <c r="L15" s="64">
        <f>CFS!L12</f>
        <v>980.20600000000002</v>
      </c>
      <c r="M15" s="64">
        <f>CFS!M12</f>
        <v>515.43100000000004</v>
      </c>
      <c r="N15" s="64">
        <f>CFS!N12</f>
        <v>461.08199999999999</v>
      </c>
      <c r="O15" s="64">
        <f>CFS!O12</f>
        <v>994.36900000000003</v>
      </c>
      <c r="P15" s="64">
        <f>CFS!P12</f>
        <v>987.34900000000005</v>
      </c>
      <c r="Q15" s="64">
        <f>CFS!Q12</f>
        <v>605.80242258896487</v>
      </c>
      <c r="R15" s="64">
        <f>CFS!R12</f>
        <v>778.40912895122199</v>
      </c>
      <c r="S15" s="64">
        <f>CFS!S12</f>
        <v>939.82854873683266</v>
      </c>
      <c r="T15" s="64">
        <f>CFS!T12</f>
        <v>939.28992500693164</v>
      </c>
      <c r="U15" s="64">
        <f>CFS!U12</f>
        <v>914.82329921694475</v>
      </c>
      <c r="V15" s="64">
        <f>CFS!V12</f>
        <v>904.09588260539431</v>
      </c>
      <c r="W15" s="64">
        <f>CFS!W12</f>
        <v>900.23726711956601</v>
      </c>
      <c r="X15" s="64">
        <f>CFS!X12</f>
        <v>890.37810834921197</v>
      </c>
      <c r="Y15" s="64">
        <f>CFS!Y12</f>
        <v>886.73489307095826</v>
      </c>
      <c r="Z15" s="64">
        <f>CFS!Z12</f>
        <v>883.1818056860252</v>
      </c>
    </row>
    <row r="16" spans="1:16376" ht="12" customHeight="1">
      <c r="E16" s="65" t="s">
        <v>826</v>
      </c>
      <c r="F16" s="66" t="s">
        <v>825</v>
      </c>
      <c r="G16" s="67">
        <f>CFS!G15</f>
        <v>-269.36700000000002</v>
      </c>
      <c r="H16" s="67">
        <f>CFS!H15</f>
        <v>-84.168000000000006</v>
      </c>
      <c r="I16" s="67">
        <f>CFS!I15</f>
        <v>-96.909000000000006</v>
      </c>
      <c r="J16" s="67">
        <f>CFS!J15</f>
        <v>-99.881</v>
      </c>
      <c r="K16" s="67">
        <f>CFS!K15</f>
        <v>-103.17</v>
      </c>
      <c r="L16" s="67">
        <f>CFS!L15</f>
        <v>-244.476</v>
      </c>
      <c r="M16" s="67">
        <f>CFS!M15</f>
        <v>-208.46700000000001</v>
      </c>
      <c r="N16" s="67">
        <f>CFS!N15</f>
        <v>-128.786</v>
      </c>
      <c r="O16" s="67">
        <f>CFS!O15</f>
        <v>-103.485</v>
      </c>
      <c r="P16" s="67">
        <f>CFS!P15</f>
        <v>-145.70099999999999</v>
      </c>
      <c r="Q16" s="67">
        <f>CFS!Q15</f>
        <v>-150.340623136441</v>
      </c>
      <c r="R16" s="67">
        <f>CFS!R15</f>
        <v>-180.83021817344971</v>
      </c>
      <c r="S16" s="67">
        <f>CFS!S15</f>
        <v>-184.55384238179408</v>
      </c>
      <c r="T16" s="67">
        <f>CFS!T15</f>
        <v>-188.35414280822317</v>
      </c>
      <c r="U16" s="67">
        <f>CFS!U15</f>
        <v>-192.12122566438765</v>
      </c>
      <c r="V16" s="67">
        <f>CFS!V15</f>
        <v>-195.96365017767542</v>
      </c>
      <c r="W16" s="67">
        <f>CFS!W15</f>
        <v>-199.88292318122893</v>
      </c>
      <c r="X16" s="67">
        <f>CFS!X15</f>
        <v>-203.88058164485349</v>
      </c>
      <c r="Y16" s="67">
        <f>CFS!Y15</f>
        <v>-207.95819327775058</v>
      </c>
      <c r="Z16" s="67">
        <f>CFS!Z15</f>
        <v>-212.11735714330558</v>
      </c>
    </row>
    <row r="17" spans="5:26" ht="12" customHeight="1">
      <c r="E17" s="65" t="s">
        <v>827</v>
      </c>
      <c r="F17" s="66" t="s">
        <v>825</v>
      </c>
      <c r="G17" s="67">
        <f>CFS!G16</f>
        <v>-309.46899999999999</v>
      </c>
      <c r="H17" s="67">
        <f>CFS!H16</f>
        <v>-573.84400000000005</v>
      </c>
      <c r="I17" s="67">
        <f>CFS!I16</f>
        <v>-328.11200000000002</v>
      </c>
      <c r="J17" s="67">
        <f>CFS!J16</f>
        <v>0</v>
      </c>
      <c r="K17" s="67">
        <f>CFS!K16</f>
        <v>0</v>
      </c>
      <c r="L17" s="67">
        <f>CFS!L16</f>
        <v>0</v>
      </c>
      <c r="M17" s="67">
        <f>CFS!M16</f>
        <v>-115.393</v>
      </c>
      <c r="N17" s="67">
        <f>CFS!N16</f>
        <v>-213.03</v>
      </c>
      <c r="O17" s="67">
        <f>CFS!O16</f>
        <v>-141.952</v>
      </c>
      <c r="P17" s="67">
        <f>CFS!P16</f>
        <v>-431.68</v>
      </c>
      <c r="Q17" s="67">
        <f>CFS!Q16</f>
        <v>-440</v>
      </c>
      <c r="R17" s="67">
        <f>CFS!R16</f>
        <v>0</v>
      </c>
      <c r="S17" s="67">
        <f>CFS!S16</f>
        <v>0</v>
      </c>
      <c r="T17" s="67">
        <f>CFS!T16</f>
        <v>0</v>
      </c>
      <c r="U17" s="67">
        <f>CFS!U16</f>
        <v>0</v>
      </c>
      <c r="V17" s="67">
        <f>CFS!V16</f>
        <v>0</v>
      </c>
      <c r="W17" s="67">
        <f>CFS!W16</f>
        <v>0</v>
      </c>
      <c r="X17" s="67">
        <f>CFS!X16</f>
        <v>0</v>
      </c>
      <c r="Y17" s="67">
        <f>CFS!Y16</f>
        <v>0</v>
      </c>
      <c r="Z17" s="67">
        <f>CFS!Z16</f>
        <v>0</v>
      </c>
    </row>
    <row r="18" spans="5:26" ht="12" customHeight="1">
      <c r="E18" s="62" t="s">
        <v>25</v>
      </c>
      <c r="F18" s="63" t="s">
        <v>825</v>
      </c>
      <c r="G18" s="68">
        <f>CFS!G18</f>
        <v>-526.42899999999997</v>
      </c>
      <c r="H18" s="68">
        <f>CFS!H18</f>
        <v>-681.02200000000005</v>
      </c>
      <c r="I18" s="68">
        <f>CFS!I18</f>
        <v>-426.255</v>
      </c>
      <c r="J18" s="68">
        <f>CFS!J18</f>
        <v>-88.209000000000003</v>
      </c>
      <c r="K18" s="68">
        <f>CFS!K18</f>
        <v>-105.517</v>
      </c>
      <c r="L18" s="68">
        <f>CFS!L18</f>
        <v>-306.351</v>
      </c>
      <c r="M18" s="68">
        <f>CFS!M18</f>
        <v>-250.69200000000001</v>
      </c>
      <c r="N18" s="68">
        <f>CFS!N18</f>
        <v>-278.06299999999999</v>
      </c>
      <c r="O18" s="68">
        <f>CFS!O18</f>
        <v>-253.048</v>
      </c>
      <c r="P18" s="68">
        <f>CFS!P18</f>
        <v>-553.13699999999994</v>
      </c>
      <c r="Q18" s="68">
        <f>CFS!Q18</f>
        <v>-590.34062313644097</v>
      </c>
      <c r="R18" s="68">
        <f>CFS!R18</f>
        <v>-180.83021817344971</v>
      </c>
      <c r="S18" s="68">
        <f>CFS!S18</f>
        <v>-184.55384238179408</v>
      </c>
      <c r="T18" s="68">
        <f>CFS!T18</f>
        <v>-188.35414280822317</v>
      </c>
      <c r="U18" s="68">
        <f>CFS!U18</f>
        <v>-192.12122566438765</v>
      </c>
      <c r="V18" s="68">
        <f>CFS!V18</f>
        <v>-195.96365017767542</v>
      </c>
      <c r="W18" s="68">
        <f>CFS!W18</f>
        <v>-199.88292318122893</v>
      </c>
      <c r="X18" s="68">
        <f>CFS!X18</f>
        <v>-203.88058164485349</v>
      </c>
      <c r="Y18" s="68">
        <f>CFS!Y18</f>
        <v>-207.95819327775058</v>
      </c>
      <c r="Z18" s="68">
        <f>CFS!Z18</f>
        <v>-212.11735714330558</v>
      </c>
    </row>
    <row r="19" spans="5:26" ht="12" customHeight="1">
      <c r="E19" s="65" t="s">
        <v>837</v>
      </c>
      <c r="F19" s="66" t="s">
        <v>825</v>
      </c>
      <c r="G19" s="67">
        <f>CFS!G21</f>
        <v>-39.491</v>
      </c>
      <c r="H19" s="67">
        <f>CFS!H21</f>
        <v>-41.503999999999998</v>
      </c>
      <c r="I19" s="67">
        <f>CFS!I21</f>
        <v>-193.99600000000001</v>
      </c>
      <c r="J19" s="67">
        <f>CFS!J21</f>
        <v>-48.417000000000002</v>
      </c>
      <c r="K19" s="67">
        <f>CFS!K21</f>
        <v>-56.997</v>
      </c>
      <c r="L19" s="67">
        <f>CFS!L21</f>
        <v>-213.62200000000001</v>
      </c>
      <c r="M19" s="67">
        <f>CFS!M21</f>
        <v>-101.812</v>
      </c>
      <c r="N19" s="67">
        <f>CFS!N21</f>
        <v>-106.834</v>
      </c>
      <c r="O19" s="67">
        <f>CFS!O21</f>
        <v>-163.435</v>
      </c>
      <c r="P19" s="67">
        <f>CFS!P21</f>
        <v>-115.014</v>
      </c>
      <c r="Q19" s="67">
        <f>CFS!Q21</f>
        <v>-107.82899999999999</v>
      </c>
      <c r="R19" s="67">
        <f>CFS!R21</f>
        <v>-395.53800000000001</v>
      </c>
      <c r="S19" s="67">
        <f>CFS!S21</f>
        <v>-85.927999999999997</v>
      </c>
      <c r="T19" s="67">
        <f>CFS!T21</f>
        <v>-74.988</v>
      </c>
      <c r="U19" s="67">
        <f>CFS!U21</f>
        <v>-763.13300000000004</v>
      </c>
      <c r="V19" s="67">
        <f>CFS!V21</f>
        <v>-69.483999999999995</v>
      </c>
      <c r="W19" s="67">
        <f>CFS!W21</f>
        <v>-764.76700000000005</v>
      </c>
      <c r="X19" s="67">
        <f>CFS!X21</f>
        <v>-69.483999999999995</v>
      </c>
      <c r="Y19" s="67">
        <f>CFS!Y21</f>
        <v>-131.46199999999999</v>
      </c>
      <c r="Z19" s="67">
        <f>CFS!Z21</f>
        <v>-69.483999999999995</v>
      </c>
    </row>
    <row r="20" spans="5:26" ht="12" customHeight="1">
      <c r="E20" s="65" t="s">
        <v>871</v>
      </c>
      <c r="F20" s="66" t="s">
        <v>825</v>
      </c>
      <c r="G20" s="67">
        <f>CFS!G22</f>
        <v>-55.445999999999998</v>
      </c>
      <c r="H20" s="67">
        <f>CFS!H22</f>
        <v>-52.994999999999997</v>
      </c>
      <c r="I20" s="67">
        <f>CFS!I22</f>
        <v>-82.275000000000006</v>
      </c>
      <c r="J20" s="67">
        <f>CFS!J22</f>
        <v>-82.965000000000003</v>
      </c>
      <c r="K20" s="67">
        <f>CFS!K22</f>
        <v>-86.040999999999997</v>
      </c>
      <c r="L20" s="67">
        <f>CFS!L22</f>
        <v>-90.007999999999996</v>
      </c>
      <c r="M20" s="67">
        <f>CFS!M22</f>
        <v>-115.283</v>
      </c>
      <c r="N20" s="67">
        <f>CFS!N22</f>
        <v>-165.45</v>
      </c>
      <c r="O20" s="67">
        <f>CFS!O22</f>
        <v>-165.059</v>
      </c>
      <c r="P20" s="67">
        <f>CFS!P22</f>
        <v>-161.816</v>
      </c>
      <c r="Q20" s="67">
        <f>CFS!Q22</f>
        <v>-159.47333135</v>
      </c>
      <c r="R20" s="67">
        <f>CFS!R22</f>
        <v>-153.21145217191781</v>
      </c>
      <c r="S20" s="67">
        <f>CFS!S22</f>
        <v>-136.34080134999999</v>
      </c>
      <c r="T20" s="67">
        <f>CFS!T22</f>
        <v>-131.39380134999999</v>
      </c>
      <c r="U20" s="67">
        <f>CFS!U22</f>
        <v>-118.83691949383561</v>
      </c>
      <c r="V20" s="67">
        <f>CFS!V22</f>
        <v>-90.884290100000001</v>
      </c>
      <c r="W20" s="67">
        <f>CFS!W22</f>
        <v>-89.184180298630125</v>
      </c>
      <c r="X20" s="67">
        <f>CFS!X22</f>
        <v>-54.381932599999999</v>
      </c>
      <c r="Y20" s="67">
        <f>CFS!Y22</f>
        <v>-52.629058917808223</v>
      </c>
      <c r="Z20" s="67">
        <f>CFS!Z22</f>
        <v>-50.923560199999997</v>
      </c>
    </row>
    <row r="21" spans="5:26" ht="12" customHeight="1">
      <c r="E21" s="65" t="s">
        <v>838</v>
      </c>
      <c r="F21" s="66" t="s">
        <v>825</v>
      </c>
      <c r="G21" s="67">
        <f>CFS!G23</f>
        <v>-74.936999999999998</v>
      </c>
      <c r="H21" s="67">
        <f>CFS!H23</f>
        <v>-89.912999999999997</v>
      </c>
      <c r="I21" s="67">
        <f>CFS!I23</f>
        <v>-97.221000000000004</v>
      </c>
      <c r="J21" s="67">
        <f>CFS!J23</f>
        <v>-98.796999999999997</v>
      </c>
      <c r="K21" s="67">
        <f>CFS!K23</f>
        <v>-101.497</v>
      </c>
      <c r="L21" s="67">
        <f>CFS!L23</f>
        <v>-105.676</v>
      </c>
      <c r="M21" s="67">
        <f>CFS!M23</f>
        <v>-107.876</v>
      </c>
      <c r="N21" s="67">
        <f>CFS!N23</f>
        <v>-36.003999999999998</v>
      </c>
      <c r="O21" s="67">
        <f>CFS!O23</f>
        <v>-24.634</v>
      </c>
      <c r="P21" s="67">
        <f>CFS!P23</f>
        <v>-43.954999999999998</v>
      </c>
      <c r="Q21" s="67">
        <f>CFS!Q23</f>
        <v>-16.683477214909104</v>
      </c>
      <c r="R21" s="67">
        <f>CFS!R23</f>
        <v>-85.078527828074499</v>
      </c>
      <c r="S21" s="67">
        <f>CFS!S23</f>
        <v>-119.35223565298105</v>
      </c>
      <c r="T21" s="67">
        <f>CFS!T23</f>
        <v>-111.84763100980723</v>
      </c>
      <c r="U21" s="67">
        <f>CFS!U23</f>
        <v>-115.39267789929498</v>
      </c>
      <c r="V21" s="67">
        <f>CFS!V23</f>
        <v>-123.17879816585102</v>
      </c>
      <c r="W21" s="67">
        <f>CFS!W23</f>
        <v>-125.31358989751166</v>
      </c>
      <c r="X21" s="67">
        <f>CFS!X23</f>
        <v>-133.90797566350736</v>
      </c>
      <c r="Y21" s="67">
        <f>CFS!Y23</f>
        <v>-135.50372294176364</v>
      </c>
      <c r="Z21" s="67">
        <f>CFS!Z23</f>
        <v>-136.84316646320764</v>
      </c>
    </row>
    <row r="22" spans="5:26" ht="12" customHeight="1">
      <c r="E22" s="62" t="s">
        <v>33</v>
      </c>
      <c r="F22" s="63" t="s">
        <v>825</v>
      </c>
      <c r="G22" s="68">
        <f>CFS!G28</f>
        <v>-54.017000000000003</v>
      </c>
      <c r="H22" s="68">
        <f>CFS!H28</f>
        <v>98.869</v>
      </c>
      <c r="I22" s="68">
        <f>CFS!I28</f>
        <v>-567.36199999999997</v>
      </c>
      <c r="J22" s="68">
        <f>CFS!J28</f>
        <v>-192.76499999999999</v>
      </c>
      <c r="K22" s="68">
        <f>CFS!K28</f>
        <v>-523.11400000000003</v>
      </c>
      <c r="L22" s="68">
        <f>CFS!L28</f>
        <v>-793.25699999999995</v>
      </c>
      <c r="M22" s="68">
        <f>CFS!M28</f>
        <v>-104.053</v>
      </c>
      <c r="N22" s="68">
        <f>CFS!N28</f>
        <v>234.059</v>
      </c>
      <c r="O22" s="68">
        <f>CFS!O28</f>
        <v>-643.09299999999996</v>
      </c>
      <c r="P22" s="68">
        <f>CFS!P28</f>
        <v>-508.53399999999999</v>
      </c>
      <c r="Q22" s="68">
        <f>CFS!Q28</f>
        <v>-283.98580856490906</v>
      </c>
      <c r="R22" s="68">
        <f>CFS!R28</f>
        <v>-633.82797999999229</v>
      </c>
      <c r="S22" s="68">
        <f>CFS!S28</f>
        <v>-341.62103700298104</v>
      </c>
      <c r="T22" s="68">
        <f>CFS!T28</f>
        <v>-318.22943235980722</v>
      </c>
      <c r="U22" s="68">
        <f>CFS!U28</f>
        <v>-997.36259739313061</v>
      </c>
      <c r="V22" s="68">
        <f>CFS!V28</f>
        <v>-283.54708826585102</v>
      </c>
      <c r="W22" s="68">
        <f>CFS!W28</f>
        <v>-979.26477019614185</v>
      </c>
      <c r="X22" s="68">
        <f>CFS!X28</f>
        <v>-257.77390826350734</v>
      </c>
      <c r="Y22" s="68">
        <f>CFS!Y28</f>
        <v>-319.59478185957187</v>
      </c>
      <c r="Z22" s="68">
        <f>CFS!Z28</f>
        <v>-257.25072666320762</v>
      </c>
    </row>
    <row r="23" spans="5:26" ht="12" customHeight="1">
      <c r="E23" s="71" t="s">
        <v>26</v>
      </c>
      <c r="F23" s="72" t="s">
        <v>825</v>
      </c>
      <c r="G23" s="73">
        <f>CFS!G32</f>
        <v>732.73599999999999</v>
      </c>
      <c r="H23" s="73">
        <f>CFS!H32</f>
        <v>951.6</v>
      </c>
      <c r="I23" s="73">
        <f>CFS!I32</f>
        <v>254.934</v>
      </c>
      <c r="J23" s="73">
        <f>CFS!J32</f>
        <v>223.89</v>
      </c>
      <c r="K23" s="73">
        <f>CFS!K32</f>
        <v>375.47899999999998</v>
      </c>
      <c r="L23" s="73">
        <f>CFS!L32</f>
        <v>256.077</v>
      </c>
      <c r="M23" s="73">
        <f>CFS!M32</f>
        <v>416.76299999999998</v>
      </c>
      <c r="N23" s="73">
        <f>CFS!N32</f>
        <v>833.84100000000001</v>
      </c>
      <c r="O23" s="73">
        <f>CFS!O32</f>
        <v>932.06899999999996</v>
      </c>
      <c r="P23" s="73">
        <f>CFS!P32</f>
        <v>857.74699999999996</v>
      </c>
      <c r="Q23" s="73">
        <f>CFS!Q32</f>
        <v>589.22299088761474</v>
      </c>
      <c r="R23" s="73">
        <f>CFS!R32</f>
        <v>552.97392166539476</v>
      </c>
      <c r="S23" s="73">
        <f>CFS!S32</f>
        <v>966.62759101745223</v>
      </c>
      <c r="T23" s="73">
        <f>CFS!T32</f>
        <v>1399.3339408563534</v>
      </c>
      <c r="U23" s="73">
        <f>CFS!U32</f>
        <v>1124.6734170157797</v>
      </c>
      <c r="V23" s="73">
        <f>CFS!V32</f>
        <v>1549.2585611776476</v>
      </c>
      <c r="W23" s="73">
        <f>CFS!W32</f>
        <v>1270.3481349198428</v>
      </c>
      <c r="X23" s="73">
        <f>CFS!X32</f>
        <v>1699.0717533606939</v>
      </c>
      <c r="Y23" s="73">
        <f>CFS!Y32</f>
        <v>2058.2536712943297</v>
      </c>
      <c r="Z23" s="73">
        <f>CFS!Z32</f>
        <v>2472.067393173842</v>
      </c>
    </row>
    <row r="24" spans="5:26" ht="12" customHeight="1">
      <c r="E24" s="56" t="s">
        <v>34</v>
      </c>
      <c r="F24" s="57"/>
      <c r="G24" s="60"/>
      <c r="H24" s="61"/>
      <c r="I24" s="61"/>
      <c r="J24" s="61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5:26" s="51" customFormat="1" ht="12" customHeight="1">
      <c r="E25" s="74" t="s">
        <v>27</v>
      </c>
      <c r="F25" s="69" t="s">
        <v>825</v>
      </c>
      <c r="G25" s="70">
        <f t="shared" ref="G25:Z25" si="41">SUM(G26:G27)</f>
        <v>1168.3059999999998</v>
      </c>
      <c r="H25" s="70">
        <f t="shared" si="41"/>
        <v>1722.038</v>
      </c>
      <c r="I25" s="70">
        <f t="shared" si="41"/>
        <v>1535.89</v>
      </c>
      <c r="J25" s="70">
        <f t="shared" si="41"/>
        <v>1556.2060000000001</v>
      </c>
      <c r="K25" s="70">
        <f t="shared" si="41"/>
        <v>1502.271</v>
      </c>
      <c r="L25" s="70">
        <f t="shared" si="41"/>
        <v>1458.2860000000001</v>
      </c>
      <c r="M25" s="70">
        <f t="shared" si="41"/>
        <v>2487.3580000000002</v>
      </c>
      <c r="N25" s="70">
        <f t="shared" si="41"/>
        <v>3085.6060000000002</v>
      </c>
      <c r="O25" s="70">
        <f t="shared" si="41"/>
        <v>2875.2930000000001</v>
      </c>
      <c r="P25" s="70">
        <f t="shared" si="41"/>
        <v>3021.6759999999999</v>
      </c>
      <c r="Q25" s="70">
        <f t="shared" si="41"/>
        <v>2913.8469999999998</v>
      </c>
      <c r="R25" s="70">
        <f t="shared" si="41"/>
        <v>2518.3090000000002</v>
      </c>
      <c r="S25" s="70">
        <f t="shared" si="41"/>
        <v>2432.3809999999999</v>
      </c>
      <c r="T25" s="70">
        <f t="shared" si="41"/>
        <v>2357.393</v>
      </c>
      <c r="U25" s="70">
        <f t="shared" si="41"/>
        <v>1594.2600000000002</v>
      </c>
      <c r="V25" s="70">
        <f t="shared" si="41"/>
        <v>1524.7760000000001</v>
      </c>
      <c r="W25" s="70">
        <f t="shared" si="41"/>
        <v>760.00900000000013</v>
      </c>
      <c r="X25" s="70">
        <f t="shared" si="41"/>
        <v>690.52500000000009</v>
      </c>
      <c r="Y25" s="70">
        <f t="shared" si="41"/>
        <v>559.0630000000001</v>
      </c>
      <c r="Z25" s="70">
        <f t="shared" si="41"/>
        <v>489.57900000000018</v>
      </c>
    </row>
    <row r="26" spans="5:26" ht="12" customHeight="1">
      <c r="E26" s="39" t="s">
        <v>27</v>
      </c>
      <c r="F26" s="41" t="s">
        <v>825</v>
      </c>
      <c r="G26" s="67">
        <f>BS!G28+BS!G33</f>
        <v>1168.3059999999998</v>
      </c>
      <c r="H26" s="67">
        <f>BS!H28+BS!H33</f>
        <v>1722.038</v>
      </c>
      <c r="I26" s="67">
        <f>BS!I28+BS!I33</f>
        <v>1535.89</v>
      </c>
      <c r="J26" s="67">
        <f>BS!J28+BS!J33</f>
        <v>1556.2060000000001</v>
      </c>
      <c r="K26" s="67">
        <f>BS!K28+BS!K33</f>
        <v>1502.271</v>
      </c>
      <c r="L26" s="67">
        <f>BS!L28+BS!L33</f>
        <v>1458.2860000000001</v>
      </c>
      <c r="M26" s="67">
        <f>BS!M28+BS!M33</f>
        <v>1768.8530000000001</v>
      </c>
      <c r="N26" s="67">
        <f>BS!N28+BS!N33</f>
        <v>2363.3720000000003</v>
      </c>
      <c r="O26" s="67">
        <f>BS!O28+BS!O33</f>
        <v>2158.192</v>
      </c>
      <c r="P26" s="67">
        <f>BS!P28+BS!P33</f>
        <v>2151.5129999999999</v>
      </c>
      <c r="Q26" s="67">
        <f>BS!Q28+BS!Q33</f>
        <v>2151.5129999999999</v>
      </c>
      <c r="R26" s="67">
        <f>BS!R28+BS!R33</f>
        <v>1852.6769999999999</v>
      </c>
      <c r="S26" s="67">
        <f>BS!S28+BS!S33</f>
        <v>1852.6769999999999</v>
      </c>
      <c r="T26" s="67">
        <f>BS!T28+BS!T33</f>
        <v>1852.6769999999999</v>
      </c>
      <c r="U26" s="67">
        <f>BS!U28+BS!U33</f>
        <v>1159.028</v>
      </c>
      <c r="V26" s="67">
        <f>BS!V28+BS!V33</f>
        <v>1159.028</v>
      </c>
      <c r="W26" s="67">
        <f>BS!W28+BS!W33</f>
        <v>463.745</v>
      </c>
      <c r="X26" s="67">
        <f>BS!X28+BS!X33</f>
        <v>463.745</v>
      </c>
      <c r="Y26" s="67">
        <f>BS!Y28+BS!Y33</f>
        <v>401.767</v>
      </c>
      <c r="Z26" s="67">
        <f>BS!Z28+BS!Z33</f>
        <v>401.767</v>
      </c>
    </row>
    <row r="27" spans="5:26" ht="12" customHeight="1">
      <c r="E27" s="39" t="s">
        <v>844</v>
      </c>
      <c r="F27" s="41" t="s">
        <v>825</v>
      </c>
      <c r="G27" s="67">
        <f>BS!G29+BS!G34</f>
        <v>0</v>
      </c>
      <c r="H27" s="67">
        <f>BS!H29+BS!H34</f>
        <v>0</v>
      </c>
      <c r="I27" s="67">
        <f>BS!I29+BS!I34</f>
        <v>0</v>
      </c>
      <c r="J27" s="67">
        <f>BS!J29+BS!J34</f>
        <v>0</v>
      </c>
      <c r="K27" s="67">
        <f>BS!K29+BS!K34</f>
        <v>0</v>
      </c>
      <c r="L27" s="67">
        <f>BS!L29+BS!L34</f>
        <v>0</v>
      </c>
      <c r="M27" s="67">
        <f>BS!M29+BS!M34</f>
        <v>718.50499999999988</v>
      </c>
      <c r="N27" s="67">
        <f>BS!N29+BS!N34</f>
        <v>722.23399999999992</v>
      </c>
      <c r="O27" s="67">
        <f>BS!O29+BS!O34</f>
        <v>717.101</v>
      </c>
      <c r="P27" s="67">
        <f>BS!P29+BS!P34</f>
        <v>870.16300000000001</v>
      </c>
      <c r="Q27" s="67">
        <f>BS!Q29+BS!Q34</f>
        <v>762.33400000000006</v>
      </c>
      <c r="R27" s="67">
        <f>BS!R29+BS!R34</f>
        <v>665.63200000000006</v>
      </c>
      <c r="S27" s="67">
        <f>BS!S29+BS!S34</f>
        <v>579.70400000000006</v>
      </c>
      <c r="T27" s="67">
        <f>BS!T29+BS!T34</f>
        <v>504.71600000000007</v>
      </c>
      <c r="U27" s="67">
        <f>BS!U29+BS!U34</f>
        <v>435.23200000000008</v>
      </c>
      <c r="V27" s="67">
        <f>BS!V29+BS!V34</f>
        <v>365.7480000000001</v>
      </c>
      <c r="W27" s="67">
        <f>BS!W29+BS!W34</f>
        <v>296.26400000000012</v>
      </c>
      <c r="X27" s="67">
        <f>BS!X29+BS!X34</f>
        <v>226.78000000000014</v>
      </c>
      <c r="Y27" s="67">
        <f>BS!Y29+BS!Y34</f>
        <v>157.29600000000016</v>
      </c>
      <c r="Z27" s="67">
        <f>BS!Z29+BS!Z34</f>
        <v>87.812000000000168</v>
      </c>
    </row>
    <row r="28" spans="5:26" s="51" customFormat="1" ht="12" customHeight="1">
      <c r="E28" s="75" t="s">
        <v>28</v>
      </c>
      <c r="F28" s="76" t="s">
        <v>825</v>
      </c>
      <c r="G28" s="77">
        <f>G25-G23</f>
        <v>435.56999999999982</v>
      </c>
      <c r="H28" s="77">
        <f t="shared" ref="H28:V28" si="42">H25-H23</f>
        <v>770.43799999999999</v>
      </c>
      <c r="I28" s="77">
        <f t="shared" si="42"/>
        <v>1280.9560000000001</v>
      </c>
      <c r="J28" s="77">
        <f t="shared" si="42"/>
        <v>1332.3160000000003</v>
      </c>
      <c r="K28" s="77">
        <f t="shared" si="42"/>
        <v>1126.7919999999999</v>
      </c>
      <c r="L28" s="77">
        <f t="shared" si="42"/>
        <v>1202.2090000000001</v>
      </c>
      <c r="M28" s="77">
        <f t="shared" si="42"/>
        <v>2070.5950000000003</v>
      </c>
      <c r="N28" s="77">
        <f t="shared" si="42"/>
        <v>2251.7650000000003</v>
      </c>
      <c r="O28" s="77">
        <f t="shared" si="42"/>
        <v>1943.2240000000002</v>
      </c>
      <c r="P28" s="77">
        <f t="shared" si="42"/>
        <v>2163.9290000000001</v>
      </c>
      <c r="Q28" s="77">
        <f t="shared" si="42"/>
        <v>2324.624009112385</v>
      </c>
      <c r="R28" s="77">
        <f t="shared" si="42"/>
        <v>1965.3350783346054</v>
      </c>
      <c r="S28" s="77">
        <f t="shared" si="42"/>
        <v>1465.7534089825476</v>
      </c>
      <c r="T28" s="77">
        <f t="shared" si="42"/>
        <v>958.05905914364666</v>
      </c>
      <c r="U28" s="77">
        <f t="shared" si="42"/>
        <v>469.58658298422051</v>
      </c>
      <c r="V28" s="77">
        <f t="shared" si="42"/>
        <v>-24.48256117764754</v>
      </c>
      <c r="W28" s="77">
        <f t="shared" ref="W28:Z28" si="43">W25-W23</f>
        <v>-510.33913491984265</v>
      </c>
      <c r="X28" s="77">
        <f t="shared" si="43"/>
        <v>-1008.5467533606939</v>
      </c>
      <c r="Y28" s="77">
        <f t="shared" si="43"/>
        <v>-1499.1906712943296</v>
      </c>
      <c r="Z28" s="77">
        <f t="shared" si="43"/>
        <v>-1982.4883931738418</v>
      </c>
    </row>
    <row r="29" spans="5:26" s="52" customFormat="1" ht="12" customHeight="1">
      <c r="E29" s="78" t="s">
        <v>29</v>
      </c>
      <c r="F29" s="41" t="s">
        <v>1</v>
      </c>
      <c r="G29" s="79">
        <f>IFERROR(G25/G13,"-")</f>
        <v>1.7153705454518353</v>
      </c>
      <c r="H29" s="79">
        <f t="shared" ref="H29:U29" si="44">IFERROR(H25/H13,"-")</f>
        <v>2.1346419551769218</v>
      </c>
      <c r="I29" s="79">
        <f t="shared" si="44"/>
        <v>3.6608439990521267</v>
      </c>
      <c r="J29" s="79">
        <f t="shared" si="44"/>
        <v>6.3797366635894885</v>
      </c>
      <c r="K29" s="79">
        <f t="shared" si="44"/>
        <v>1.9144816512042095</v>
      </c>
      <c r="L29" s="79">
        <f t="shared" si="44"/>
        <v>1.2714713957177251</v>
      </c>
      <c r="M29" s="79">
        <f t="shared" si="44"/>
        <v>4.6423707745981098</v>
      </c>
      <c r="N29" s="79">
        <f t="shared" si="44"/>
        <v>9.5112380147760653</v>
      </c>
      <c r="O29" s="79">
        <f t="shared" si="44"/>
        <v>2.4516658962811011</v>
      </c>
      <c r="P29" s="79">
        <f t="shared" si="44"/>
        <v>3.207637293361862</v>
      </c>
      <c r="Q29" s="79">
        <f t="shared" si="44"/>
        <v>4.858663460068402</v>
      </c>
      <c r="R29" s="79">
        <f t="shared" si="44"/>
        <v>2.6522960374333624</v>
      </c>
      <c r="S29" s="79">
        <f t="shared" si="44"/>
        <v>2.2439621765518702</v>
      </c>
      <c r="T29" s="79">
        <f t="shared" si="44"/>
        <v>2.2956087489394297</v>
      </c>
      <c r="U29" s="79">
        <f t="shared" si="44"/>
        <v>1.565797053001462</v>
      </c>
      <c r="V29" s="79">
        <f t="shared" ref="V29:Z29" si="45">IFERROR(V25/V13,"-")</f>
        <v>1.5002044661944336</v>
      </c>
      <c r="W29" s="79">
        <f t="shared" si="45"/>
        <v>0.74918877023371944</v>
      </c>
      <c r="X29" s="79">
        <f t="shared" si="45"/>
        <v>0.68206614973833102</v>
      </c>
      <c r="Y29" s="79">
        <f t="shared" si="45"/>
        <v>0.55342487438394872</v>
      </c>
      <c r="Z29" s="79">
        <f t="shared" si="45"/>
        <v>0.48577580635513329</v>
      </c>
    </row>
    <row r="30" spans="5:26" ht="12" customHeight="1">
      <c r="E30" s="78" t="s">
        <v>35</v>
      </c>
      <c r="F30" s="41" t="s">
        <v>1</v>
      </c>
      <c r="G30" s="79">
        <f>IFERROR(G28/G13,"-")</f>
        <v>0.63952761389777657</v>
      </c>
      <c r="H30" s="79">
        <f t="shared" ref="H30:U30" si="46">IFERROR(H28/H13,"-")</f>
        <v>0.95503657797481667</v>
      </c>
      <c r="I30" s="79">
        <f t="shared" si="46"/>
        <v>3.0532004802751604</v>
      </c>
      <c r="J30" s="79">
        <f t="shared" si="46"/>
        <v>5.4618895137834542</v>
      </c>
      <c r="K30" s="79">
        <f t="shared" si="46"/>
        <v>1.4359743406640304</v>
      </c>
      <c r="L30" s="79">
        <f t="shared" si="46"/>
        <v>1.0481992936738134</v>
      </c>
      <c r="M30" s="79">
        <f t="shared" si="46"/>
        <v>3.864530041123543</v>
      </c>
      <c r="N30" s="79">
        <f t="shared" si="46"/>
        <v>6.9409616355238581</v>
      </c>
      <c r="O30" s="79">
        <f t="shared" si="46"/>
        <v>1.6569219240039004</v>
      </c>
      <c r="P30" s="79">
        <f t="shared" si="46"/>
        <v>2.2971024559175901</v>
      </c>
      <c r="Q30" s="79">
        <f t="shared" si="46"/>
        <v>3.8761697959680323</v>
      </c>
      <c r="R30" s="79">
        <f t="shared" si="46"/>
        <v>2.0699010488767109</v>
      </c>
      <c r="S30" s="79">
        <f t="shared" si="46"/>
        <v>1.3522121780711169</v>
      </c>
      <c r="T30" s="79">
        <f t="shared" si="46"/>
        <v>0.93294955833449644</v>
      </c>
      <c r="U30" s="79">
        <f t="shared" si="46"/>
        <v>0.46120287015023825</v>
      </c>
      <c r="V30" s="79">
        <f t="shared" ref="V30:Z30" si="47">IFERROR(V28/V13,"-")</f>
        <v>-2.4088028420296025E-2</v>
      </c>
      <c r="W30" s="79">
        <f t="shared" si="47"/>
        <v>-0.50307344898907391</v>
      </c>
      <c r="X30" s="79">
        <f t="shared" si="47"/>
        <v>-0.99619217391958659</v>
      </c>
      <c r="Y30" s="79">
        <f t="shared" si="47"/>
        <v>-1.4840713997146151</v>
      </c>
      <c r="Z30" s="79">
        <f t="shared" si="47"/>
        <v>-1.9670878403357073</v>
      </c>
    </row>
    <row r="31" spans="5:26" ht="12" customHeight="1">
      <c r="E31" s="78" t="s">
        <v>23</v>
      </c>
      <c r="F31" s="41" t="s">
        <v>1</v>
      </c>
      <c r="G31" s="79">
        <f>IFERROR((G15+G16)/-G20,"-")</f>
        <v>5.7069941925477048</v>
      </c>
      <c r="H31" s="79">
        <f t="shared" ref="H31:U31" si="48">IFERROR((H15+H16)/-H20,"-")</f>
        <v>13.526728936692143</v>
      </c>
      <c r="I31" s="79">
        <f t="shared" si="48"/>
        <v>2.4313825584928597</v>
      </c>
      <c r="J31" s="79">
        <f t="shared" si="48"/>
        <v>1.8085819321400591</v>
      </c>
      <c r="K31" s="79">
        <f t="shared" si="48"/>
        <v>7.8689229553352487</v>
      </c>
      <c r="L31" s="79">
        <f t="shared" si="48"/>
        <v>8.1740511954492945</v>
      </c>
      <c r="M31" s="79">
        <f t="shared" si="48"/>
        <v>2.662699617463113</v>
      </c>
      <c r="N31" s="79">
        <f t="shared" si="48"/>
        <v>2.0084375944394077</v>
      </c>
      <c r="O31" s="79">
        <f t="shared" si="48"/>
        <v>5.3973670021022784</v>
      </c>
      <c r="P31" s="79">
        <f t="shared" si="48"/>
        <v>5.2012656350422706</v>
      </c>
      <c r="Q31" s="79">
        <f t="shared" si="48"/>
        <v>2.8560374051063802</v>
      </c>
      <c r="R31" s="79">
        <f t="shared" si="48"/>
        <v>3.9003540682274322</v>
      </c>
      <c r="S31" s="79">
        <f t="shared" si="48"/>
        <v>5.5396088249193687</v>
      </c>
      <c r="T31" s="79">
        <f t="shared" si="48"/>
        <v>5.7151537932783043</v>
      </c>
      <c r="U31" s="79">
        <f t="shared" si="48"/>
        <v>6.0814608509777601</v>
      </c>
      <c r="V31" s="79">
        <f t="shared" ref="V31:Z31" si="49">IFERROR((V15+V16)/-V20,"-")</f>
        <v>7.7915801691201079</v>
      </c>
      <c r="W31" s="79">
        <f t="shared" si="49"/>
        <v>7.8528988167321252</v>
      </c>
      <c r="X31" s="79">
        <f t="shared" si="49"/>
        <v>12.623632406626875</v>
      </c>
      <c r="Y31" s="79">
        <f t="shared" si="49"/>
        <v>12.897374829621517</v>
      </c>
      <c r="Z31" s="79">
        <f t="shared" si="49"/>
        <v>13.177877703505885</v>
      </c>
    </row>
    <row r="32" spans="5:26" ht="12" customHeight="1">
      <c r="E32" s="78" t="s">
        <v>19</v>
      </c>
      <c r="F32" s="41" t="s">
        <v>1</v>
      </c>
      <c r="G32" s="79">
        <f>IFERROR((G15+G16)/-(G19+G20),"-")</f>
        <v>3.3330524453058343</v>
      </c>
      <c r="H32" s="79">
        <f t="shared" ref="H32:T32" si="50">IFERROR((H15+H16)/-(H19+H20),"-")</f>
        <v>7.585783976550017</v>
      </c>
      <c r="I32" s="79">
        <f t="shared" si="50"/>
        <v>0.72407889355017363</v>
      </c>
      <c r="J32" s="79">
        <f t="shared" si="50"/>
        <v>1.1420818681402323</v>
      </c>
      <c r="K32" s="79">
        <f t="shared" si="50"/>
        <v>4.7333575693172447</v>
      </c>
      <c r="L32" s="79">
        <f t="shared" si="50"/>
        <v>2.4231136580706782</v>
      </c>
      <c r="M32" s="79">
        <f t="shared" si="50"/>
        <v>1.4139616297012831</v>
      </c>
      <c r="N32" s="79">
        <f t="shared" si="50"/>
        <v>1.2204022270864245</v>
      </c>
      <c r="O32" s="79">
        <f t="shared" si="50"/>
        <v>2.7120251815862693</v>
      </c>
      <c r="P32" s="79">
        <f t="shared" si="50"/>
        <v>3.0403063251815197</v>
      </c>
      <c r="Q32" s="79">
        <f t="shared" si="50"/>
        <v>1.703920041221608</v>
      </c>
      <c r="R32" s="79">
        <f t="shared" si="50"/>
        <v>1.0889831569081123</v>
      </c>
      <c r="S32" s="79">
        <f t="shared" si="50"/>
        <v>3.3980239321385022</v>
      </c>
      <c r="T32" s="79">
        <f t="shared" si="50"/>
        <v>3.6385755783050224</v>
      </c>
      <c r="U32" s="79">
        <f>IFERROR((U15+U16)/-(U19+U20),"-")</f>
        <v>0.81941805222486197</v>
      </c>
      <c r="V32" s="79">
        <f t="shared" ref="V32:Z32" si="51">IFERROR((V15+V16)/-(V19+V20),"-")</f>
        <v>4.4156624229525221</v>
      </c>
      <c r="W32" s="79">
        <f t="shared" si="51"/>
        <v>0.82013393750848873</v>
      </c>
      <c r="X32" s="79">
        <f t="shared" si="51"/>
        <v>5.5422626084063289</v>
      </c>
      <c r="Y32" s="79">
        <f t="shared" si="51"/>
        <v>3.6871790720496835</v>
      </c>
      <c r="Z32" s="79">
        <f t="shared" si="51"/>
        <v>5.5732750288110209</v>
      </c>
    </row>
    <row r="33" spans="5:26">
      <c r="E33" s="56" t="s">
        <v>839</v>
      </c>
      <c r="F33" s="57"/>
      <c r="G33" s="60"/>
      <c r="H33" s="61"/>
      <c r="I33" s="61"/>
      <c r="J33" s="61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5:26">
      <c r="E34" s="78" t="s">
        <v>772</v>
      </c>
      <c r="F34" s="41" t="s">
        <v>3</v>
      </c>
      <c r="G34" s="237">
        <f>DCF!$F$19</f>
        <v>0.11375701111242446</v>
      </c>
      <c r="H34" s="70"/>
      <c r="I34" s="70"/>
      <c r="J34" s="70"/>
      <c r="K34" s="70"/>
      <c r="L34" s="70"/>
      <c r="M34" s="70"/>
      <c r="N34" s="70"/>
      <c r="O34" s="70"/>
      <c r="R34" s="237"/>
      <c r="S34" s="237"/>
      <c r="T34" s="237"/>
      <c r="U34" s="237"/>
      <c r="V34" s="237"/>
      <c r="W34" s="237"/>
      <c r="X34" s="237"/>
      <c r="Y34" s="237"/>
      <c r="Z34" s="237"/>
    </row>
    <row r="35" spans="5:26">
      <c r="E35" s="78" t="s">
        <v>775</v>
      </c>
      <c r="F35" s="41" t="s">
        <v>3</v>
      </c>
      <c r="G35" s="237">
        <f>DCF!$F$24</f>
        <v>0.02</v>
      </c>
      <c r="H35" s="67"/>
      <c r="I35" s="67"/>
      <c r="J35" s="67"/>
      <c r="K35" s="67"/>
      <c r="L35" s="67"/>
      <c r="M35" s="67"/>
      <c r="N35" s="67"/>
      <c r="O35" s="6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spans="5:26" hidden="1">
      <c r="E36" s="78" t="s">
        <v>840</v>
      </c>
      <c r="F36" s="41" t="s">
        <v>825</v>
      </c>
      <c r="G36" s="238">
        <f>SUM(DCF!R22:AA22)</f>
        <v>3646.6788888245255</v>
      </c>
      <c r="H36" s="79"/>
      <c r="I36" s="79"/>
      <c r="J36" s="79"/>
      <c r="K36" s="79"/>
      <c r="L36" s="79"/>
      <c r="M36" s="79"/>
      <c r="N36" s="79"/>
      <c r="O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5:26" hidden="1">
      <c r="E37" s="78" t="s">
        <v>48</v>
      </c>
      <c r="F37" s="41" t="s">
        <v>825</v>
      </c>
      <c r="G37" s="238">
        <f>DCF!AA25</f>
        <v>2729.477399042843</v>
      </c>
    </row>
    <row r="38" spans="5:26" s="51" customFormat="1">
      <c r="E38" s="74" t="s">
        <v>776</v>
      </c>
      <c r="F38" s="69" t="s">
        <v>825</v>
      </c>
      <c r="G38" s="239">
        <f>G36+G37</f>
        <v>6376.1562878673685</v>
      </c>
    </row>
    <row r="39" spans="5:26">
      <c r="E39" s="78" t="s">
        <v>841</v>
      </c>
      <c r="F39" s="41" t="s">
        <v>1</v>
      </c>
      <c r="G39" s="79">
        <f>G38/P13</f>
        <v>6.7685604602436209</v>
      </c>
    </row>
    <row r="40" spans="5:26">
      <c r="E40" s="74" t="s">
        <v>743</v>
      </c>
      <c r="F40" s="69" t="s">
        <v>825</v>
      </c>
      <c r="G40" s="239">
        <f>DCF!R31</f>
        <v>4161.2882878673681</v>
      </c>
    </row>
    <row r="41" spans="5:26">
      <c r="E41" s="283" t="s">
        <v>847</v>
      </c>
      <c r="F41" s="284" t="s">
        <v>779</v>
      </c>
      <c r="G41" s="285">
        <f>DCF!R34</f>
        <v>58.055724833580484</v>
      </c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</row>
    <row r="42" spans="5:26" hidden="1">
      <c r="E42" s="240" t="s">
        <v>842</v>
      </c>
      <c r="F42" s="241" t="s">
        <v>3</v>
      </c>
      <c r="G42" s="243">
        <f>G41/41.66-1</f>
        <v>0.39356036566443797</v>
      </c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242"/>
    </row>
    <row r="47" spans="5:26">
      <c r="Q47" s="280">
        <v>1978</v>
      </c>
    </row>
    <row r="48" spans="5:26">
      <c r="Q48" s="280">
        <v>369</v>
      </c>
    </row>
    <row r="49" spans="17:17">
      <c r="Q49" s="281">
        <f>Q48/Q47</f>
        <v>0.1865520728008089</v>
      </c>
    </row>
  </sheetData>
  <conditionalFormatting sqref="G4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scale="4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63D"/>
    <pageSetUpPr fitToPage="1"/>
  </sheetPr>
  <dimension ref="A2:AP59"/>
  <sheetViews>
    <sheetView showGridLines="0" zoomScale="70" zoomScaleNormal="70" workbookViewId="0">
      <pane xSplit="6" ySplit="4" topLeftCell="G5" activePane="bottomRight" state="frozen"/>
      <selection activeCell="Q7" sqref="Q7"/>
      <selection pane="topRight" activeCell="Q7" sqref="Q7"/>
      <selection pane="bottomLeft" activeCell="Q7" sqref="Q7"/>
      <selection pane="bottomRight" activeCell="O26" sqref="O26"/>
    </sheetView>
  </sheetViews>
  <sheetFormatPr baseColWidth="10" defaultColWidth="0" defaultRowHeight="16" outlineLevelRow="1"/>
  <cols>
    <col min="1" max="3" width="3.1640625" style="3" customWidth="1"/>
    <col min="4" max="4" width="61.6640625" style="3" customWidth="1"/>
    <col min="5" max="5" width="10.6640625" style="4" customWidth="1"/>
    <col min="6" max="6" width="9.1640625" style="4" customWidth="1"/>
    <col min="7" max="26" width="9.1640625" style="3" customWidth="1"/>
    <col min="27" max="27" width="3.6640625" style="3" customWidth="1"/>
    <col min="28" max="42" width="0" style="3" hidden="1" customWidth="1"/>
    <col min="43" max="16384" width="8.6640625" style="3" hidden="1"/>
  </cols>
  <sheetData>
    <row r="2" spans="2:26" s="5" customFormat="1" ht="15" customHeight="1">
      <c r="B2" s="399" t="s">
        <v>39</v>
      </c>
      <c r="C2" s="399"/>
      <c r="D2" s="399"/>
      <c r="E2" s="400" t="s">
        <v>38</v>
      </c>
      <c r="F2" s="282" t="s">
        <v>47</v>
      </c>
      <c r="G2" s="85">
        <f>Calc!G2</f>
        <v>2013</v>
      </c>
      <c r="H2" s="85">
        <f>Calc!H2</f>
        <v>2014</v>
      </c>
      <c r="I2" s="85">
        <f>Calc!I2</f>
        <v>2015</v>
      </c>
      <c r="J2" s="85">
        <f>Calc!J2</f>
        <v>2016</v>
      </c>
      <c r="K2" s="85">
        <f>Calc!K2</f>
        <v>2017</v>
      </c>
      <c r="L2" s="85">
        <f>Calc!L2</f>
        <v>2018</v>
      </c>
      <c r="M2" s="85">
        <f>Calc!M2</f>
        <v>2019</v>
      </c>
      <c r="N2" s="85">
        <f>Calc!N2</f>
        <v>2020</v>
      </c>
      <c r="O2" s="85">
        <f>Calc!O2</f>
        <v>2021</v>
      </c>
      <c r="P2" s="85">
        <f>Calc!P2</f>
        <v>2022</v>
      </c>
      <c r="Q2" s="22">
        <f>Calc!Q2</f>
        <v>2023</v>
      </c>
      <c r="R2" s="22">
        <f>Calc!R2</f>
        <v>2024</v>
      </c>
      <c r="S2" s="22">
        <f>Calc!S2</f>
        <v>2025</v>
      </c>
      <c r="T2" s="22">
        <f>Calc!T2</f>
        <v>2026</v>
      </c>
      <c r="U2" s="22">
        <f>Calc!U2</f>
        <v>2027</v>
      </c>
      <c r="V2" s="22">
        <f>Calc!V2</f>
        <v>2028</v>
      </c>
      <c r="W2" s="22">
        <f>Calc!W2</f>
        <v>2029</v>
      </c>
      <c r="X2" s="22">
        <f>Calc!X2</f>
        <v>2030</v>
      </c>
      <c r="Y2" s="22">
        <f>Calc!Y2</f>
        <v>2031</v>
      </c>
      <c r="Z2" s="22">
        <f>Calc!Z2</f>
        <v>2032</v>
      </c>
    </row>
    <row r="3" spans="2:26" s="5" customFormat="1">
      <c r="B3" s="399"/>
      <c r="C3" s="399"/>
      <c r="D3" s="399"/>
      <c r="E3" s="400"/>
      <c r="F3" s="245">
        <f>PRINT!F2</f>
        <v>1</v>
      </c>
      <c r="G3" s="85" t="str">
        <f>Calc!G3</f>
        <v>fact</v>
      </c>
      <c r="H3" s="85" t="str">
        <f>Calc!H3</f>
        <v>fact</v>
      </c>
      <c r="I3" s="85" t="str">
        <f>Calc!I3</f>
        <v>fact</v>
      </c>
      <c r="J3" s="85" t="str">
        <f>Calc!J3</f>
        <v>fact</v>
      </c>
      <c r="K3" s="85" t="str">
        <f>Calc!K3</f>
        <v>fact</v>
      </c>
      <c r="L3" s="85" t="str">
        <f>Calc!L3</f>
        <v>fact</v>
      </c>
      <c r="M3" s="85" t="str">
        <f>Calc!M3</f>
        <v>fact</v>
      </c>
      <c r="N3" s="85" t="str">
        <f>Calc!N3</f>
        <v>fact</v>
      </c>
      <c r="O3" s="85" t="str">
        <f>Calc!O3</f>
        <v>fact</v>
      </c>
      <c r="P3" s="85" t="str">
        <f>Calc!P3</f>
        <v>fact</v>
      </c>
      <c r="Q3" s="22" t="str">
        <f>Calc!Q3</f>
        <v>forecast</v>
      </c>
      <c r="R3" s="22" t="str">
        <f>Calc!R3</f>
        <v>forecast</v>
      </c>
      <c r="S3" s="22" t="str">
        <f>Calc!S3</f>
        <v>forecast</v>
      </c>
      <c r="T3" s="22" t="str">
        <f>Calc!T3</f>
        <v>forecast</v>
      </c>
      <c r="U3" s="22" t="str">
        <f>Calc!U3</f>
        <v>forecast</v>
      </c>
      <c r="V3" s="22" t="str">
        <f>Calc!V3</f>
        <v>forecast</v>
      </c>
      <c r="W3" s="22" t="str">
        <f>Calc!W3</f>
        <v>forecast</v>
      </c>
      <c r="X3" s="22" t="str">
        <f>Calc!X3</f>
        <v>forecast</v>
      </c>
      <c r="Y3" s="22" t="str">
        <f>Calc!Y3</f>
        <v>forecast</v>
      </c>
      <c r="Z3" s="22" t="str">
        <f>Calc!Z3</f>
        <v>forecast</v>
      </c>
    </row>
    <row r="4" spans="2:26" ht="5" customHeight="1"/>
    <row r="5" spans="2:26">
      <c r="B5" s="35" t="s">
        <v>2</v>
      </c>
      <c r="C5" s="35"/>
      <c r="D5" s="35"/>
      <c r="E5" s="36"/>
      <c r="F5" s="211">
        <f>DCF!R34</f>
        <v>58.055724833580484</v>
      </c>
      <c r="G5" s="35"/>
      <c r="H5" s="35"/>
      <c r="I5" s="35"/>
      <c r="J5" s="36">
        <v>1</v>
      </c>
      <c r="K5" s="36">
        <f>J5+1</f>
        <v>2</v>
      </c>
      <c r="L5" s="36">
        <f>K5+1</f>
        <v>3</v>
      </c>
      <c r="M5" s="36">
        <f>L5+1</f>
        <v>4</v>
      </c>
      <c r="N5" s="36">
        <f>M5+1</f>
        <v>5</v>
      </c>
      <c r="O5" s="36">
        <f t="shared" ref="O5" si="0">N5+1</f>
        <v>6</v>
      </c>
      <c r="P5" s="36">
        <f t="shared" ref="P5" si="1">O5+1</f>
        <v>7</v>
      </c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2:26" outlineLevel="1">
      <c r="E6" s="3"/>
      <c r="F6" s="3"/>
    </row>
    <row r="7" spans="2:26" outlineLevel="1">
      <c r="E7" s="3"/>
      <c r="F7" s="3"/>
      <c r="J7" s="9" t="s">
        <v>758</v>
      </c>
      <c r="K7" s="9" t="s">
        <v>758</v>
      </c>
      <c r="L7" s="9" t="s">
        <v>758</v>
      </c>
      <c r="M7" s="9" t="s">
        <v>758</v>
      </c>
      <c r="N7" s="9" t="s">
        <v>758</v>
      </c>
      <c r="O7" s="9" t="s">
        <v>758</v>
      </c>
      <c r="P7" s="9" t="s">
        <v>758</v>
      </c>
    </row>
    <row r="8" spans="2:26" outlineLevel="1">
      <c r="F8" s="3"/>
      <c r="J8" s="4" t="s">
        <v>859</v>
      </c>
      <c r="K8" s="4" t="s">
        <v>860</v>
      </c>
      <c r="L8" s="4" t="s">
        <v>830</v>
      </c>
      <c r="M8" s="4" t="s">
        <v>831</v>
      </c>
      <c r="N8" s="4" t="s">
        <v>850</v>
      </c>
      <c r="O8" s="4" t="s">
        <v>851</v>
      </c>
      <c r="P8" s="4" t="s">
        <v>852</v>
      </c>
      <c r="U8" s="14"/>
      <c r="V8" s="14"/>
      <c r="W8" s="14"/>
    </row>
    <row r="9" spans="2:26" outlineLevel="1">
      <c r="D9" s="5" t="s">
        <v>46</v>
      </c>
      <c r="F9" s="3"/>
      <c r="J9" s="4"/>
      <c r="K9" s="4"/>
      <c r="L9" s="4"/>
      <c r="M9" s="4"/>
      <c r="N9" s="4"/>
      <c r="O9" s="4"/>
      <c r="P9" s="4"/>
      <c r="U9" s="14"/>
      <c r="V9" s="14"/>
      <c r="W9" s="14"/>
    </row>
    <row r="10" spans="2:26" outlineLevel="1">
      <c r="D10" s="16" t="s">
        <v>712</v>
      </c>
      <c r="E10" s="4" t="s">
        <v>1</v>
      </c>
      <c r="F10" s="7">
        <f>CHOOSE($F$3,J10,K10,L10,M10,N10,O10,P10,Q10,R10)</f>
        <v>1</v>
      </c>
      <c r="G10" s="12" t="s">
        <v>67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</row>
    <row r="11" spans="2:26" outlineLevel="1">
      <c r="D11" s="16" t="s">
        <v>853</v>
      </c>
      <c r="E11" s="4" t="s">
        <v>1</v>
      </c>
      <c r="F11" s="7">
        <f t="shared" ref="F11" si="2">CHOOSE($F$3,J11,K11,L11,M11,N11,O11,P11,Q11,R11)</f>
        <v>1</v>
      </c>
      <c r="G11" s="12" t="s">
        <v>67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</row>
    <row r="12" spans="2:26" outlineLevel="1">
      <c r="F12" s="3"/>
    </row>
    <row r="13" spans="2:26" outlineLevel="1">
      <c r="D13" s="5" t="s">
        <v>60</v>
      </c>
      <c r="F13" s="3"/>
    </row>
    <row r="14" spans="2:26" outlineLevel="1">
      <c r="D14" s="16" t="s">
        <v>42</v>
      </c>
      <c r="E14" s="4" t="s">
        <v>1</v>
      </c>
      <c r="F14" s="7">
        <f t="shared" ref="F14:F22" si="3">CHOOSE($F$3,J14,K14,L14,M14,N14,O14,P14,Q14,R14)</f>
        <v>1</v>
      </c>
      <c r="G14" s="12" t="s">
        <v>73</v>
      </c>
      <c r="H14" s="14"/>
      <c r="I14" s="14"/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</row>
    <row r="15" spans="2:26" outlineLevel="1">
      <c r="D15" s="16" t="s">
        <v>74</v>
      </c>
      <c r="E15" s="4" t="s">
        <v>3</v>
      </c>
      <c r="F15" s="93">
        <f t="shared" si="3"/>
        <v>0</v>
      </c>
      <c r="G15" s="94"/>
      <c r="H15" s="95"/>
      <c r="I15" s="95"/>
      <c r="J15" s="96"/>
      <c r="K15" s="96"/>
      <c r="L15" s="96"/>
      <c r="M15" s="96"/>
      <c r="N15" s="96"/>
      <c r="O15" s="96"/>
      <c r="P15" s="96"/>
    </row>
    <row r="16" spans="2:26" outlineLevel="1">
      <c r="D16" s="16" t="s">
        <v>49</v>
      </c>
      <c r="E16" s="4" t="s">
        <v>1</v>
      </c>
      <c r="F16" s="7">
        <f t="shared" si="3"/>
        <v>3</v>
      </c>
      <c r="G16" s="12" t="s">
        <v>73</v>
      </c>
      <c r="H16" s="14"/>
      <c r="I16" s="14"/>
      <c r="J16" s="6">
        <v>3</v>
      </c>
      <c r="K16" s="6">
        <v>3</v>
      </c>
      <c r="L16" s="6">
        <v>3</v>
      </c>
      <c r="M16" s="6">
        <v>3</v>
      </c>
      <c r="N16" s="6">
        <v>3</v>
      </c>
      <c r="O16" s="6">
        <v>3</v>
      </c>
      <c r="P16" s="6">
        <v>3</v>
      </c>
    </row>
    <row r="17" spans="4:16" outlineLevel="1">
      <c r="D17" s="16" t="s">
        <v>711</v>
      </c>
      <c r="E17" s="4" t="s">
        <v>3</v>
      </c>
      <c r="F17" s="93">
        <f t="shared" si="3"/>
        <v>1</v>
      </c>
      <c r="G17" s="94"/>
      <c r="H17" s="95"/>
      <c r="I17" s="95"/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</row>
    <row r="18" spans="4:16" outlineLevel="1">
      <c r="D18" s="16" t="s">
        <v>50</v>
      </c>
      <c r="E18" s="4" t="s">
        <v>1</v>
      </c>
      <c r="F18" s="7">
        <f t="shared" si="3"/>
        <v>2</v>
      </c>
      <c r="G18" s="12" t="s">
        <v>73</v>
      </c>
      <c r="H18" s="14"/>
      <c r="I18" s="14"/>
      <c r="J18" s="6">
        <v>2</v>
      </c>
      <c r="K18" s="6">
        <v>2</v>
      </c>
      <c r="L18" s="6">
        <v>2</v>
      </c>
      <c r="M18" s="6">
        <v>2</v>
      </c>
      <c r="N18" s="6">
        <v>2</v>
      </c>
      <c r="O18" s="6">
        <v>2</v>
      </c>
      <c r="P18" s="6">
        <v>2</v>
      </c>
    </row>
    <row r="19" spans="4:16" outlineLevel="1">
      <c r="D19" s="16" t="s">
        <v>75</v>
      </c>
      <c r="E19" s="4" t="s">
        <v>3</v>
      </c>
      <c r="F19" s="93">
        <f t="shared" si="3"/>
        <v>0</v>
      </c>
      <c r="G19" s="94"/>
      <c r="H19" s="95"/>
      <c r="I19" s="95"/>
      <c r="J19" s="96"/>
      <c r="K19" s="96"/>
      <c r="L19" s="96"/>
      <c r="M19" s="96"/>
      <c r="N19" s="96"/>
      <c r="O19" s="96"/>
      <c r="P19" s="96"/>
    </row>
    <row r="20" spans="4:16" outlineLevel="1">
      <c r="D20" s="16" t="s">
        <v>51</v>
      </c>
      <c r="E20" s="4" t="s">
        <v>1</v>
      </c>
      <c r="F20" s="7">
        <f t="shared" si="3"/>
        <v>2</v>
      </c>
      <c r="G20" s="12" t="s">
        <v>73</v>
      </c>
      <c r="H20" s="14"/>
      <c r="I20" s="14"/>
      <c r="J20" s="6">
        <v>2</v>
      </c>
      <c r="K20" s="6">
        <v>2</v>
      </c>
      <c r="L20" s="6">
        <v>2</v>
      </c>
      <c r="M20" s="6">
        <v>2</v>
      </c>
      <c r="N20" s="6">
        <v>2</v>
      </c>
      <c r="O20" s="6">
        <v>2</v>
      </c>
      <c r="P20" s="6">
        <v>2</v>
      </c>
    </row>
    <row r="21" spans="4:16" outlineLevel="1">
      <c r="D21" s="16" t="s">
        <v>76</v>
      </c>
      <c r="E21" s="4" t="s">
        <v>3</v>
      </c>
      <c r="F21" s="93">
        <f t="shared" si="3"/>
        <v>0</v>
      </c>
      <c r="G21" s="94"/>
      <c r="H21" s="95"/>
      <c r="I21" s="95"/>
      <c r="J21" s="96"/>
      <c r="K21" s="96"/>
      <c r="L21" s="96"/>
      <c r="M21" s="96"/>
      <c r="N21" s="96"/>
      <c r="O21" s="96"/>
      <c r="P21" s="96"/>
    </row>
    <row r="22" spans="4:16" outlineLevel="1">
      <c r="D22" s="16" t="s">
        <v>61</v>
      </c>
      <c r="E22" s="4" t="s">
        <v>1</v>
      </c>
      <c r="F22" s="7">
        <f t="shared" si="3"/>
        <v>1</v>
      </c>
      <c r="G22" s="12" t="s">
        <v>67</v>
      </c>
      <c r="H22" s="14"/>
      <c r="I22" s="14"/>
      <c r="J22" s="6">
        <v>1</v>
      </c>
      <c r="K22" s="6">
        <v>1</v>
      </c>
      <c r="L22" s="6">
        <v>2</v>
      </c>
      <c r="M22" s="6">
        <v>3</v>
      </c>
      <c r="N22" s="6">
        <v>1</v>
      </c>
      <c r="O22" s="6">
        <v>2</v>
      </c>
      <c r="P22" s="6">
        <v>3</v>
      </c>
    </row>
    <row r="23" spans="4:16" s="14" customFormat="1" outlineLevel="1"/>
    <row r="24" spans="4:16" outlineLevel="1">
      <c r="D24" s="5" t="s">
        <v>69</v>
      </c>
      <c r="E24" s="3"/>
      <c r="F24" s="3"/>
    </row>
    <row r="25" spans="4:16" outlineLevel="1">
      <c r="D25" s="16" t="s">
        <v>858</v>
      </c>
      <c r="E25" s="4" t="s">
        <v>1</v>
      </c>
      <c r="F25" s="7">
        <f t="shared" ref="F25:F29" si="4">CHOOSE($F$3,J25,K25,L25,M25,N25,O25,P25,Q25,R25)</f>
        <v>1</v>
      </c>
      <c r="G25" s="12" t="s">
        <v>854</v>
      </c>
      <c r="H25" s="14"/>
      <c r="I25" s="14"/>
      <c r="J25" s="6">
        <v>1</v>
      </c>
      <c r="K25" s="6">
        <v>3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</row>
    <row r="26" spans="4:16" outlineLevel="1">
      <c r="D26" s="16" t="s">
        <v>857</v>
      </c>
      <c r="E26" s="4" t="s">
        <v>1</v>
      </c>
      <c r="F26" s="7">
        <f t="shared" si="4"/>
        <v>1</v>
      </c>
      <c r="G26" s="12" t="s">
        <v>713</v>
      </c>
      <c r="H26" s="14"/>
      <c r="I26" s="14"/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</row>
    <row r="27" spans="4:16" outlineLevel="1">
      <c r="D27" s="16" t="s">
        <v>715</v>
      </c>
      <c r="E27" s="4" t="s">
        <v>1</v>
      </c>
      <c r="F27" s="7">
        <f t="shared" si="4"/>
        <v>1</v>
      </c>
      <c r="G27" s="12" t="s">
        <v>713</v>
      </c>
      <c r="H27" s="14"/>
      <c r="I27" s="14"/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</row>
    <row r="28" spans="4:16" outlineLevel="1">
      <c r="D28" s="16" t="s">
        <v>716</v>
      </c>
      <c r="E28" s="4" t="s">
        <v>1</v>
      </c>
      <c r="F28" s="7">
        <f t="shared" si="4"/>
        <v>2</v>
      </c>
      <c r="G28" s="12" t="s">
        <v>713</v>
      </c>
      <c r="H28" s="14"/>
      <c r="I28" s="14"/>
      <c r="J28" s="6">
        <v>2</v>
      </c>
      <c r="K28" s="6">
        <v>2</v>
      </c>
      <c r="L28" s="6">
        <v>2</v>
      </c>
      <c r="M28" s="6">
        <v>2</v>
      </c>
      <c r="N28" s="6">
        <v>2</v>
      </c>
      <c r="O28" s="6">
        <v>2</v>
      </c>
      <c r="P28" s="6">
        <v>2</v>
      </c>
    </row>
    <row r="29" spans="4:16" outlineLevel="1">
      <c r="D29" s="16" t="s">
        <v>717</v>
      </c>
      <c r="E29" s="4" t="s">
        <v>1</v>
      </c>
      <c r="F29" s="7">
        <f t="shared" si="4"/>
        <v>2</v>
      </c>
      <c r="G29" s="12" t="s">
        <v>713</v>
      </c>
      <c r="H29" s="14"/>
      <c r="I29" s="14"/>
      <c r="J29" s="6">
        <v>2</v>
      </c>
      <c r="K29" s="6">
        <v>2</v>
      </c>
      <c r="L29" s="6">
        <v>2</v>
      </c>
      <c r="M29" s="6">
        <v>2</v>
      </c>
      <c r="N29" s="6">
        <v>2</v>
      </c>
      <c r="O29" s="6">
        <v>2</v>
      </c>
      <c r="P29" s="6">
        <v>2</v>
      </c>
    </row>
    <row r="30" spans="4:16" outlineLevel="1">
      <c r="F30" s="3"/>
    </row>
    <row r="31" spans="4:16" outlineLevel="1">
      <c r="D31" s="5" t="s">
        <v>719</v>
      </c>
      <c r="E31" s="3"/>
      <c r="F31" s="3"/>
    </row>
    <row r="32" spans="4:16" outlineLevel="1">
      <c r="D32" s="16" t="s">
        <v>729</v>
      </c>
      <c r="E32" s="4" t="s">
        <v>1</v>
      </c>
      <c r="F32" s="7">
        <f t="shared" ref="F32:F37" si="5">CHOOSE($F$3,J32,K32,L32,M32,N32,O32,P32,Q32,R32)</f>
        <v>1</v>
      </c>
      <c r="G32" s="12" t="s">
        <v>752</v>
      </c>
      <c r="H32" s="14"/>
      <c r="I32" s="14"/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</row>
    <row r="33" spans="2:26" outlineLevel="1">
      <c r="D33" s="16" t="s">
        <v>785</v>
      </c>
      <c r="E33" s="4" t="s">
        <v>1</v>
      </c>
      <c r="F33" s="7">
        <f t="shared" si="5"/>
        <v>1</v>
      </c>
      <c r="G33" s="12" t="s">
        <v>754</v>
      </c>
      <c r="H33" s="14"/>
      <c r="I33" s="14"/>
      <c r="J33" s="6">
        <v>1</v>
      </c>
      <c r="K33" s="6">
        <v>1</v>
      </c>
      <c r="L33" s="6">
        <v>1</v>
      </c>
      <c r="M33" s="6">
        <v>1</v>
      </c>
      <c r="N33" s="6">
        <v>0</v>
      </c>
      <c r="O33" s="6">
        <v>0</v>
      </c>
      <c r="P33" s="6">
        <v>0</v>
      </c>
    </row>
    <row r="34" spans="2:26" outlineLevel="1">
      <c r="D34" s="202" t="s">
        <v>755</v>
      </c>
      <c r="E34" s="4" t="s">
        <v>756</v>
      </c>
      <c r="F34" s="7">
        <f t="shared" si="5"/>
        <v>2024</v>
      </c>
      <c r="G34" s="12"/>
      <c r="H34" s="14"/>
      <c r="I34" s="14"/>
      <c r="J34" s="6">
        <v>2024</v>
      </c>
      <c r="K34" s="6">
        <v>2024</v>
      </c>
      <c r="L34" s="6">
        <v>2024</v>
      </c>
      <c r="M34" s="6">
        <v>2024</v>
      </c>
      <c r="N34" s="6">
        <v>2024</v>
      </c>
      <c r="O34" s="6">
        <v>2024</v>
      </c>
      <c r="P34" s="6">
        <v>2024</v>
      </c>
    </row>
    <row r="35" spans="2:26" outlineLevel="1">
      <c r="D35" s="202" t="s">
        <v>42</v>
      </c>
      <c r="E35" s="4" t="s">
        <v>1</v>
      </c>
      <c r="F35" s="200">
        <f t="shared" si="5"/>
        <v>1800</v>
      </c>
      <c r="G35" s="12"/>
      <c r="H35" s="14"/>
      <c r="I35" s="14"/>
      <c r="J35" s="201">
        <v>1800</v>
      </c>
      <c r="K35" s="201">
        <v>1800</v>
      </c>
      <c r="L35" s="201">
        <v>1800</v>
      </c>
      <c r="M35" s="201">
        <v>1800</v>
      </c>
      <c r="N35" s="201">
        <v>1800</v>
      </c>
      <c r="O35" s="201">
        <v>1800</v>
      </c>
      <c r="P35" s="201">
        <v>1800</v>
      </c>
    </row>
    <row r="36" spans="2:26" outlineLevel="1">
      <c r="D36" s="202" t="s">
        <v>757</v>
      </c>
      <c r="E36" s="4" t="s">
        <v>3</v>
      </c>
      <c r="F36" s="93">
        <f t="shared" si="5"/>
        <v>0.9</v>
      </c>
      <c r="G36" s="12"/>
      <c r="H36" s="14"/>
      <c r="I36" s="14"/>
      <c r="J36" s="8">
        <v>0.9</v>
      </c>
      <c r="K36" s="8">
        <v>0.9</v>
      </c>
      <c r="L36" s="8">
        <v>0.9</v>
      </c>
      <c r="M36" s="8">
        <v>0.9</v>
      </c>
      <c r="N36" s="8">
        <v>0.9</v>
      </c>
      <c r="O36" s="8">
        <v>0.9</v>
      </c>
      <c r="P36" s="8">
        <v>0.9</v>
      </c>
    </row>
    <row r="37" spans="2:26" outlineLevel="1">
      <c r="D37" s="202" t="s">
        <v>784</v>
      </c>
      <c r="E37" s="4" t="s">
        <v>62</v>
      </c>
      <c r="F37" s="200">
        <f t="shared" si="5"/>
        <v>440</v>
      </c>
      <c r="G37" s="12"/>
      <c r="H37" s="14"/>
      <c r="I37" s="14"/>
      <c r="J37" s="201">
        <f>(415+465)/2</f>
        <v>440</v>
      </c>
      <c r="K37" s="201">
        <f>(415+465)/2</f>
        <v>440</v>
      </c>
      <c r="L37" s="201">
        <f t="shared" ref="L37:P37" si="6">(415+465)/2</f>
        <v>440</v>
      </c>
      <c r="M37" s="201">
        <f t="shared" si="6"/>
        <v>440</v>
      </c>
      <c r="N37" s="201">
        <f t="shared" si="6"/>
        <v>440</v>
      </c>
      <c r="O37" s="201">
        <f t="shared" si="6"/>
        <v>440</v>
      </c>
      <c r="P37" s="201">
        <f t="shared" si="6"/>
        <v>440</v>
      </c>
    </row>
    <row r="38" spans="2:26" outlineLevel="1">
      <c r="F38" s="3"/>
    </row>
    <row r="39" spans="2:26" outlineLevel="1">
      <c r="D39" s="5" t="s">
        <v>781</v>
      </c>
      <c r="F39" s="3"/>
    </row>
    <row r="40" spans="2:26" outlineLevel="1">
      <c r="D40" s="16" t="s">
        <v>772</v>
      </c>
      <c r="E40" s="4" t="s">
        <v>3</v>
      </c>
      <c r="F40" s="93">
        <f t="shared" ref="F40:F41" si="7">CHOOSE($F$3,J40,K40,L40,M40,N40,O40,P40,Q40,R40)</f>
        <v>0.11375701111242446</v>
      </c>
      <c r="G40" s="94"/>
      <c r="H40" s="95"/>
      <c r="I40" s="95"/>
      <c r="J40" s="8">
        <v>0.11375701111242446</v>
      </c>
      <c r="K40" s="8">
        <v>0.11375701111242446</v>
      </c>
      <c r="L40" s="8">
        <v>0.11375701111242446</v>
      </c>
      <c r="M40" s="8">
        <v>0.11375701111242446</v>
      </c>
      <c r="N40" s="8">
        <v>0.11375701111242446</v>
      </c>
      <c r="O40" s="8">
        <v>0.11375701111242446</v>
      </c>
      <c r="P40" s="8">
        <v>0.11375701111242446</v>
      </c>
    </row>
    <row r="41" spans="2:26" outlineLevel="1">
      <c r="D41" s="16" t="s">
        <v>775</v>
      </c>
      <c r="E41" s="4" t="s">
        <v>3</v>
      </c>
      <c r="F41" s="93">
        <f t="shared" si="7"/>
        <v>0.02</v>
      </c>
      <c r="G41" s="94"/>
      <c r="H41" s="95"/>
      <c r="I41" s="95"/>
      <c r="J41" s="8">
        <v>0.02</v>
      </c>
      <c r="K41" s="8">
        <v>0.02</v>
      </c>
      <c r="L41" s="8">
        <v>0.02</v>
      </c>
      <c r="M41" s="8">
        <v>0.02</v>
      </c>
      <c r="N41" s="8">
        <v>0.02</v>
      </c>
      <c r="O41" s="8">
        <v>0.02</v>
      </c>
      <c r="P41" s="8">
        <v>0.02</v>
      </c>
    </row>
    <row r="42" spans="2:26" outlineLevel="1">
      <c r="F42" s="3"/>
    </row>
    <row r="43" spans="2:26" outlineLevel="1">
      <c r="J43" s="4"/>
      <c r="K43" s="4"/>
    </row>
    <row r="44" spans="2:26">
      <c r="J44" s="4"/>
      <c r="K44" s="4"/>
    </row>
    <row r="45" spans="2:26">
      <c r="B45" s="35" t="s">
        <v>845</v>
      </c>
      <c r="C45" s="35"/>
      <c r="D45" s="35"/>
      <c r="E45" s="36"/>
      <c r="F45" s="211"/>
      <c r="G45" s="35"/>
      <c r="H45" s="35"/>
      <c r="I45" s="35"/>
      <c r="J45" s="36"/>
      <c r="K45" s="36"/>
      <c r="L45" s="36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2:26" outlineLevel="1">
      <c r="E46" s="3"/>
      <c r="F46" s="3"/>
    </row>
    <row r="47" spans="2:26" outlineLevel="1">
      <c r="E47" s="3"/>
      <c r="F47" s="3"/>
    </row>
    <row r="48" spans="2:26" outlineLevel="1">
      <c r="E48" s="3"/>
      <c r="F48" s="3"/>
      <c r="J48" s="254">
        <f>F5</f>
        <v>58.055724833580484</v>
      </c>
      <c r="K48" s="250">
        <v>2</v>
      </c>
      <c r="L48" s="251">
        <v>1</v>
      </c>
      <c r="M48" s="250">
        <v>3</v>
      </c>
      <c r="O48" s="254"/>
      <c r="P48" s="250">
        <v>2</v>
      </c>
      <c r="Q48" s="251">
        <v>1</v>
      </c>
      <c r="R48" s="250">
        <v>3</v>
      </c>
    </row>
    <row r="49" spans="2:26" outlineLevel="1">
      <c r="E49" s="3"/>
      <c r="F49" s="3"/>
      <c r="I49" s="247"/>
      <c r="J49" s="252">
        <v>0.14000000000000001</v>
      </c>
      <c r="K49" s="246"/>
      <c r="L49" s="248"/>
      <c r="M49" s="246"/>
      <c r="O49" s="252">
        <v>0.14000000000000001</v>
      </c>
      <c r="P49" s="259"/>
      <c r="Q49" s="260"/>
      <c r="R49" s="259"/>
    </row>
    <row r="50" spans="2:26" outlineLevel="1">
      <c r="E50" s="3"/>
      <c r="F50" s="3"/>
      <c r="I50" s="247"/>
      <c r="J50" s="252">
        <v>0.13</v>
      </c>
      <c r="K50" s="246"/>
      <c r="L50" s="248"/>
      <c r="M50" s="246"/>
      <c r="O50" s="252">
        <v>0.13</v>
      </c>
      <c r="P50" s="259"/>
      <c r="Q50" s="260"/>
      <c r="R50" s="259"/>
    </row>
    <row r="51" spans="2:26" outlineLevel="1">
      <c r="E51" s="3"/>
      <c r="F51" s="3"/>
      <c r="I51" s="247"/>
      <c r="J51" s="252">
        <v>0.12</v>
      </c>
      <c r="K51" s="246"/>
      <c r="L51" s="248"/>
      <c r="M51" s="246"/>
      <c r="O51" s="252">
        <v>0.12</v>
      </c>
      <c r="P51" s="259"/>
      <c r="Q51" s="260"/>
      <c r="R51" s="259"/>
    </row>
    <row r="52" spans="2:26" outlineLevel="1">
      <c r="E52" s="3"/>
      <c r="F52" s="3"/>
      <c r="J52" s="253">
        <v>0.11375701111242446</v>
      </c>
      <c r="K52" s="249"/>
      <c r="L52" s="255"/>
      <c r="M52" s="249"/>
      <c r="O52" s="253">
        <v>0.11375701111242446</v>
      </c>
      <c r="P52" s="261"/>
      <c r="Q52" s="262"/>
      <c r="R52" s="261"/>
    </row>
    <row r="53" spans="2:26" outlineLevel="1">
      <c r="E53" s="3"/>
      <c r="F53" s="3"/>
      <c r="I53" s="247"/>
      <c r="J53" s="252">
        <v>0.11</v>
      </c>
      <c r="K53" s="246"/>
      <c r="L53" s="248"/>
      <c r="M53" s="246"/>
      <c r="O53" s="252">
        <v>0.11</v>
      </c>
      <c r="P53" s="259"/>
      <c r="Q53" s="260"/>
      <c r="R53" s="259"/>
    </row>
    <row r="54" spans="2:26" outlineLevel="1">
      <c r="E54" s="3"/>
      <c r="F54" s="3"/>
      <c r="I54" s="247"/>
      <c r="J54" s="252">
        <v>0.1</v>
      </c>
      <c r="K54" s="246"/>
      <c r="L54" s="248"/>
      <c r="M54" s="246"/>
      <c r="O54" s="252">
        <v>0.1</v>
      </c>
      <c r="P54" s="259"/>
      <c r="Q54" s="260"/>
      <c r="R54" s="259"/>
    </row>
    <row r="55" spans="2:26" outlineLevel="1">
      <c r="E55" s="3"/>
      <c r="F55" s="3"/>
      <c r="I55" s="247"/>
      <c r="J55" s="252">
        <v>0.09</v>
      </c>
      <c r="K55" s="246"/>
      <c r="L55" s="248"/>
      <c r="M55" s="246"/>
      <c r="O55" s="252">
        <v>0.09</v>
      </c>
      <c r="P55" s="259"/>
      <c r="Q55" s="260"/>
      <c r="R55" s="259"/>
    </row>
    <row r="56" spans="2:26" outlineLevel="1">
      <c r="E56" s="3"/>
      <c r="F56" s="3"/>
    </row>
    <row r="57" spans="2:26" outlineLevel="1">
      <c r="J57" s="4"/>
      <c r="K57" s="4"/>
    </row>
    <row r="58" spans="2:26">
      <c r="J58" s="4"/>
      <c r="K58" s="4"/>
    </row>
    <row r="59" spans="2:26">
      <c r="B59" s="20" t="s">
        <v>6</v>
      </c>
      <c r="C59" s="20"/>
      <c r="D59" s="20" t="s">
        <v>6</v>
      </c>
      <c r="E59" s="20" t="s">
        <v>6</v>
      </c>
      <c r="F59" s="20" t="s">
        <v>6</v>
      </c>
      <c r="G59" s="20" t="s">
        <v>6</v>
      </c>
      <c r="H59" s="20" t="s">
        <v>6</v>
      </c>
      <c r="I59" s="20" t="s">
        <v>6</v>
      </c>
      <c r="J59" s="20" t="s">
        <v>6</v>
      </c>
      <c r="K59" s="20" t="s">
        <v>6</v>
      </c>
      <c r="L59" s="20" t="s">
        <v>6</v>
      </c>
      <c r="M59" s="20" t="s">
        <v>6</v>
      </c>
      <c r="N59" s="20" t="s">
        <v>6</v>
      </c>
      <c r="O59" s="20" t="s">
        <v>6</v>
      </c>
      <c r="P59" s="20" t="s">
        <v>6</v>
      </c>
      <c r="Q59" s="20" t="s">
        <v>6</v>
      </c>
      <c r="R59" s="20" t="s">
        <v>6</v>
      </c>
      <c r="S59" s="20" t="s">
        <v>6</v>
      </c>
      <c r="T59" s="20" t="s">
        <v>6</v>
      </c>
      <c r="U59" s="20" t="s">
        <v>6</v>
      </c>
      <c r="V59" s="20" t="s">
        <v>6</v>
      </c>
      <c r="W59" s="20" t="s">
        <v>6</v>
      </c>
      <c r="X59" s="20" t="s">
        <v>6</v>
      </c>
      <c r="Y59" s="20" t="s">
        <v>6</v>
      </c>
      <c r="Z59" s="20" t="s">
        <v>6</v>
      </c>
    </row>
  </sheetData>
  <mergeCells count="2">
    <mergeCell ref="B2:D3"/>
    <mergeCell ref="E2:E3"/>
  </mergeCells>
  <conditionalFormatting sqref="P49:R5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4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BP224"/>
  <sheetViews>
    <sheetView showGridLines="0" zoomScale="70" zoomScaleNormal="70" workbookViewId="0">
      <pane xSplit="6" ySplit="4" topLeftCell="G173" activePane="bottomRight" state="frozen"/>
      <selection activeCell="Q7" sqref="Q7"/>
      <selection pane="topRight" activeCell="Q7" sqref="Q7"/>
      <selection pane="bottomLeft" activeCell="Q7" sqref="Q7"/>
      <selection pane="bottomRight" activeCell="S130" sqref="S130"/>
    </sheetView>
  </sheetViews>
  <sheetFormatPr baseColWidth="10" defaultColWidth="0" defaultRowHeight="16" outlineLevelRow="3"/>
  <cols>
    <col min="1" max="3" width="3.1640625" style="3" customWidth="1"/>
    <col min="4" max="4" width="40.6640625" style="3" customWidth="1"/>
    <col min="5" max="5" width="10.6640625" style="4" customWidth="1"/>
    <col min="6" max="6" width="9.1640625" style="4" customWidth="1"/>
    <col min="7" max="26" width="9.1640625" style="11" customWidth="1"/>
    <col min="27" max="27" width="3.6640625" style="3" customWidth="1"/>
    <col min="28" max="68" width="0" style="3" hidden="1" customWidth="1"/>
    <col min="69" max="16384" width="8.6640625" style="3" hidden="1"/>
  </cols>
  <sheetData>
    <row r="1" spans="2:26">
      <c r="G1" s="86"/>
      <c r="H1" s="86"/>
      <c r="I1" s="86"/>
      <c r="J1" s="86"/>
      <c r="K1" s="86"/>
      <c r="L1" s="86"/>
      <c r="M1" s="86"/>
      <c r="N1" s="86"/>
      <c r="O1" s="86"/>
      <c r="P1" s="86"/>
      <c r="Q1" s="228">
        <f>DATE(Q2,1,1)</f>
        <v>44927</v>
      </c>
      <c r="R1" s="228">
        <f t="shared" ref="R1:Z1" si="0">DATE(R2,1,1)</f>
        <v>45292</v>
      </c>
      <c r="S1" s="228">
        <f t="shared" si="0"/>
        <v>45658</v>
      </c>
      <c r="T1" s="228">
        <f t="shared" si="0"/>
        <v>46023</v>
      </c>
      <c r="U1" s="228">
        <f t="shared" si="0"/>
        <v>46388</v>
      </c>
      <c r="V1" s="228">
        <f t="shared" si="0"/>
        <v>46753</v>
      </c>
      <c r="W1" s="228">
        <f t="shared" si="0"/>
        <v>47119</v>
      </c>
      <c r="X1" s="228">
        <f t="shared" si="0"/>
        <v>47484</v>
      </c>
      <c r="Y1" s="228">
        <f t="shared" si="0"/>
        <v>47849</v>
      </c>
      <c r="Z1" s="228">
        <f t="shared" si="0"/>
        <v>48214</v>
      </c>
    </row>
    <row r="2" spans="2:26" s="5" customFormat="1">
      <c r="B2" s="399" t="s">
        <v>39</v>
      </c>
      <c r="C2" s="399"/>
      <c r="D2" s="399"/>
      <c r="E2" s="400" t="s">
        <v>38</v>
      </c>
      <c r="F2" s="400" t="s">
        <v>47</v>
      </c>
      <c r="G2" s="232">
        <v>2013</v>
      </c>
      <c r="H2" s="85">
        <f>G2+1</f>
        <v>2014</v>
      </c>
      <c r="I2" s="85">
        <f t="shared" ref="I2:Z2" si="1">H2+1</f>
        <v>2015</v>
      </c>
      <c r="J2" s="85">
        <f t="shared" si="1"/>
        <v>2016</v>
      </c>
      <c r="K2" s="85">
        <f t="shared" si="1"/>
        <v>2017</v>
      </c>
      <c r="L2" s="85">
        <f t="shared" si="1"/>
        <v>2018</v>
      </c>
      <c r="M2" s="85">
        <f t="shared" si="1"/>
        <v>2019</v>
      </c>
      <c r="N2" s="85">
        <f t="shared" si="1"/>
        <v>2020</v>
      </c>
      <c r="O2" s="85">
        <f t="shared" si="1"/>
        <v>2021</v>
      </c>
      <c r="P2" s="85">
        <f t="shared" si="1"/>
        <v>2022</v>
      </c>
      <c r="Q2" s="216">
        <f t="shared" si="1"/>
        <v>2023</v>
      </c>
      <c r="R2" s="216">
        <f t="shared" si="1"/>
        <v>2024</v>
      </c>
      <c r="S2" s="22">
        <f t="shared" si="1"/>
        <v>2025</v>
      </c>
      <c r="T2" s="22">
        <f t="shared" si="1"/>
        <v>2026</v>
      </c>
      <c r="U2" s="22">
        <f t="shared" si="1"/>
        <v>2027</v>
      </c>
      <c r="V2" s="22">
        <f t="shared" si="1"/>
        <v>2028</v>
      </c>
      <c r="W2" s="22">
        <f t="shared" si="1"/>
        <v>2029</v>
      </c>
      <c r="X2" s="22">
        <f t="shared" si="1"/>
        <v>2030</v>
      </c>
      <c r="Y2" s="22">
        <f t="shared" si="1"/>
        <v>2031</v>
      </c>
      <c r="Z2" s="22">
        <f t="shared" si="1"/>
        <v>2032</v>
      </c>
    </row>
    <row r="3" spans="2:26" s="5" customFormat="1">
      <c r="B3" s="399"/>
      <c r="C3" s="399"/>
      <c r="D3" s="399"/>
      <c r="E3" s="400"/>
      <c r="F3" s="400"/>
      <c r="G3" s="85" t="s">
        <v>44</v>
      </c>
      <c r="H3" s="85" t="s">
        <v>44</v>
      </c>
      <c r="I3" s="85" t="s">
        <v>44</v>
      </c>
      <c r="J3" s="85" t="s">
        <v>44</v>
      </c>
      <c r="K3" s="85" t="s">
        <v>44</v>
      </c>
      <c r="L3" s="85" t="s">
        <v>44</v>
      </c>
      <c r="M3" s="85" t="s">
        <v>44</v>
      </c>
      <c r="N3" s="85" t="s">
        <v>44</v>
      </c>
      <c r="O3" s="85" t="s">
        <v>44</v>
      </c>
      <c r="P3" s="85" t="s">
        <v>44</v>
      </c>
      <c r="Q3" s="22" t="s">
        <v>45</v>
      </c>
      <c r="R3" s="22" t="s">
        <v>45</v>
      </c>
      <c r="S3" s="22" t="s">
        <v>45</v>
      </c>
      <c r="T3" s="22" t="s">
        <v>45</v>
      </c>
      <c r="U3" s="22" t="s">
        <v>45</v>
      </c>
      <c r="V3" s="22" t="s">
        <v>45</v>
      </c>
      <c r="W3" s="22" t="s">
        <v>45</v>
      </c>
      <c r="X3" s="22" t="s">
        <v>45</v>
      </c>
      <c r="Y3" s="22" t="s">
        <v>45</v>
      </c>
      <c r="Z3" s="22" t="s">
        <v>45</v>
      </c>
    </row>
    <row r="4" spans="2:26" ht="5" customHeight="1">
      <c r="B4" s="4"/>
      <c r="C4" s="4"/>
      <c r="D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2:26" ht="5" customHeight="1">
      <c r="B5" s="4"/>
      <c r="C5" s="4"/>
      <c r="D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2:26">
      <c r="B6" s="17" t="s">
        <v>46</v>
      </c>
      <c r="C6" s="17"/>
      <c r="D6" s="17"/>
      <c r="E6" s="18"/>
      <c r="F6" s="1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2:26" outlineLevel="1"/>
    <row r="8" spans="2:26" outlineLevel="1">
      <c r="D8" s="5" t="s">
        <v>712</v>
      </c>
      <c r="E8" s="4" t="s">
        <v>3</v>
      </c>
      <c r="F8" s="99">
        <f>Scenario!F10</f>
        <v>1</v>
      </c>
      <c r="G8" s="190">
        <f>CHOOSE($F8,G9,G10,G11)</f>
        <v>1.6330999999999998E-2</v>
      </c>
      <c r="H8" s="190">
        <f t="shared" ref="H8" si="2">CHOOSE($F8,H9,H10,H11)</f>
        <v>1.46123E-2</v>
      </c>
      <c r="I8" s="190">
        <f t="shared" ref="I8" si="3">CHOOSE($F8,I9,I10,I11)</f>
        <v>1.2523400000000001E-2</v>
      </c>
      <c r="J8" s="190">
        <f t="shared" ref="J8" si="4">CHOOSE($F8,J9,J10,J11)</f>
        <v>1.85337E-2</v>
      </c>
      <c r="K8" s="190">
        <f t="shared" ref="K8" si="5">CHOOSE($F8,K9,K10,K11)</f>
        <v>1.6384200000000002E-2</v>
      </c>
      <c r="L8" s="190">
        <f t="shared" ref="L8" si="6">CHOOSE($F8,L9,L10,L11)</f>
        <v>1.9E-2</v>
      </c>
      <c r="M8" s="190">
        <f t="shared" ref="M8" si="7">CHOOSE($F8,M9,M10,M11)</f>
        <v>2.3E-2</v>
      </c>
      <c r="N8" s="190">
        <f t="shared" ref="N8" si="8">CHOOSE($F8,N9,N10,N11)</f>
        <v>1.4E-2</v>
      </c>
      <c r="O8" s="190">
        <f t="shared" ref="O8" si="9">CHOOSE($F8,O9,O10,O11)</f>
        <v>7.0965239828017848E-2</v>
      </c>
      <c r="P8" s="190">
        <f t="shared" ref="P8" si="10">CHOOSE($F8,P9,P10,P11)</f>
        <v>6.5000000000000002E-2</v>
      </c>
      <c r="Q8" s="190">
        <f t="shared" ref="Q8" si="11">CHOOSE($F8,Q9,Q10,Q11)</f>
        <v>3.1843454310135098E-2</v>
      </c>
      <c r="R8" s="190">
        <f t="shared" ref="R8" si="12">CHOOSE($F8,R9,R10,R11)</f>
        <v>2.05918250055575E-2</v>
      </c>
      <c r="S8" s="190">
        <f t="shared" ref="S8" si="13">CHOOSE($F8,S9,S10,S11)</f>
        <v>2.0591825005557101E-2</v>
      </c>
      <c r="T8" s="190">
        <f t="shared" ref="T8" si="14">CHOOSE($F8,T9,T10,T11)</f>
        <v>2.0591825005557202E-2</v>
      </c>
      <c r="U8" s="190">
        <f t="shared" ref="U8" si="15">CHOOSE($F8,U9,U10,U11)</f>
        <v>0.02</v>
      </c>
      <c r="V8" s="190">
        <f t="shared" ref="V8" si="16">CHOOSE($F8,V9,V10,V11)</f>
        <v>0.02</v>
      </c>
      <c r="W8" s="190">
        <f t="shared" ref="W8" si="17">CHOOSE($F8,W9,W10,W11)</f>
        <v>0.02</v>
      </c>
      <c r="X8" s="190">
        <f t="shared" ref="X8" si="18">CHOOSE($F8,X9,X10,X11)</f>
        <v>0.02</v>
      </c>
      <c r="Y8" s="190">
        <f t="shared" ref="Y8" si="19">CHOOSE($F8,Y9,Y10,Y11)</f>
        <v>0.02</v>
      </c>
      <c r="Z8" s="190">
        <f t="shared" ref="Z8" si="20">CHOOSE($F8,Z9,Z10,Z11)</f>
        <v>0.02</v>
      </c>
    </row>
    <row r="9" spans="2:26" outlineLevel="1">
      <c r="D9" s="3" t="s">
        <v>64</v>
      </c>
      <c r="E9" s="4" t="s">
        <v>3</v>
      </c>
      <c r="G9" s="195">
        <f>Inputs!V4</f>
        <v>1.6330999999999998E-2</v>
      </c>
      <c r="H9" s="195">
        <f>Inputs!W4</f>
        <v>1.46123E-2</v>
      </c>
      <c r="I9" s="195">
        <f>Inputs!X4</f>
        <v>1.2523400000000001E-2</v>
      </c>
      <c r="J9" s="195">
        <f>Inputs!Y4</f>
        <v>1.85337E-2</v>
      </c>
      <c r="K9" s="195">
        <f>Inputs!Z4</f>
        <v>1.6384200000000002E-2</v>
      </c>
      <c r="L9" s="195">
        <f>Inputs!AA4</f>
        <v>1.9E-2</v>
      </c>
      <c r="M9" s="195">
        <f>Inputs!AB4</f>
        <v>2.3E-2</v>
      </c>
      <c r="N9" s="195">
        <f>Inputs!AC4</f>
        <v>1.4E-2</v>
      </c>
      <c r="O9" s="195">
        <f>Inputs!AD4</f>
        <v>7.0965239828017848E-2</v>
      </c>
      <c r="P9" s="195">
        <f>Inputs!AE4</f>
        <v>6.5000000000000002E-2</v>
      </c>
      <c r="Q9" s="195">
        <f>Inputs!AF4</f>
        <v>3.1843454310135098E-2</v>
      </c>
      <c r="R9" s="195">
        <f>Inputs!AG4</f>
        <v>2.05918250055575E-2</v>
      </c>
      <c r="S9" s="195">
        <f>Inputs!AH4</f>
        <v>2.0591825005557101E-2</v>
      </c>
      <c r="T9" s="195">
        <f>Inputs!AI4</f>
        <v>2.0591825005557202E-2</v>
      </c>
      <c r="U9" s="195">
        <f>Inputs!AJ4</f>
        <v>0.02</v>
      </c>
      <c r="V9" s="195">
        <f>Inputs!AK4</f>
        <v>0.02</v>
      </c>
      <c r="W9" s="195">
        <f>Inputs!AL4</f>
        <v>0.02</v>
      </c>
      <c r="X9" s="195">
        <f>Inputs!AM4</f>
        <v>0.02</v>
      </c>
      <c r="Y9" s="195">
        <f>Inputs!AN4</f>
        <v>0.02</v>
      </c>
      <c r="Z9" s="195">
        <f>Inputs!AO4</f>
        <v>0.02</v>
      </c>
    </row>
    <row r="10" spans="2:26" outlineLevel="1">
      <c r="D10" s="3" t="s">
        <v>65</v>
      </c>
      <c r="E10" s="4" t="s">
        <v>3</v>
      </c>
      <c r="G10" s="194">
        <f>'Inputs sber (-)'!V4</f>
        <v>1.6330999999999998E-2</v>
      </c>
      <c r="H10" s="194">
        <f>'Inputs sber (-)'!W4</f>
        <v>1.46123E-2</v>
      </c>
      <c r="I10" s="194">
        <f>'Inputs sber (-)'!X4</f>
        <v>1.2523400000000001E-2</v>
      </c>
      <c r="J10" s="194">
        <f>'Inputs sber (-)'!Y4</f>
        <v>1.85337E-2</v>
      </c>
      <c r="K10" s="194">
        <f>'Inputs sber (-)'!Z4</f>
        <v>1.6384200000000002E-2</v>
      </c>
      <c r="L10" s="194">
        <f>'Inputs sber (-)'!AA4</f>
        <v>1.9E-2</v>
      </c>
      <c r="M10" s="194">
        <f>'Inputs sber (-)'!AB4</f>
        <v>2.3E-2</v>
      </c>
      <c r="N10" s="194">
        <f>'Inputs sber (-)'!AC4</f>
        <v>1.4E-2</v>
      </c>
      <c r="O10" s="194">
        <f>'Inputs sber (-)'!AD4</f>
        <v>7.0965239828017848E-2</v>
      </c>
      <c r="P10" s="194">
        <f>'Inputs sber (-)'!AE4</f>
        <v>6.5000000000000002E-2</v>
      </c>
      <c r="Q10" s="194">
        <f>'Inputs sber (-)'!AF4</f>
        <v>3.1843454310135098E-2</v>
      </c>
      <c r="R10" s="194">
        <f>'Inputs sber (-)'!AG4</f>
        <v>2.1299826653166605E-2</v>
      </c>
      <c r="S10" s="194">
        <f>'Inputs sber (-)'!AH4</f>
        <v>2.0591825005557212E-2</v>
      </c>
      <c r="T10" s="194">
        <f>'Inputs sber (-)'!AI4</f>
        <v>0.02</v>
      </c>
      <c r="U10" s="194">
        <f>'Inputs sber (-)'!AJ4</f>
        <v>0.02</v>
      </c>
      <c r="V10" s="194">
        <f>'Inputs sber (-)'!AK4</f>
        <v>0.02</v>
      </c>
      <c r="W10" s="194">
        <f>'Inputs sber (-)'!AL4</f>
        <v>0.02</v>
      </c>
      <c r="X10" s="194">
        <f>'Inputs sber (-)'!AM4</f>
        <v>0.02</v>
      </c>
      <c r="Y10" s="194">
        <f>'Inputs sber (-)'!AN4</f>
        <v>0.02</v>
      </c>
      <c r="Z10" s="194">
        <f>'Inputs sber (-)'!AO4</f>
        <v>0.02</v>
      </c>
    </row>
    <row r="11" spans="2:26" outlineLevel="1">
      <c r="D11" s="3" t="s">
        <v>66</v>
      </c>
      <c r="E11" s="4" t="s">
        <v>3</v>
      </c>
      <c r="G11" s="194">
        <f>'Inputs sber (+)'!V4</f>
        <v>1.6330999999999998E-2</v>
      </c>
      <c r="H11" s="194">
        <f>'Inputs sber (+)'!W4</f>
        <v>1.46123E-2</v>
      </c>
      <c r="I11" s="194">
        <f>'Inputs sber (+)'!X4</f>
        <v>1.2523400000000001E-2</v>
      </c>
      <c r="J11" s="194">
        <f>'Inputs sber (+)'!Y4</f>
        <v>1.85337E-2</v>
      </c>
      <c r="K11" s="194">
        <f>'Inputs sber (+)'!Z4</f>
        <v>1.6384200000000002E-2</v>
      </c>
      <c r="L11" s="194">
        <f>'Inputs sber (+)'!AA4</f>
        <v>1.9E-2</v>
      </c>
      <c r="M11" s="194">
        <f>'Inputs sber (+)'!AB4</f>
        <v>2.3E-2</v>
      </c>
      <c r="N11" s="194">
        <f>'Inputs sber (+)'!AC4</f>
        <v>1.4E-2</v>
      </c>
      <c r="O11" s="194">
        <f>'Inputs sber (+)'!AD4</f>
        <v>7.0965239828017848E-2</v>
      </c>
      <c r="P11" s="194">
        <f>'Inputs sber (+)'!AE4</f>
        <v>6.5000000000000002E-2</v>
      </c>
      <c r="Q11" s="194">
        <f>'Inputs sber (+)'!AF4</f>
        <v>3.1843454310135098E-2</v>
      </c>
      <c r="R11" s="194">
        <f>'Inputs sber (+)'!AG4</f>
        <v>1.5707299426945126E-2</v>
      </c>
      <c r="S11" s="194">
        <f>'Inputs sber (+)'!AH4</f>
        <v>2.0591825005557212E-2</v>
      </c>
      <c r="T11" s="194">
        <f>'Inputs sber (+)'!AI4</f>
        <v>0.02</v>
      </c>
      <c r="U11" s="194">
        <f>'Inputs sber (+)'!AJ4</f>
        <v>2.059182500555707E-2</v>
      </c>
      <c r="V11" s="194">
        <f>'Inputs sber (+)'!AK4</f>
        <v>2.059182500555707E-2</v>
      </c>
      <c r="W11" s="194">
        <f>'Inputs sber (+)'!AL4</f>
        <v>2.059182500555707E-2</v>
      </c>
      <c r="X11" s="194">
        <f>'Inputs sber (+)'!AM4</f>
        <v>2.059182500555707E-2</v>
      </c>
      <c r="Y11" s="194">
        <f>'Inputs sber (+)'!AN4</f>
        <v>2.059182500555707E-2</v>
      </c>
      <c r="Z11" s="194">
        <f>'Inputs sber (+)'!AO4</f>
        <v>2.059182500555707E-2</v>
      </c>
    </row>
    <row r="12" spans="2:26" outlineLevel="1"/>
    <row r="13" spans="2:26" outlineLevel="1">
      <c r="D13" s="5" t="s">
        <v>853</v>
      </c>
      <c r="E13" s="4" t="s">
        <v>379</v>
      </c>
      <c r="F13" s="99">
        <f>Scenario!F11</f>
        <v>1</v>
      </c>
      <c r="G13" s="263">
        <f>CHOOSE($F13,G14,G15,G16)</f>
        <v>0</v>
      </c>
      <c r="H13" s="263">
        <f t="shared" ref="H13:Z13" si="21">CHOOSE($F13,H14,H15,H16)</f>
        <v>0</v>
      </c>
      <c r="I13" s="263">
        <f t="shared" si="21"/>
        <v>2.6120999999999999</v>
      </c>
      <c r="J13" s="263">
        <f t="shared" si="21"/>
        <v>2.4946000000000002</v>
      </c>
      <c r="K13" s="263">
        <f t="shared" si="21"/>
        <v>2.9628999999999999</v>
      </c>
      <c r="L13" s="263">
        <f t="shared" si="21"/>
        <v>3.1511</v>
      </c>
      <c r="M13" s="263">
        <f t="shared" si="21"/>
        <v>2.5625</v>
      </c>
      <c r="N13" s="263">
        <f t="shared" si="21"/>
        <v>2.0184176938558518</v>
      </c>
      <c r="O13" s="263">
        <f t="shared" si="21"/>
        <v>3.8514131344088152</v>
      </c>
      <c r="P13" s="263">
        <f t="shared" si="21"/>
        <v>6.4910354256854248</v>
      </c>
      <c r="Q13" s="263">
        <f t="shared" si="21"/>
        <v>3.0184309571958212</v>
      </c>
      <c r="R13" s="263">
        <f t="shared" si="21"/>
        <v>3.9058655038759689</v>
      </c>
      <c r="S13" s="263">
        <f t="shared" si="21"/>
        <v>4.2255601744186038</v>
      </c>
      <c r="T13" s="263">
        <f t="shared" si="21"/>
        <v>4.2067598837209301</v>
      </c>
      <c r="U13" s="263">
        <f t="shared" si="21"/>
        <v>4.1481470930232565</v>
      </c>
      <c r="V13" s="263">
        <f t="shared" si="21"/>
        <v>4.1647396813953499</v>
      </c>
      <c r="W13" s="263">
        <f t="shared" si="21"/>
        <v>4.1813986401209311</v>
      </c>
      <c r="X13" s="263">
        <f t="shared" si="21"/>
        <v>4.1981242346814147</v>
      </c>
      <c r="Y13" s="263">
        <f t="shared" si="21"/>
        <v>4.2149167316201401</v>
      </c>
      <c r="Z13" s="263">
        <f t="shared" si="21"/>
        <v>4.2317763985466206</v>
      </c>
    </row>
    <row r="14" spans="2:26" outlineLevel="1">
      <c r="D14" s="3" t="s">
        <v>64</v>
      </c>
      <c r="E14" s="4" t="s">
        <v>379</v>
      </c>
      <c r="G14" s="264">
        <f>Inputs!V249</f>
        <v>0</v>
      </c>
      <c r="H14" s="264">
        <f>Inputs!W249</f>
        <v>0</v>
      </c>
      <c r="I14" s="264">
        <f>Inputs!X249</f>
        <v>2.6120999999999999</v>
      </c>
      <c r="J14" s="264">
        <f>Inputs!Y249</f>
        <v>2.4946000000000002</v>
      </c>
      <c r="K14" s="264">
        <f>Inputs!Z249</f>
        <v>2.9628999999999999</v>
      </c>
      <c r="L14" s="264">
        <f>Inputs!AA249</f>
        <v>3.1511</v>
      </c>
      <c r="M14" s="264">
        <f>Inputs!AB249</f>
        <v>2.5625</v>
      </c>
      <c r="N14" s="264">
        <f>Inputs!AC249</f>
        <v>2.0184176938558518</v>
      </c>
      <c r="O14" s="264">
        <f>Inputs!AD249</f>
        <v>3.8514131344088152</v>
      </c>
      <c r="P14" s="264">
        <f>Inputs!AE249</f>
        <v>6.4910354256854248</v>
      </c>
      <c r="Q14" s="264">
        <f>Inputs!AF249</f>
        <v>3.0184309571958212</v>
      </c>
      <c r="R14" s="264">
        <f>Inputs!AG249</f>
        <v>3.9058655038759689</v>
      </c>
      <c r="S14" s="264">
        <f>Inputs!AH249</f>
        <v>4.2255601744186038</v>
      </c>
      <c r="T14" s="264">
        <f>Inputs!AI249</f>
        <v>4.2067598837209301</v>
      </c>
      <c r="U14" s="264">
        <f>Inputs!AJ249</f>
        <v>4.1481470930232565</v>
      </c>
      <c r="V14" s="264">
        <f>Inputs!AK249</f>
        <v>4.1647396813953499</v>
      </c>
      <c r="W14" s="264">
        <f>Inputs!AL249</f>
        <v>4.1813986401209311</v>
      </c>
      <c r="X14" s="264">
        <f>Inputs!AM249</f>
        <v>4.1981242346814147</v>
      </c>
      <c r="Y14" s="264">
        <f>Inputs!AN249</f>
        <v>4.2149167316201401</v>
      </c>
      <c r="Z14" s="264">
        <f>Inputs!AO249</f>
        <v>4.2317763985466206</v>
      </c>
    </row>
    <row r="15" spans="2:26" outlineLevel="1">
      <c r="D15" s="3" t="s">
        <v>65</v>
      </c>
      <c r="E15" s="4" t="s">
        <v>379</v>
      </c>
      <c r="G15" s="265">
        <f>'Inputs sber (-)'!V249</f>
        <v>0</v>
      </c>
      <c r="H15" s="265">
        <f>'Inputs sber (-)'!W249</f>
        <v>0</v>
      </c>
      <c r="I15" s="265">
        <f>'Inputs sber (-)'!X249</f>
        <v>2.6120999999999999</v>
      </c>
      <c r="J15" s="265">
        <f>'Inputs sber (-)'!Y249</f>
        <v>2.4946000000000002</v>
      </c>
      <c r="K15" s="265">
        <f>'Inputs sber (-)'!Z249</f>
        <v>2.9628999999999999</v>
      </c>
      <c r="L15" s="265">
        <f>'Inputs sber (-)'!AA249</f>
        <v>3.1511</v>
      </c>
      <c r="M15" s="265">
        <f>'Inputs sber (-)'!AB249</f>
        <v>2.5625</v>
      </c>
      <c r="N15" s="265">
        <f>'Inputs sber (-)'!AC249</f>
        <v>2.0184176938558518</v>
      </c>
      <c r="O15" s="265">
        <f>'Inputs sber (-)'!AD249</f>
        <v>3.8514131344088152</v>
      </c>
      <c r="P15" s="265">
        <f>'Inputs sber (-)'!AE249</f>
        <v>6.4910354256854248</v>
      </c>
      <c r="Q15" s="265">
        <f>'Inputs sber (-)'!AF249</f>
        <v>3.0184309571958212</v>
      </c>
      <c r="R15" s="265">
        <f>'Inputs sber (-)'!AG249</f>
        <v>1.9529327519379844</v>
      </c>
      <c r="S15" s="265">
        <f>'Inputs sber (-)'!AH249</f>
        <v>2.1127800872093019</v>
      </c>
      <c r="T15" s="265">
        <f>'Inputs sber (-)'!AI249</f>
        <v>2.1033799418604651</v>
      </c>
      <c r="U15" s="265">
        <f>'Inputs sber (-)'!AJ249</f>
        <v>2.0740735465116282</v>
      </c>
      <c r="V15" s="265">
        <f>'Inputs sber (-)'!AK249</f>
        <v>2.0740735465116282</v>
      </c>
      <c r="W15" s="265">
        <f>'Inputs sber (-)'!AL249</f>
        <v>2.0740735465116282</v>
      </c>
      <c r="X15" s="265">
        <f>'Inputs sber (-)'!AM249</f>
        <v>2.0740735465116282</v>
      </c>
      <c r="Y15" s="265">
        <f>'Inputs sber (-)'!AN249</f>
        <v>2.0740735465116282</v>
      </c>
      <c r="Z15" s="265">
        <f>'Inputs sber (-)'!AO249</f>
        <v>2.0740735465116282</v>
      </c>
    </row>
    <row r="16" spans="2:26" outlineLevel="1">
      <c r="D16" s="3" t="s">
        <v>66</v>
      </c>
      <c r="E16" s="4" t="s">
        <v>379</v>
      </c>
      <c r="G16" s="265">
        <f>'Inputs sber (+)'!V249</f>
        <v>0</v>
      </c>
      <c r="H16" s="265">
        <f>'Inputs sber (+)'!W249</f>
        <v>0</v>
      </c>
      <c r="I16" s="265">
        <f>'Inputs sber (+)'!X249</f>
        <v>2.6120999999999999</v>
      </c>
      <c r="J16" s="265">
        <f>'Inputs sber (+)'!Y249</f>
        <v>2.4946000000000002</v>
      </c>
      <c r="K16" s="265">
        <f>'Inputs sber (+)'!Z249</f>
        <v>2.9628999999999999</v>
      </c>
      <c r="L16" s="265">
        <f>'Inputs sber (+)'!AA249</f>
        <v>3.1511</v>
      </c>
      <c r="M16" s="265">
        <f>'Inputs sber (+)'!AB249</f>
        <v>2.5625</v>
      </c>
      <c r="N16" s="265">
        <f>'Inputs sber (+)'!AC249</f>
        <v>2.0184176938558518</v>
      </c>
      <c r="O16" s="265">
        <f>'Inputs sber (+)'!AD249</f>
        <v>3.8514131344088152</v>
      </c>
      <c r="P16" s="265">
        <f>'Inputs sber (+)'!AE249</f>
        <v>6.4910354256854248</v>
      </c>
      <c r="Q16" s="265">
        <f>'Inputs sber (+)'!AF249</f>
        <v>3.0184309571958212</v>
      </c>
      <c r="R16" s="265">
        <f>'Inputs sber (+)'!AG249</f>
        <v>5.8587982558139524</v>
      </c>
      <c r="S16" s="265">
        <f>'Inputs sber (+)'!AH249</f>
        <v>6.3383402616279074</v>
      </c>
      <c r="T16" s="265">
        <f>'Inputs sber (+)'!AI249</f>
        <v>6.3101398255813939</v>
      </c>
      <c r="U16" s="265">
        <f>'Inputs sber (+)'!AJ249</f>
        <v>6.2222206395348838</v>
      </c>
      <c r="V16" s="265">
        <f>'Inputs sber (+)'!AK249</f>
        <v>6.3466650523255819</v>
      </c>
      <c r="W16" s="265">
        <f>'Inputs sber (+)'!AL249</f>
        <v>6.4735983533720933</v>
      </c>
      <c r="X16" s="265">
        <f>'Inputs sber (+)'!AM249</f>
        <v>6.6030703204395351</v>
      </c>
      <c r="Y16" s="265">
        <f>'Inputs sber (+)'!AN249</f>
        <v>6.7351317268483255</v>
      </c>
      <c r="Z16" s="265">
        <f>'Inputs sber (+)'!AO249</f>
        <v>6.8698343613852924</v>
      </c>
    </row>
    <row r="17" spans="2:26" outlineLevel="1"/>
    <row r="18" spans="2:26" outlineLevel="1"/>
    <row r="20" spans="2:26">
      <c r="B20" s="1" t="s">
        <v>41</v>
      </c>
      <c r="C20" s="1"/>
      <c r="D20" s="1"/>
      <c r="E20" s="2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2:26" outlineLevel="1"/>
    <row r="22" spans="2:26" outlineLevel="1">
      <c r="C22" s="84" t="s">
        <v>42</v>
      </c>
      <c r="G22" s="89"/>
      <c r="H22" s="89"/>
      <c r="I22" s="89"/>
      <c r="J22" s="89"/>
      <c r="K22" s="89"/>
      <c r="L22" s="89"/>
      <c r="M22" s="89"/>
      <c r="N22" s="89"/>
      <c r="O22" s="89"/>
      <c r="P22" s="89"/>
      <c r="S22" s="89"/>
      <c r="T22" s="89"/>
    </row>
    <row r="23" spans="2:26" outlineLevel="2"/>
    <row r="24" spans="2:26" s="5" customFormat="1" outlineLevel="2">
      <c r="D24" s="5" t="s">
        <v>58</v>
      </c>
      <c r="E24" s="9" t="s">
        <v>43</v>
      </c>
      <c r="F24" s="9"/>
      <c r="G24" s="27">
        <f t="shared" ref="G24:P24" si="22">SUM(G25:G31)</f>
        <v>8340</v>
      </c>
      <c r="H24" s="27">
        <f t="shared" si="22"/>
        <v>8340</v>
      </c>
      <c r="I24" s="27">
        <f t="shared" si="22"/>
        <v>9380</v>
      </c>
      <c r="J24" s="27">
        <f t="shared" si="22"/>
        <v>9380</v>
      </c>
      <c r="K24" s="27">
        <f t="shared" si="22"/>
        <v>9380</v>
      </c>
      <c r="L24" s="27">
        <f t="shared" si="22"/>
        <v>9380</v>
      </c>
      <c r="M24" s="27">
        <f t="shared" si="22"/>
        <v>9150</v>
      </c>
      <c r="N24" s="27">
        <f t="shared" si="22"/>
        <v>9150</v>
      </c>
      <c r="O24" s="27">
        <f t="shared" si="22"/>
        <v>9330</v>
      </c>
      <c r="P24" s="27">
        <f t="shared" si="22"/>
        <v>9330</v>
      </c>
      <c r="Q24" s="27">
        <f t="shared" ref="Q24" si="23">SUM(Q25:Q31)</f>
        <v>9330</v>
      </c>
      <c r="R24" s="27">
        <f t="shared" ref="R24" si="24">SUM(R25:R31)</f>
        <v>11130</v>
      </c>
      <c r="S24" s="27">
        <f t="shared" ref="S24" si="25">SUM(S25:S31)</f>
        <v>11130</v>
      </c>
      <c r="T24" s="27">
        <f t="shared" ref="T24" si="26">SUM(T25:T31)</f>
        <v>11130</v>
      </c>
      <c r="U24" s="27">
        <f t="shared" ref="U24:Z24" si="27">SUM(U25:U31)</f>
        <v>11130</v>
      </c>
      <c r="V24" s="27">
        <f t="shared" si="27"/>
        <v>11130</v>
      </c>
      <c r="W24" s="27">
        <f t="shared" si="27"/>
        <v>11130</v>
      </c>
      <c r="X24" s="27">
        <f t="shared" si="27"/>
        <v>11130</v>
      </c>
      <c r="Y24" s="27">
        <f t="shared" si="27"/>
        <v>11130</v>
      </c>
      <c r="Z24" s="27">
        <f t="shared" si="27"/>
        <v>11130</v>
      </c>
    </row>
    <row r="25" spans="2:26" outlineLevel="2">
      <c r="D25" s="3" t="s">
        <v>786</v>
      </c>
      <c r="E25" s="4" t="s">
        <v>43</v>
      </c>
      <c r="G25" s="13">
        <v>1000</v>
      </c>
      <c r="H25" s="13">
        <v>1000</v>
      </c>
      <c r="I25" s="13">
        <v>2000</v>
      </c>
      <c r="J25" s="13">
        <v>2000</v>
      </c>
      <c r="K25" s="13">
        <v>2000</v>
      </c>
      <c r="L25" s="13">
        <v>2000</v>
      </c>
      <c r="M25" s="13">
        <v>2000</v>
      </c>
      <c r="N25" s="13">
        <v>2000</v>
      </c>
      <c r="O25" s="13">
        <v>2200</v>
      </c>
      <c r="P25" s="13">
        <v>2200</v>
      </c>
      <c r="Q25" s="90">
        <f t="shared" ref="Q25:T25" si="28">P25</f>
        <v>2200</v>
      </c>
      <c r="R25" s="90">
        <f t="shared" si="28"/>
        <v>2200</v>
      </c>
      <c r="S25" s="90">
        <f t="shared" si="28"/>
        <v>2200</v>
      </c>
      <c r="T25" s="90">
        <f t="shared" si="28"/>
        <v>2200</v>
      </c>
      <c r="U25" s="90">
        <f>T25</f>
        <v>2200</v>
      </c>
      <c r="V25" s="90">
        <f t="shared" ref="V25:Z25" si="29">U25</f>
        <v>2200</v>
      </c>
      <c r="W25" s="90">
        <f t="shared" si="29"/>
        <v>2200</v>
      </c>
      <c r="X25" s="90">
        <f t="shared" si="29"/>
        <v>2200</v>
      </c>
      <c r="Y25" s="90">
        <f t="shared" si="29"/>
        <v>2200</v>
      </c>
      <c r="Z25" s="90">
        <f t="shared" si="29"/>
        <v>2200</v>
      </c>
    </row>
    <row r="26" spans="2:26" outlineLevel="2">
      <c r="D26" s="3" t="s">
        <v>785</v>
      </c>
      <c r="E26" s="4" t="s">
        <v>43</v>
      </c>
      <c r="F26" s="92">
        <f>Scenario!$F$33</f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90">
        <f>($F26*Scenario!$F$35)*(Scenario!$F34&lt;=Q2)</f>
        <v>0</v>
      </c>
      <c r="R26" s="90">
        <f>($F26*Scenario!$F$35)*(Scenario!$F34&lt;=R2)</f>
        <v>1800</v>
      </c>
      <c r="S26" s="90">
        <f>($F26*Scenario!$F$35)*(Scenario!$F34&lt;=S2)</f>
        <v>1800</v>
      </c>
      <c r="T26" s="90">
        <f>($F26*Scenario!$F$35)*(Scenario!$F34&lt;=T2)</f>
        <v>1800</v>
      </c>
      <c r="U26" s="90">
        <f>($F26*Scenario!$F$35)*(Scenario!$F34&lt;=U2)</f>
        <v>1800</v>
      </c>
      <c r="V26" s="90">
        <f>($F26*Scenario!$F$35)*(Scenario!$F34&lt;=V2)</f>
        <v>1800</v>
      </c>
      <c r="W26" s="90">
        <f>($F26*Scenario!$F$35)*(Scenario!$F34&lt;=W2)</f>
        <v>1800</v>
      </c>
      <c r="X26" s="90">
        <f>($F26*Scenario!$F$35)*(Scenario!$F34&lt;=X2)</f>
        <v>1800</v>
      </c>
      <c r="Y26" s="90">
        <f>($F26*Scenario!$F$35)*(Scenario!$F34&lt;=Y2)</f>
        <v>1800</v>
      </c>
      <c r="Z26" s="90">
        <f>($F26*Scenario!$F$35)*(Scenario!$F34&lt;=Z2)</f>
        <v>1800</v>
      </c>
    </row>
    <row r="27" spans="2:26" outlineLevel="2">
      <c r="D27" s="3" t="s">
        <v>53</v>
      </c>
      <c r="E27" s="4" t="s">
        <v>43</v>
      </c>
      <c r="G27" s="13">
        <v>2430</v>
      </c>
      <c r="H27" s="13">
        <v>2430</v>
      </c>
      <c r="I27" s="13">
        <v>2430</v>
      </c>
      <c r="J27" s="13">
        <v>2430</v>
      </c>
      <c r="K27" s="13">
        <v>2430</v>
      </c>
      <c r="L27" s="13">
        <v>2430</v>
      </c>
      <c r="M27" s="13">
        <v>2200</v>
      </c>
      <c r="N27" s="13">
        <v>2200</v>
      </c>
      <c r="O27" s="13">
        <v>2200</v>
      </c>
      <c r="P27" s="13">
        <v>2200</v>
      </c>
      <c r="Q27" s="90">
        <f t="shared" ref="Q27:T27" si="30">P27</f>
        <v>2200</v>
      </c>
      <c r="R27" s="90">
        <f t="shared" si="30"/>
        <v>2200</v>
      </c>
      <c r="S27" s="90">
        <f t="shared" si="30"/>
        <v>2200</v>
      </c>
      <c r="T27" s="90">
        <f t="shared" si="30"/>
        <v>2200</v>
      </c>
      <c r="U27" s="90">
        <f t="shared" ref="U27:Z31" si="31">T27</f>
        <v>2200</v>
      </c>
      <c r="V27" s="90">
        <f t="shared" si="31"/>
        <v>2200</v>
      </c>
      <c r="W27" s="90">
        <f t="shared" si="31"/>
        <v>2200</v>
      </c>
      <c r="X27" s="90">
        <f t="shared" si="31"/>
        <v>2200</v>
      </c>
      <c r="Y27" s="90">
        <f t="shared" si="31"/>
        <v>2200</v>
      </c>
      <c r="Z27" s="90">
        <f t="shared" si="31"/>
        <v>2200</v>
      </c>
    </row>
    <row r="28" spans="2:26" outlineLevel="2">
      <c r="D28" s="3" t="s">
        <v>54</v>
      </c>
      <c r="E28" s="4" t="s">
        <v>43</v>
      </c>
      <c r="G28" s="13">
        <v>2000</v>
      </c>
      <c r="H28" s="13">
        <v>2000</v>
      </c>
      <c r="I28" s="13">
        <v>2000</v>
      </c>
      <c r="J28" s="13">
        <v>2000</v>
      </c>
      <c r="K28" s="13">
        <v>2000</v>
      </c>
      <c r="L28" s="13">
        <v>2000</v>
      </c>
      <c r="M28" s="13">
        <v>2000</v>
      </c>
      <c r="N28" s="13">
        <v>2000</v>
      </c>
      <c r="O28" s="13">
        <v>1960</v>
      </c>
      <c r="P28" s="13">
        <v>1960</v>
      </c>
      <c r="Q28" s="90">
        <f t="shared" ref="Q28:T28" si="32">P28</f>
        <v>1960</v>
      </c>
      <c r="R28" s="90">
        <f t="shared" si="32"/>
        <v>1960</v>
      </c>
      <c r="S28" s="90">
        <f t="shared" si="32"/>
        <v>1960</v>
      </c>
      <c r="T28" s="90">
        <f t="shared" si="32"/>
        <v>1960</v>
      </c>
      <c r="U28" s="90">
        <f t="shared" si="31"/>
        <v>1960</v>
      </c>
      <c r="V28" s="90">
        <f t="shared" si="31"/>
        <v>1960</v>
      </c>
      <c r="W28" s="90">
        <f t="shared" si="31"/>
        <v>1960</v>
      </c>
      <c r="X28" s="90">
        <f t="shared" si="31"/>
        <v>1960</v>
      </c>
      <c r="Y28" s="90">
        <f t="shared" si="31"/>
        <v>1960</v>
      </c>
      <c r="Z28" s="90">
        <f t="shared" si="31"/>
        <v>1960</v>
      </c>
    </row>
    <row r="29" spans="2:26" outlineLevel="2">
      <c r="D29" s="3" t="s">
        <v>55</v>
      </c>
      <c r="E29" s="4" t="s">
        <v>43</v>
      </c>
      <c r="G29" s="13">
        <v>1720</v>
      </c>
      <c r="H29" s="13">
        <v>1720</v>
      </c>
      <c r="I29" s="13">
        <v>1720</v>
      </c>
      <c r="J29" s="13">
        <v>1720</v>
      </c>
      <c r="K29" s="13">
        <v>1720</v>
      </c>
      <c r="L29" s="13">
        <v>1720</v>
      </c>
      <c r="M29" s="13">
        <v>1720</v>
      </c>
      <c r="N29" s="13">
        <v>1720</v>
      </c>
      <c r="O29" s="13">
        <v>1700</v>
      </c>
      <c r="P29" s="13">
        <v>1700</v>
      </c>
      <c r="Q29" s="90">
        <f t="shared" ref="Q29:T29" si="33">P29</f>
        <v>1700</v>
      </c>
      <c r="R29" s="90">
        <f t="shared" si="33"/>
        <v>1700</v>
      </c>
      <c r="S29" s="90">
        <f t="shared" si="33"/>
        <v>1700</v>
      </c>
      <c r="T29" s="90">
        <f t="shared" si="33"/>
        <v>1700</v>
      </c>
      <c r="U29" s="90">
        <f t="shared" si="31"/>
        <v>1700</v>
      </c>
      <c r="V29" s="90">
        <f t="shared" si="31"/>
        <v>1700</v>
      </c>
      <c r="W29" s="90">
        <f t="shared" si="31"/>
        <v>1700</v>
      </c>
      <c r="X29" s="90">
        <f t="shared" si="31"/>
        <v>1700</v>
      </c>
      <c r="Y29" s="90">
        <f t="shared" si="31"/>
        <v>1700</v>
      </c>
      <c r="Z29" s="90">
        <f t="shared" si="31"/>
        <v>1700</v>
      </c>
    </row>
    <row r="30" spans="2:26" outlineLevel="2">
      <c r="D30" s="3" t="s">
        <v>56</v>
      </c>
      <c r="E30" s="4" t="s">
        <v>43</v>
      </c>
      <c r="G30" s="13">
        <v>630</v>
      </c>
      <c r="H30" s="13">
        <v>630</v>
      </c>
      <c r="I30" s="13">
        <v>630</v>
      </c>
      <c r="J30" s="13">
        <v>630</v>
      </c>
      <c r="K30" s="13">
        <v>630</v>
      </c>
      <c r="L30" s="13">
        <v>630</v>
      </c>
      <c r="M30" s="13">
        <v>630</v>
      </c>
      <c r="N30" s="13">
        <v>630</v>
      </c>
      <c r="O30" s="13">
        <v>630</v>
      </c>
      <c r="P30" s="13">
        <v>630</v>
      </c>
      <c r="Q30" s="90">
        <f t="shared" ref="Q30:T30" si="34">P30</f>
        <v>630</v>
      </c>
      <c r="R30" s="90">
        <f t="shared" si="34"/>
        <v>630</v>
      </c>
      <c r="S30" s="90">
        <f t="shared" si="34"/>
        <v>630</v>
      </c>
      <c r="T30" s="90">
        <f t="shared" si="34"/>
        <v>630</v>
      </c>
      <c r="U30" s="90">
        <f t="shared" si="31"/>
        <v>630</v>
      </c>
      <c r="V30" s="90">
        <f t="shared" si="31"/>
        <v>630</v>
      </c>
      <c r="W30" s="90">
        <f t="shared" si="31"/>
        <v>630</v>
      </c>
      <c r="X30" s="90">
        <f t="shared" si="31"/>
        <v>630</v>
      </c>
      <c r="Y30" s="90">
        <f t="shared" si="31"/>
        <v>630</v>
      </c>
      <c r="Z30" s="90">
        <f t="shared" si="31"/>
        <v>630</v>
      </c>
    </row>
    <row r="31" spans="2:26" outlineLevel="2">
      <c r="D31" s="3" t="s">
        <v>57</v>
      </c>
      <c r="E31" s="4" t="s">
        <v>43</v>
      </c>
      <c r="G31" s="13">
        <v>560</v>
      </c>
      <c r="H31" s="13">
        <v>560</v>
      </c>
      <c r="I31" s="13">
        <v>600</v>
      </c>
      <c r="J31" s="13">
        <v>600</v>
      </c>
      <c r="K31" s="13">
        <v>600</v>
      </c>
      <c r="L31" s="13">
        <v>600</v>
      </c>
      <c r="M31" s="13">
        <v>600</v>
      </c>
      <c r="N31" s="13">
        <v>600</v>
      </c>
      <c r="O31" s="13">
        <v>640</v>
      </c>
      <c r="P31" s="13">
        <v>640</v>
      </c>
      <c r="Q31" s="90">
        <f t="shared" ref="Q31:T31" si="35">P31</f>
        <v>640</v>
      </c>
      <c r="R31" s="90">
        <f t="shared" si="35"/>
        <v>640</v>
      </c>
      <c r="S31" s="90">
        <f t="shared" si="35"/>
        <v>640</v>
      </c>
      <c r="T31" s="90">
        <f t="shared" si="35"/>
        <v>640</v>
      </c>
      <c r="U31" s="90">
        <f>T31</f>
        <v>640</v>
      </c>
      <c r="V31" s="90">
        <f t="shared" si="31"/>
        <v>640</v>
      </c>
      <c r="W31" s="90">
        <f t="shared" si="31"/>
        <v>640</v>
      </c>
      <c r="X31" s="90">
        <f t="shared" si="31"/>
        <v>640</v>
      </c>
      <c r="Y31" s="90">
        <f t="shared" si="31"/>
        <v>640</v>
      </c>
      <c r="Z31" s="90">
        <f t="shared" si="31"/>
        <v>640</v>
      </c>
    </row>
    <row r="32" spans="2:26" outlineLevel="2">
      <c r="G32" s="87"/>
      <c r="H32" s="87"/>
      <c r="I32" s="87"/>
      <c r="J32" s="87"/>
      <c r="K32" s="87"/>
      <c r="L32" s="87"/>
      <c r="M32" s="87"/>
      <c r="N32" s="87"/>
      <c r="O32" s="87"/>
      <c r="P32" s="87"/>
    </row>
    <row r="33" spans="4:26" s="5" customFormat="1" outlineLevel="2">
      <c r="D33" s="5" t="s">
        <v>42</v>
      </c>
      <c r="E33" s="9" t="s">
        <v>3</v>
      </c>
      <c r="F33" s="92">
        <f>Scenario!F14</f>
        <v>1</v>
      </c>
      <c r="G33" s="91">
        <f>IFERROR(G42/G24,)</f>
        <v>0.52086330935251801</v>
      </c>
      <c r="H33" s="91">
        <f t="shared" ref="H33:Z33" si="36">IFERROR(H42/H24,)</f>
        <v>0.58189448441247005</v>
      </c>
      <c r="I33" s="91">
        <f t="shared" si="36"/>
        <v>0.55362473347547969</v>
      </c>
      <c r="J33" s="91">
        <f t="shared" si="36"/>
        <v>0.74808102345415783</v>
      </c>
      <c r="K33" s="91">
        <f t="shared" si="36"/>
        <v>0.76620469083155651</v>
      </c>
      <c r="L33" s="91">
        <f t="shared" si="36"/>
        <v>0.76876332622601284</v>
      </c>
      <c r="M33" s="91">
        <f t="shared" si="36"/>
        <v>0.82939890710382513</v>
      </c>
      <c r="N33" s="91">
        <f t="shared" si="36"/>
        <v>0.7228415300546448</v>
      </c>
      <c r="O33" s="91">
        <f t="shared" si="36"/>
        <v>0.6981779206859593</v>
      </c>
      <c r="P33" s="91">
        <f>IFERROR(P42/P24,)</f>
        <v>0.65573419078242234</v>
      </c>
      <c r="Q33" s="91">
        <f t="shared" ref="Q33:T33" si="37">IFERROR(Q42/Q24,)</f>
        <v>0.65573419078242234</v>
      </c>
      <c r="R33" s="91">
        <f t="shared" si="37"/>
        <v>0.69523809523809521</v>
      </c>
      <c r="S33" s="91">
        <f t="shared" si="37"/>
        <v>0.69523809523809521</v>
      </c>
      <c r="T33" s="91">
        <f t="shared" si="37"/>
        <v>0.69523809523809521</v>
      </c>
      <c r="U33" s="91">
        <f t="shared" si="36"/>
        <v>0.69523809523809521</v>
      </c>
      <c r="V33" s="91">
        <f t="shared" si="36"/>
        <v>0.69523809523809521</v>
      </c>
      <c r="W33" s="91">
        <f t="shared" si="36"/>
        <v>0.69523809523809521</v>
      </c>
      <c r="X33" s="91">
        <f t="shared" si="36"/>
        <v>0.69523809523809521</v>
      </c>
      <c r="Y33" s="91">
        <f t="shared" si="36"/>
        <v>0.69523809523809521</v>
      </c>
      <c r="Z33" s="91">
        <f t="shared" si="36"/>
        <v>0.69523809523809521</v>
      </c>
    </row>
    <row r="34" spans="4:26" outlineLevel="2">
      <c r="D34" s="3" t="s">
        <v>786</v>
      </c>
      <c r="E34" s="4" t="s">
        <v>3</v>
      </c>
      <c r="G34" s="28">
        <f t="shared" ref="G34:P35" si="38">IFERROR(G43/G25,)</f>
        <v>0</v>
      </c>
      <c r="H34" s="28">
        <f t="shared" si="38"/>
        <v>0</v>
      </c>
      <c r="I34" s="28">
        <f t="shared" si="38"/>
        <v>0.47949999999999998</v>
      </c>
      <c r="J34" s="28">
        <f t="shared" si="38"/>
        <v>1.0275000000000001</v>
      </c>
      <c r="K34" s="28">
        <f t="shared" si="38"/>
        <v>0.96750000000000003</v>
      </c>
      <c r="L34" s="28">
        <f t="shared" si="38"/>
        <v>1.0389999999999999</v>
      </c>
      <c r="M34" s="28">
        <f t="shared" si="38"/>
        <v>0.96450000000000002</v>
      </c>
      <c r="N34" s="28">
        <f t="shared" si="38"/>
        <v>1.02</v>
      </c>
      <c r="O34" s="28">
        <f t="shared" si="38"/>
        <v>0.90409090909090906</v>
      </c>
      <c r="P34" s="28">
        <f t="shared" si="38"/>
        <v>0.92772727272727273</v>
      </c>
      <c r="Q34" s="97">
        <f>CHOOSE($F$33,P34,AVERAGE($G34:$P34),Scenario!$F$15)</f>
        <v>0.92772727272727273</v>
      </c>
      <c r="R34" s="97">
        <f>CHOOSE($F$33,Q34,AVERAGE($G34:$P34),Scenario!$F$15)</f>
        <v>0.92772727272727273</v>
      </c>
      <c r="S34" s="97">
        <f>CHOOSE($F$33,R34,AVERAGE($G34:$P34),Scenario!$F$15)</f>
        <v>0.92772727272727273</v>
      </c>
      <c r="T34" s="97">
        <f>CHOOSE($F$33,S34,AVERAGE($G34:$P34),Scenario!$F$15)</f>
        <v>0.92772727272727273</v>
      </c>
      <c r="U34" s="97">
        <f>CHOOSE($F$33,T34,AVERAGE($G34:$P34),Scenario!$F$15)</f>
        <v>0.92772727272727273</v>
      </c>
      <c r="V34" s="97">
        <f>CHOOSE($F$33,U34,AVERAGE($G34:$P34),Scenario!$F$15)</f>
        <v>0.92772727272727273</v>
      </c>
      <c r="W34" s="97">
        <f>CHOOSE($F$33,V34,AVERAGE($G34:$P34),Scenario!$F$15)</f>
        <v>0.92772727272727273</v>
      </c>
      <c r="X34" s="97">
        <f>CHOOSE($F$33,W34,AVERAGE($G34:$P34),Scenario!$F$15)</f>
        <v>0.92772727272727273</v>
      </c>
      <c r="Y34" s="97">
        <f>CHOOSE($F$33,X34,AVERAGE($G34:$P34),Scenario!$F$15)</f>
        <v>0.92772727272727273</v>
      </c>
      <c r="Z34" s="97">
        <f>CHOOSE($F$33,Y34,AVERAGE($G34:$P34),Scenario!$F$15)</f>
        <v>0.92772727272727273</v>
      </c>
    </row>
    <row r="35" spans="4:26" outlineLevel="2">
      <c r="D35" s="3" t="s">
        <v>785</v>
      </c>
      <c r="E35" s="4" t="s">
        <v>43</v>
      </c>
      <c r="F35" s="92">
        <f>Scenario!$F$33</f>
        <v>1</v>
      </c>
      <c r="G35" s="28">
        <f t="shared" si="38"/>
        <v>0</v>
      </c>
      <c r="H35" s="28">
        <f t="shared" si="38"/>
        <v>0</v>
      </c>
      <c r="I35" s="28">
        <f t="shared" si="38"/>
        <v>0</v>
      </c>
      <c r="J35" s="28">
        <f t="shared" si="38"/>
        <v>0</v>
      </c>
      <c r="K35" s="28">
        <f t="shared" si="38"/>
        <v>0</v>
      </c>
      <c r="L35" s="28">
        <f t="shared" si="38"/>
        <v>0</v>
      </c>
      <c r="M35" s="28">
        <f t="shared" si="38"/>
        <v>0</v>
      </c>
      <c r="N35" s="28">
        <f t="shared" si="38"/>
        <v>0</v>
      </c>
      <c r="O35" s="28">
        <f t="shared" si="38"/>
        <v>0</v>
      </c>
      <c r="P35" s="28">
        <f t="shared" si="38"/>
        <v>0</v>
      </c>
      <c r="Q35" s="191">
        <f>($F35*Scenario!$F$36)*(Scenario!$F34&lt;=Q2)</f>
        <v>0</v>
      </c>
      <c r="R35" s="191">
        <f>($F35*Scenario!$F$36)*(Scenario!$F34&lt;=R2)</f>
        <v>0.9</v>
      </c>
      <c r="S35" s="191">
        <f>($F35*Scenario!$F$36)*(Scenario!$F34&lt;=S2)</f>
        <v>0.9</v>
      </c>
      <c r="T35" s="191">
        <f>($F35*Scenario!$F$36)*(Scenario!$F34&lt;=T2)</f>
        <v>0.9</v>
      </c>
      <c r="U35" s="191">
        <f>($F35*Scenario!$F$36)*(Scenario!$F34&lt;=U2)</f>
        <v>0.9</v>
      </c>
      <c r="V35" s="191">
        <f>($F35*Scenario!$F$36)*(Scenario!$F34&lt;=V2)</f>
        <v>0.9</v>
      </c>
      <c r="W35" s="191">
        <f>($F35*Scenario!$F$36)*(Scenario!$F34&lt;=W2)</f>
        <v>0.9</v>
      </c>
      <c r="X35" s="191">
        <f>($F35*Scenario!$F$36)*(Scenario!$F34&lt;=X2)</f>
        <v>0.9</v>
      </c>
      <c r="Y35" s="191">
        <f>($F35*Scenario!$F$36)*(Scenario!$F34&lt;=Y2)</f>
        <v>0.9</v>
      </c>
      <c r="Z35" s="191">
        <f>($F35*Scenario!$F$36)*(Scenario!$F34&lt;=Z2)</f>
        <v>0.9</v>
      </c>
    </row>
    <row r="36" spans="4:26" outlineLevel="2">
      <c r="D36" s="3" t="s">
        <v>53</v>
      </c>
      <c r="E36" s="4" t="s">
        <v>3</v>
      </c>
      <c r="G36" s="28">
        <f t="shared" ref="G36:P36" si="39">IFERROR(G45/G27,)</f>
        <v>0.58395061728395059</v>
      </c>
      <c r="H36" s="28">
        <f t="shared" si="39"/>
        <v>0.90370370370370368</v>
      </c>
      <c r="I36" s="28">
        <f t="shared" si="39"/>
        <v>0.76378600823045273</v>
      </c>
      <c r="J36" s="28">
        <f t="shared" si="39"/>
        <v>0.89753086419753081</v>
      </c>
      <c r="K36" s="28">
        <f t="shared" si="39"/>
        <v>0.79958847736625516</v>
      </c>
      <c r="L36" s="28">
        <f t="shared" si="39"/>
        <v>0.66090534979423865</v>
      </c>
      <c r="M36" s="28">
        <f t="shared" si="39"/>
        <v>0.84772727272727277</v>
      </c>
      <c r="N36" s="28">
        <f t="shared" si="39"/>
        <v>0.76</v>
      </c>
      <c r="O36" s="28">
        <f t="shared" si="39"/>
        <v>0.61272727272727268</v>
      </c>
      <c r="P36" s="28">
        <f t="shared" si="39"/>
        <v>0.55909090909090908</v>
      </c>
      <c r="Q36" s="97">
        <f>CHOOSE($F$33,P36,AVERAGE($G36:$P36),Scenario!$F$15)</f>
        <v>0.55909090909090908</v>
      </c>
      <c r="R36" s="97">
        <f>CHOOSE($F$33,Q36,AVERAGE($G36:$P36),Scenario!$F$15)</f>
        <v>0.55909090909090908</v>
      </c>
      <c r="S36" s="97">
        <f>CHOOSE($F$33,R36,AVERAGE($G36:$P36),Scenario!$F$15)</f>
        <v>0.55909090909090908</v>
      </c>
      <c r="T36" s="97">
        <f>CHOOSE($F$33,S36,AVERAGE($G36:$P36),Scenario!$F$15)</f>
        <v>0.55909090909090908</v>
      </c>
      <c r="U36" s="97">
        <f>CHOOSE($F$33,T36,AVERAGE($G36:$P36),Scenario!$F$15)</f>
        <v>0.55909090909090908</v>
      </c>
      <c r="V36" s="97">
        <f>CHOOSE($F$33,U36,AVERAGE($G36:$P36),Scenario!$F$15)</f>
        <v>0.55909090909090908</v>
      </c>
      <c r="W36" s="97">
        <f>CHOOSE($F$33,V36,AVERAGE($G36:$P36),Scenario!$F$15)</f>
        <v>0.55909090909090908</v>
      </c>
      <c r="X36" s="97">
        <f>CHOOSE($F$33,W36,AVERAGE($G36:$P36),Scenario!$F$15)</f>
        <v>0.55909090909090908</v>
      </c>
      <c r="Y36" s="97">
        <f>CHOOSE($F$33,X36,AVERAGE($G36:$P36),Scenario!$F$15)</f>
        <v>0.55909090909090908</v>
      </c>
      <c r="Z36" s="97">
        <f>CHOOSE($F$33,Y36,AVERAGE($G36:$P36),Scenario!$F$15)</f>
        <v>0.55909090909090908</v>
      </c>
    </row>
    <row r="37" spans="4:26" outlineLevel="2">
      <c r="D37" s="3" t="s">
        <v>54</v>
      </c>
      <c r="E37" s="4" t="s">
        <v>3</v>
      </c>
      <c r="G37" s="28">
        <f t="shared" ref="G37:P37" si="40">IFERROR(G46/G28,)</f>
        <v>0.81100000000000005</v>
      </c>
      <c r="H37" s="28">
        <f t="shared" si="40"/>
        <v>0.78549999999999998</v>
      </c>
      <c r="I37" s="28">
        <f t="shared" si="40"/>
        <v>0.82199999999999995</v>
      </c>
      <c r="J37" s="28">
        <f t="shared" si="40"/>
        <v>0.80249999999999999</v>
      </c>
      <c r="K37" s="28">
        <f t="shared" si="40"/>
        <v>0.88400000000000001</v>
      </c>
      <c r="L37" s="28">
        <f t="shared" si="40"/>
        <v>0.85099999999999998</v>
      </c>
      <c r="M37" s="28">
        <f t="shared" si="40"/>
        <v>0.87150000000000005</v>
      </c>
      <c r="N37" s="28">
        <f t="shared" si="40"/>
        <v>0.499</v>
      </c>
      <c r="O37" s="28">
        <f t="shared" si="40"/>
        <v>0.59234693877551026</v>
      </c>
      <c r="P37" s="28">
        <f t="shared" si="40"/>
        <v>0.5005102040816326</v>
      </c>
      <c r="Q37" s="97">
        <f>CHOOSE($F$33,P37,AVERAGE($G37:$P37),Scenario!$F$15)</f>
        <v>0.5005102040816326</v>
      </c>
      <c r="R37" s="97">
        <f>CHOOSE($F$33,Q37,AVERAGE($G37:$P37),Scenario!$F$15)</f>
        <v>0.5005102040816326</v>
      </c>
      <c r="S37" s="97">
        <f>CHOOSE($F$33,R37,AVERAGE($G37:$P37),Scenario!$F$15)</f>
        <v>0.5005102040816326</v>
      </c>
      <c r="T37" s="97">
        <f>CHOOSE($F$33,S37,AVERAGE($G37:$P37),Scenario!$F$15)</f>
        <v>0.5005102040816326</v>
      </c>
      <c r="U37" s="97">
        <f>CHOOSE($F$33,T37,AVERAGE($G37:$P37),Scenario!$F$15)</f>
        <v>0.5005102040816326</v>
      </c>
      <c r="V37" s="97">
        <f>CHOOSE($F$33,U37,AVERAGE($G37:$P37),Scenario!$F$15)</f>
        <v>0.5005102040816326</v>
      </c>
      <c r="W37" s="97">
        <f>CHOOSE($F$33,V37,AVERAGE($G37:$P37),Scenario!$F$15)</f>
        <v>0.5005102040816326</v>
      </c>
      <c r="X37" s="97">
        <f>CHOOSE($F$33,W37,AVERAGE($G37:$P37),Scenario!$F$15)</f>
        <v>0.5005102040816326</v>
      </c>
      <c r="Y37" s="97">
        <f>CHOOSE($F$33,X37,AVERAGE($G37:$P37),Scenario!$F$15)</f>
        <v>0.5005102040816326</v>
      </c>
      <c r="Z37" s="97">
        <f>CHOOSE($F$33,Y37,AVERAGE($G37:$P37),Scenario!$F$15)</f>
        <v>0.5005102040816326</v>
      </c>
    </row>
    <row r="38" spans="4:26" outlineLevel="2">
      <c r="D38" s="3" t="s">
        <v>55</v>
      </c>
      <c r="E38" s="4" t="s">
        <v>3</v>
      </c>
      <c r="G38" s="28">
        <f t="shared" ref="G38:P38" si="41">IFERROR(G47/G29,)</f>
        <v>0.1186046511627907</v>
      </c>
      <c r="H38" s="28">
        <f t="shared" si="41"/>
        <v>9.5930232558139539E-2</v>
      </c>
      <c r="I38" s="28">
        <f t="shared" si="41"/>
        <v>0.1186046511627907</v>
      </c>
      <c r="J38" s="28">
        <f t="shared" si="41"/>
        <v>0.22965116279069767</v>
      </c>
      <c r="K38" s="28">
        <f t="shared" si="41"/>
        <v>0.24069767441860465</v>
      </c>
      <c r="L38" s="28">
        <f t="shared" si="41"/>
        <v>0.35581395348837208</v>
      </c>
      <c r="M38" s="28">
        <f t="shared" si="41"/>
        <v>0.61046511627906974</v>
      </c>
      <c r="N38" s="28">
        <f t="shared" si="41"/>
        <v>0.48604651162790696</v>
      </c>
      <c r="O38" s="28">
        <f t="shared" si="41"/>
        <v>0.4747058823529412</v>
      </c>
      <c r="P38" s="28">
        <f t="shared" si="41"/>
        <v>0.52235294117647058</v>
      </c>
      <c r="Q38" s="97">
        <f>CHOOSE($F$33,P38,AVERAGE($G38:$P38),Scenario!$F$15)</f>
        <v>0.52235294117647058</v>
      </c>
      <c r="R38" s="97">
        <f>CHOOSE($F$33,Q38,AVERAGE($G38:$P38),Scenario!$F$15)</f>
        <v>0.52235294117647058</v>
      </c>
      <c r="S38" s="97">
        <f>CHOOSE($F$33,R38,AVERAGE($G38:$P38),Scenario!$F$15)</f>
        <v>0.52235294117647058</v>
      </c>
      <c r="T38" s="97">
        <f>CHOOSE($F$33,S38,AVERAGE($G38:$P38),Scenario!$F$15)</f>
        <v>0.52235294117647058</v>
      </c>
      <c r="U38" s="97">
        <f>CHOOSE($F$33,T38,AVERAGE($G38:$P38),Scenario!$F$15)</f>
        <v>0.52235294117647058</v>
      </c>
      <c r="V38" s="97">
        <f>CHOOSE($F$33,U38,AVERAGE($G38:$P38),Scenario!$F$15)</f>
        <v>0.52235294117647058</v>
      </c>
      <c r="W38" s="97">
        <f>CHOOSE($F$33,V38,AVERAGE($G38:$P38),Scenario!$F$15)</f>
        <v>0.52235294117647058</v>
      </c>
      <c r="X38" s="97">
        <f>CHOOSE($F$33,W38,AVERAGE($G38:$P38),Scenario!$F$15)</f>
        <v>0.52235294117647058</v>
      </c>
      <c r="Y38" s="97">
        <f>CHOOSE($F$33,X38,AVERAGE($G38:$P38),Scenario!$F$15)</f>
        <v>0.52235294117647058</v>
      </c>
      <c r="Z38" s="97">
        <f>CHOOSE($F$33,Y38,AVERAGE($G38:$P38),Scenario!$F$15)</f>
        <v>0.52235294117647058</v>
      </c>
    </row>
    <row r="39" spans="4:26" outlineLevel="2">
      <c r="D39" s="3" t="s">
        <v>56</v>
      </c>
      <c r="E39" s="4" t="s">
        <v>3</v>
      </c>
      <c r="G39" s="28">
        <f t="shared" ref="G39:P39" si="42">IFERROR(G48/G30,)</f>
        <v>0.98888888888888893</v>
      </c>
      <c r="H39" s="28">
        <f t="shared" si="42"/>
        <v>0.6603174603174603</v>
      </c>
      <c r="I39" s="28">
        <f t="shared" si="42"/>
        <v>0.11746031746031746</v>
      </c>
      <c r="J39" s="28">
        <f t="shared" si="42"/>
        <v>0.46507936507936509</v>
      </c>
      <c r="K39" s="28">
        <f t="shared" si="42"/>
        <v>0.84761904761904761</v>
      </c>
      <c r="L39" s="28">
        <f t="shared" si="42"/>
        <v>0.973015873015873</v>
      </c>
      <c r="M39" s="28">
        <f t="shared" si="42"/>
        <v>0.62222222222222223</v>
      </c>
      <c r="N39" s="28">
        <f t="shared" si="42"/>
        <v>0.91746031746031742</v>
      </c>
      <c r="O39" s="28">
        <f t="shared" si="42"/>
        <v>0.92222222222222228</v>
      </c>
      <c r="P39" s="28">
        <f t="shared" si="42"/>
        <v>0.61111111111111116</v>
      </c>
      <c r="Q39" s="97">
        <f>CHOOSE($F$33,P39,AVERAGE($G39:$P39),Scenario!$F$15)</f>
        <v>0.61111111111111116</v>
      </c>
      <c r="R39" s="97">
        <f>CHOOSE($F$33,Q39,AVERAGE($G39:$P39),Scenario!$F$15)</f>
        <v>0.61111111111111116</v>
      </c>
      <c r="S39" s="97">
        <f>CHOOSE($F$33,R39,AVERAGE($G39:$P39),Scenario!$F$15)</f>
        <v>0.61111111111111116</v>
      </c>
      <c r="T39" s="97">
        <f>CHOOSE($F$33,S39,AVERAGE($G39:$P39),Scenario!$F$15)</f>
        <v>0.61111111111111116</v>
      </c>
      <c r="U39" s="97">
        <f>CHOOSE($F$33,T39,AVERAGE($G39:$P39),Scenario!$F$15)</f>
        <v>0.61111111111111116</v>
      </c>
      <c r="V39" s="97">
        <f>CHOOSE($F$33,U39,AVERAGE($G39:$P39),Scenario!$F$15)</f>
        <v>0.61111111111111116</v>
      </c>
      <c r="W39" s="97">
        <f>CHOOSE($F$33,V39,AVERAGE($G39:$P39),Scenario!$F$15)</f>
        <v>0.61111111111111116</v>
      </c>
      <c r="X39" s="97">
        <f>CHOOSE($F$33,W39,AVERAGE($G39:$P39),Scenario!$F$15)</f>
        <v>0.61111111111111116</v>
      </c>
      <c r="Y39" s="97">
        <f>CHOOSE($F$33,X39,AVERAGE($G39:$P39),Scenario!$F$15)</f>
        <v>0.61111111111111116</v>
      </c>
      <c r="Z39" s="97">
        <f>CHOOSE($F$33,Y39,AVERAGE($G39:$P39),Scenario!$F$15)</f>
        <v>0.61111111111111116</v>
      </c>
    </row>
    <row r="40" spans="4:26" outlineLevel="2">
      <c r="D40" s="3" t="s">
        <v>57</v>
      </c>
      <c r="E40" s="4" t="s">
        <v>3</v>
      </c>
      <c r="G40" s="28">
        <f t="shared" ref="G40:P40" si="43">IFERROR(G49/G31,)</f>
        <v>0.85</v>
      </c>
      <c r="H40" s="28">
        <f t="shared" si="43"/>
        <v>0.9017857142857143</v>
      </c>
      <c r="I40" s="28">
        <f t="shared" si="43"/>
        <v>0.76</v>
      </c>
      <c r="J40" s="28">
        <f t="shared" si="43"/>
        <v>0.81333333333333335</v>
      </c>
      <c r="K40" s="28">
        <f t="shared" si="43"/>
        <v>0.98833333333333329</v>
      </c>
      <c r="L40" s="28">
        <f t="shared" si="43"/>
        <v>1</v>
      </c>
      <c r="M40" s="28">
        <f t="shared" si="43"/>
        <v>1.0166666666666666</v>
      </c>
      <c r="N40" s="28">
        <f t="shared" si="43"/>
        <v>0.81666666666666665</v>
      </c>
      <c r="O40" s="28">
        <f t="shared" si="43"/>
        <v>0.98124999999999996</v>
      </c>
      <c r="P40" s="28">
        <f t="shared" si="43"/>
        <v>0.92656249999999996</v>
      </c>
      <c r="Q40" s="97">
        <f>CHOOSE($F$33,P40,AVERAGE($G40:$P40),Scenario!$F$15)</f>
        <v>0.92656249999999996</v>
      </c>
      <c r="R40" s="97">
        <f>CHOOSE($F$33,Q40,AVERAGE($G40:$P40),Scenario!$F$15)</f>
        <v>0.92656249999999996</v>
      </c>
      <c r="S40" s="97">
        <f>CHOOSE($F$33,R40,AVERAGE($G40:$P40),Scenario!$F$15)</f>
        <v>0.92656249999999996</v>
      </c>
      <c r="T40" s="97">
        <f>CHOOSE($F$33,S40,AVERAGE($G40:$P40),Scenario!$F$15)</f>
        <v>0.92656249999999996</v>
      </c>
      <c r="U40" s="97">
        <f>CHOOSE($F$33,T40,AVERAGE($G40:$P40),Scenario!$F$15)</f>
        <v>0.92656249999999996</v>
      </c>
      <c r="V40" s="97">
        <f>CHOOSE($F$33,U40,AVERAGE($G40:$P40),Scenario!$F$15)</f>
        <v>0.92656249999999996</v>
      </c>
      <c r="W40" s="97">
        <f>CHOOSE($F$33,V40,AVERAGE($G40:$P40),Scenario!$F$15)</f>
        <v>0.92656249999999996</v>
      </c>
      <c r="X40" s="97">
        <f>CHOOSE($F$33,W40,AVERAGE($G40:$P40),Scenario!$F$15)</f>
        <v>0.92656249999999996</v>
      </c>
      <c r="Y40" s="97">
        <f>CHOOSE($F$33,X40,AVERAGE($G40:$P40),Scenario!$F$15)</f>
        <v>0.92656249999999996</v>
      </c>
      <c r="Z40" s="97">
        <f>CHOOSE($F$33,Y40,AVERAGE($G40:$P40),Scenario!$F$15)</f>
        <v>0.92656249999999996</v>
      </c>
    </row>
    <row r="41" spans="4:26" outlineLevel="2">
      <c r="G41" s="87"/>
      <c r="H41" s="87"/>
      <c r="I41" s="87"/>
      <c r="J41" s="87"/>
      <c r="K41" s="87"/>
      <c r="L41" s="87"/>
      <c r="M41" s="87"/>
      <c r="N41" s="87"/>
      <c r="O41" s="87"/>
      <c r="P41" s="87"/>
    </row>
    <row r="42" spans="4:26" s="5" customFormat="1" outlineLevel="2">
      <c r="D42" s="5" t="s">
        <v>59</v>
      </c>
      <c r="E42" s="9" t="s">
        <v>43</v>
      </c>
      <c r="F42" s="9"/>
      <c r="G42" s="27">
        <f t="shared" ref="G42:P42" si="44">SUM(G43:G49)</f>
        <v>4344</v>
      </c>
      <c r="H42" s="27">
        <f t="shared" si="44"/>
        <v>4853</v>
      </c>
      <c r="I42" s="27">
        <f t="shared" si="44"/>
        <v>5193</v>
      </c>
      <c r="J42" s="27">
        <f t="shared" si="44"/>
        <v>7017</v>
      </c>
      <c r="K42" s="27">
        <f t="shared" si="44"/>
        <v>7187</v>
      </c>
      <c r="L42" s="27">
        <f t="shared" si="44"/>
        <v>7211</v>
      </c>
      <c r="M42" s="27">
        <f t="shared" si="44"/>
        <v>7589</v>
      </c>
      <c r="N42" s="27">
        <f t="shared" si="44"/>
        <v>6614</v>
      </c>
      <c r="O42" s="27">
        <f t="shared" si="44"/>
        <v>6514</v>
      </c>
      <c r="P42" s="27">
        <f t="shared" si="44"/>
        <v>6118</v>
      </c>
      <c r="Q42" s="27">
        <f t="shared" ref="Q42" si="45">SUM(Q43:Q49)</f>
        <v>6118</v>
      </c>
      <c r="R42" s="27">
        <f t="shared" ref="R42" si="46">SUM(R43:R49)</f>
        <v>7738</v>
      </c>
      <c r="S42" s="27">
        <f t="shared" ref="S42" si="47">SUM(S43:S49)</f>
        <v>7738</v>
      </c>
      <c r="T42" s="27">
        <f t="shared" ref="T42" si="48">SUM(T43:T49)</f>
        <v>7738</v>
      </c>
      <c r="U42" s="27">
        <f t="shared" ref="U42:Z42" si="49">SUM(U43:U49)</f>
        <v>7738</v>
      </c>
      <c r="V42" s="27">
        <f t="shared" si="49"/>
        <v>7738</v>
      </c>
      <c r="W42" s="27">
        <f t="shared" si="49"/>
        <v>7738</v>
      </c>
      <c r="X42" s="27">
        <f t="shared" si="49"/>
        <v>7738</v>
      </c>
      <c r="Y42" s="27">
        <f t="shared" si="49"/>
        <v>7738</v>
      </c>
      <c r="Z42" s="27">
        <f t="shared" si="49"/>
        <v>7738</v>
      </c>
    </row>
    <row r="43" spans="4:26" outlineLevel="2">
      <c r="D43" s="3" t="s">
        <v>786</v>
      </c>
      <c r="E43" s="4" t="s">
        <v>43</v>
      </c>
      <c r="G43" s="13">
        <v>0</v>
      </c>
      <c r="H43" s="13">
        <v>0</v>
      </c>
      <c r="I43" s="13">
        <v>959</v>
      </c>
      <c r="J43" s="13">
        <v>2055</v>
      </c>
      <c r="K43" s="13">
        <v>1935</v>
      </c>
      <c r="L43" s="13">
        <v>2078</v>
      </c>
      <c r="M43" s="13">
        <v>1929</v>
      </c>
      <c r="N43" s="13">
        <v>2040</v>
      </c>
      <c r="O43" s="13">
        <v>1989</v>
      </c>
      <c r="P43" s="13">
        <v>2041</v>
      </c>
      <c r="Q43" s="24">
        <f t="shared" ref="Q43:T44" si="50">Q34*Q25</f>
        <v>2041</v>
      </c>
      <c r="R43" s="24">
        <f t="shared" si="50"/>
        <v>2041</v>
      </c>
      <c r="S43" s="24">
        <f t="shared" si="50"/>
        <v>2041</v>
      </c>
      <c r="T43" s="24">
        <f t="shared" si="50"/>
        <v>2041</v>
      </c>
      <c r="U43" s="24">
        <f t="shared" ref="U43:U49" si="51">U34*U25</f>
        <v>2041</v>
      </c>
      <c r="V43" s="24">
        <f t="shared" ref="V43:Z44" si="52">V34*V25</f>
        <v>2041</v>
      </c>
      <c r="W43" s="24">
        <f t="shared" si="52"/>
        <v>2041</v>
      </c>
      <c r="X43" s="24">
        <f t="shared" si="52"/>
        <v>2041</v>
      </c>
      <c r="Y43" s="24">
        <f t="shared" si="52"/>
        <v>2041</v>
      </c>
      <c r="Z43" s="24">
        <f t="shared" si="52"/>
        <v>2041</v>
      </c>
    </row>
    <row r="44" spans="4:26" outlineLevel="2">
      <c r="D44" s="3" t="s">
        <v>785</v>
      </c>
      <c r="E44" s="4" t="s">
        <v>43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24">
        <f t="shared" si="50"/>
        <v>0</v>
      </c>
      <c r="R44" s="24">
        <f t="shared" si="50"/>
        <v>1620</v>
      </c>
      <c r="S44" s="24">
        <f t="shared" si="50"/>
        <v>1620</v>
      </c>
      <c r="T44" s="24">
        <f t="shared" si="50"/>
        <v>1620</v>
      </c>
      <c r="U44" s="24">
        <f t="shared" si="51"/>
        <v>1620</v>
      </c>
      <c r="V44" s="24">
        <f t="shared" si="52"/>
        <v>1620</v>
      </c>
      <c r="W44" s="24">
        <f t="shared" si="52"/>
        <v>1620</v>
      </c>
      <c r="X44" s="24">
        <f t="shared" si="52"/>
        <v>1620</v>
      </c>
      <c r="Y44" s="24">
        <f t="shared" si="52"/>
        <v>1620</v>
      </c>
      <c r="Z44" s="24">
        <f t="shared" si="52"/>
        <v>1620</v>
      </c>
    </row>
    <row r="45" spans="4:26" outlineLevel="2">
      <c r="D45" s="3" t="s">
        <v>53</v>
      </c>
      <c r="E45" s="4" t="s">
        <v>43</v>
      </c>
      <c r="G45" s="13">
        <v>1419</v>
      </c>
      <c r="H45" s="13">
        <v>2196</v>
      </c>
      <c r="I45" s="13">
        <v>1856</v>
      </c>
      <c r="J45" s="13">
        <v>2181</v>
      </c>
      <c r="K45" s="13">
        <v>1943</v>
      </c>
      <c r="L45" s="13">
        <v>1606</v>
      </c>
      <c r="M45" s="13">
        <v>1865</v>
      </c>
      <c r="N45" s="13">
        <v>1672</v>
      </c>
      <c r="O45" s="13">
        <v>1348</v>
      </c>
      <c r="P45" s="13">
        <v>1230</v>
      </c>
      <c r="Q45" s="24">
        <f t="shared" ref="Q45:T45" si="53">Q36*Q27</f>
        <v>1230</v>
      </c>
      <c r="R45" s="24">
        <f t="shared" si="53"/>
        <v>1230</v>
      </c>
      <c r="S45" s="24">
        <f t="shared" si="53"/>
        <v>1230</v>
      </c>
      <c r="T45" s="24">
        <f t="shared" si="53"/>
        <v>1230</v>
      </c>
      <c r="U45" s="24">
        <f t="shared" si="51"/>
        <v>1230</v>
      </c>
      <c r="V45" s="24">
        <f t="shared" ref="V45:Z49" si="54">V36*V27</f>
        <v>1230</v>
      </c>
      <c r="W45" s="24">
        <f t="shared" si="54"/>
        <v>1230</v>
      </c>
      <c r="X45" s="24">
        <f t="shared" si="54"/>
        <v>1230</v>
      </c>
      <c r="Y45" s="24">
        <f t="shared" si="54"/>
        <v>1230</v>
      </c>
      <c r="Z45" s="24">
        <f t="shared" si="54"/>
        <v>1230</v>
      </c>
    </row>
    <row r="46" spans="4:26" outlineLevel="2">
      <c r="D46" s="3" t="s">
        <v>54</v>
      </c>
      <c r="E46" s="4" t="s">
        <v>43</v>
      </c>
      <c r="G46" s="13">
        <f>651+971</f>
        <v>1622</v>
      </c>
      <c r="H46" s="13">
        <f>907+664</f>
        <v>1571</v>
      </c>
      <c r="I46" s="13">
        <v>1644</v>
      </c>
      <c r="J46" s="13">
        <v>1605</v>
      </c>
      <c r="K46" s="13">
        <v>1768</v>
      </c>
      <c r="L46" s="13">
        <v>1702</v>
      </c>
      <c r="M46" s="13">
        <v>1743</v>
      </c>
      <c r="N46" s="13">
        <v>998</v>
      </c>
      <c r="O46" s="13">
        <v>1161</v>
      </c>
      <c r="P46" s="13">
        <v>981</v>
      </c>
      <c r="Q46" s="24">
        <f t="shared" ref="Q46:T46" si="55">Q37*Q28</f>
        <v>980.99999999999989</v>
      </c>
      <c r="R46" s="24">
        <f t="shared" si="55"/>
        <v>980.99999999999989</v>
      </c>
      <c r="S46" s="24">
        <f t="shared" si="55"/>
        <v>980.99999999999989</v>
      </c>
      <c r="T46" s="24">
        <f t="shared" si="55"/>
        <v>980.99999999999989</v>
      </c>
      <c r="U46" s="24">
        <f t="shared" si="51"/>
        <v>980.99999999999989</v>
      </c>
      <c r="V46" s="24">
        <f t="shared" si="54"/>
        <v>980.99999999999989</v>
      </c>
      <c r="W46" s="24">
        <f t="shared" si="54"/>
        <v>980.99999999999989</v>
      </c>
      <c r="X46" s="24">
        <f t="shared" si="54"/>
        <v>980.99999999999989</v>
      </c>
      <c r="Y46" s="24">
        <f t="shared" si="54"/>
        <v>980.99999999999989</v>
      </c>
      <c r="Z46" s="24">
        <f t="shared" si="54"/>
        <v>980.99999999999989</v>
      </c>
    </row>
    <row r="47" spans="4:26" outlineLevel="2">
      <c r="D47" s="3" t="s">
        <v>55</v>
      </c>
      <c r="E47" s="4" t="s">
        <v>43</v>
      </c>
      <c r="G47" s="13">
        <v>204</v>
      </c>
      <c r="H47" s="13">
        <v>165</v>
      </c>
      <c r="I47" s="13">
        <v>204</v>
      </c>
      <c r="J47" s="13">
        <v>395</v>
      </c>
      <c r="K47" s="13">
        <v>414</v>
      </c>
      <c r="L47" s="13">
        <v>612</v>
      </c>
      <c r="M47" s="13">
        <v>1050</v>
      </c>
      <c r="N47" s="13">
        <v>836</v>
      </c>
      <c r="O47" s="13">
        <v>807</v>
      </c>
      <c r="P47" s="13">
        <v>888</v>
      </c>
      <c r="Q47" s="24">
        <f t="shared" ref="Q47:T47" si="56">Q38*Q29</f>
        <v>888</v>
      </c>
      <c r="R47" s="24">
        <f t="shared" si="56"/>
        <v>888</v>
      </c>
      <c r="S47" s="24">
        <f t="shared" si="56"/>
        <v>888</v>
      </c>
      <c r="T47" s="24">
        <f t="shared" si="56"/>
        <v>888</v>
      </c>
      <c r="U47" s="24">
        <f t="shared" si="51"/>
        <v>888</v>
      </c>
      <c r="V47" s="24">
        <f t="shared" si="54"/>
        <v>888</v>
      </c>
      <c r="W47" s="24">
        <f t="shared" si="54"/>
        <v>888</v>
      </c>
      <c r="X47" s="24">
        <f t="shared" si="54"/>
        <v>888</v>
      </c>
      <c r="Y47" s="24">
        <f t="shared" si="54"/>
        <v>888</v>
      </c>
      <c r="Z47" s="24">
        <f t="shared" si="54"/>
        <v>888</v>
      </c>
    </row>
    <row r="48" spans="4:26" outlineLevel="2">
      <c r="D48" s="3" t="s">
        <v>56</v>
      </c>
      <c r="E48" s="4" t="s">
        <v>43</v>
      </c>
      <c r="G48" s="13">
        <v>623</v>
      </c>
      <c r="H48" s="13">
        <v>416</v>
      </c>
      <c r="I48" s="13">
        <v>74</v>
      </c>
      <c r="J48" s="13">
        <v>293</v>
      </c>
      <c r="K48" s="13">
        <v>534</v>
      </c>
      <c r="L48" s="13">
        <v>613</v>
      </c>
      <c r="M48" s="13">
        <v>392</v>
      </c>
      <c r="N48" s="13">
        <v>578</v>
      </c>
      <c r="O48" s="13">
        <v>581</v>
      </c>
      <c r="P48" s="13">
        <v>385</v>
      </c>
      <c r="Q48" s="24">
        <f t="shared" ref="Q48:T48" si="57">Q39*Q30</f>
        <v>385.00000000000006</v>
      </c>
      <c r="R48" s="24">
        <f t="shared" si="57"/>
        <v>385.00000000000006</v>
      </c>
      <c r="S48" s="24">
        <f t="shared" si="57"/>
        <v>385.00000000000006</v>
      </c>
      <c r="T48" s="24">
        <f t="shared" si="57"/>
        <v>385.00000000000006</v>
      </c>
      <c r="U48" s="24">
        <f t="shared" si="51"/>
        <v>385.00000000000006</v>
      </c>
      <c r="V48" s="24">
        <f t="shared" si="54"/>
        <v>385.00000000000006</v>
      </c>
      <c r="W48" s="24">
        <f t="shared" si="54"/>
        <v>385.00000000000006</v>
      </c>
      <c r="X48" s="24">
        <f t="shared" si="54"/>
        <v>385.00000000000006</v>
      </c>
      <c r="Y48" s="24">
        <f t="shared" si="54"/>
        <v>385.00000000000006</v>
      </c>
      <c r="Z48" s="24">
        <f t="shared" si="54"/>
        <v>385.00000000000006</v>
      </c>
    </row>
    <row r="49" spans="3:26" outlineLevel="2">
      <c r="D49" s="3" t="s">
        <v>57</v>
      </c>
      <c r="E49" s="4" t="s">
        <v>43</v>
      </c>
      <c r="G49" s="13">
        <v>476</v>
      </c>
      <c r="H49" s="13">
        <v>505</v>
      </c>
      <c r="I49" s="13">
        <v>456</v>
      </c>
      <c r="J49" s="13">
        <v>488</v>
      </c>
      <c r="K49" s="13">
        <v>593</v>
      </c>
      <c r="L49" s="13">
        <v>600</v>
      </c>
      <c r="M49" s="13">
        <v>610</v>
      </c>
      <c r="N49" s="13">
        <v>490</v>
      </c>
      <c r="O49" s="13">
        <v>628</v>
      </c>
      <c r="P49" s="13">
        <v>593</v>
      </c>
      <c r="Q49" s="24">
        <f t="shared" ref="Q49:T49" si="58">Q40*Q31</f>
        <v>593</v>
      </c>
      <c r="R49" s="24">
        <f t="shared" si="58"/>
        <v>593</v>
      </c>
      <c r="S49" s="24">
        <f t="shared" si="58"/>
        <v>593</v>
      </c>
      <c r="T49" s="24">
        <f t="shared" si="58"/>
        <v>593</v>
      </c>
      <c r="U49" s="24">
        <f t="shared" si="51"/>
        <v>593</v>
      </c>
      <c r="V49" s="24">
        <f t="shared" si="54"/>
        <v>593</v>
      </c>
      <c r="W49" s="24">
        <f t="shared" si="54"/>
        <v>593</v>
      </c>
      <c r="X49" s="24">
        <f t="shared" si="54"/>
        <v>593</v>
      </c>
      <c r="Y49" s="24">
        <f t="shared" si="54"/>
        <v>593</v>
      </c>
      <c r="Z49" s="24">
        <f t="shared" si="54"/>
        <v>593</v>
      </c>
    </row>
    <row r="50" spans="3:26" outlineLevel="2"/>
    <row r="51" spans="3:26" outlineLevel="1"/>
    <row r="52" spans="3:26" outlineLevel="1">
      <c r="C52" s="5" t="s">
        <v>41</v>
      </c>
    </row>
    <row r="53" spans="3:26" outlineLevel="2"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3:26" outlineLevel="2">
      <c r="D54" s="3" t="s">
        <v>49</v>
      </c>
      <c r="E54" s="4" t="s">
        <v>43</v>
      </c>
      <c r="G54" s="13">
        <v>4304</v>
      </c>
      <c r="H54" s="13">
        <v>4878</v>
      </c>
      <c r="I54" s="13">
        <v>5050</v>
      </c>
      <c r="J54" s="13">
        <v>6828</v>
      </c>
      <c r="K54" s="13">
        <v>7229</v>
      </c>
      <c r="L54" s="13">
        <v>7002</v>
      </c>
      <c r="M54" s="13">
        <v>7611</v>
      </c>
      <c r="N54" s="13">
        <v>6704</v>
      </c>
      <c r="O54" s="13">
        <v>6207</v>
      </c>
      <c r="P54" s="13">
        <v>6141</v>
      </c>
      <c r="Q54" s="24">
        <f>Q55*Q$42</f>
        <v>6118</v>
      </c>
      <c r="R54" s="24">
        <f t="shared" ref="R54:Z54" si="59">R55*R$42</f>
        <v>7738</v>
      </c>
      <c r="S54" s="24">
        <f t="shared" si="59"/>
        <v>7738</v>
      </c>
      <c r="T54" s="24">
        <f t="shared" si="59"/>
        <v>7738</v>
      </c>
      <c r="U54" s="24">
        <f t="shared" si="59"/>
        <v>7738</v>
      </c>
      <c r="V54" s="24">
        <f t="shared" si="59"/>
        <v>7738</v>
      </c>
      <c r="W54" s="24">
        <f t="shared" si="59"/>
        <v>7738</v>
      </c>
      <c r="X54" s="24">
        <f t="shared" si="59"/>
        <v>7738</v>
      </c>
      <c r="Y54" s="24">
        <f t="shared" si="59"/>
        <v>7738</v>
      </c>
      <c r="Z54" s="24">
        <f t="shared" si="59"/>
        <v>7738</v>
      </c>
    </row>
    <row r="55" spans="3:26" outlineLevel="2">
      <c r="D55" s="3" t="s">
        <v>710</v>
      </c>
      <c r="E55" s="4" t="s">
        <v>3</v>
      </c>
      <c r="F55" s="92">
        <f>Scenario!F16</f>
        <v>3</v>
      </c>
      <c r="G55" s="190">
        <f>G54/G$42</f>
        <v>0.99079189686924496</v>
      </c>
      <c r="H55" s="190">
        <f t="shared" ref="H55:P55" si="60">H54/H$42</f>
        <v>1.0051514527096641</v>
      </c>
      <c r="I55" s="190">
        <f t="shared" si="60"/>
        <v>0.97246293086847679</v>
      </c>
      <c r="J55" s="190">
        <f t="shared" si="60"/>
        <v>0.9730654125694741</v>
      </c>
      <c r="K55" s="190">
        <f t="shared" si="60"/>
        <v>1.0058438847919855</v>
      </c>
      <c r="L55" s="190">
        <f t="shared" si="60"/>
        <v>0.97101650256552485</v>
      </c>
      <c r="M55" s="190">
        <f t="shared" si="60"/>
        <v>1.0028989326657003</v>
      </c>
      <c r="N55" s="190">
        <f t="shared" si="60"/>
        <v>1.0136074992440278</v>
      </c>
      <c r="O55" s="190">
        <f t="shared" si="60"/>
        <v>0.95287073994473437</v>
      </c>
      <c r="P55" s="190">
        <f t="shared" si="60"/>
        <v>1.0037593984962405</v>
      </c>
      <c r="Q55" s="191">
        <f>CHOOSE($F$55,P55,AVERAGE($G55:$P55),Scenario!$F$17)</f>
        <v>1</v>
      </c>
      <c r="R55" s="97">
        <f>CHOOSE($F$55,Q55,AVERAGE($G55:$P55),Scenario!$F$17)</f>
        <v>1</v>
      </c>
      <c r="S55" s="97">
        <f>CHOOSE($F$55,R55,AVERAGE($G55:$P55),Scenario!$F$17)</f>
        <v>1</v>
      </c>
      <c r="T55" s="97">
        <f>CHOOSE($F$55,S55,AVERAGE($G55:$P55),Scenario!$F$17)</f>
        <v>1</v>
      </c>
      <c r="U55" s="97">
        <f>CHOOSE($F$55,T55,AVERAGE($G55:$P55),Scenario!$F$17)</f>
        <v>1</v>
      </c>
      <c r="V55" s="97">
        <f>CHOOSE($F$55,U55,AVERAGE($G55:$P55),Scenario!$F$17)</f>
        <v>1</v>
      </c>
      <c r="W55" s="97">
        <f>CHOOSE($F$55,V55,AVERAGE($G55:$P55),Scenario!$F$17)</f>
        <v>1</v>
      </c>
      <c r="X55" s="97">
        <f>CHOOSE($F$55,W55,AVERAGE($G55:$P55),Scenario!$F$17)</f>
        <v>1</v>
      </c>
      <c r="Y55" s="97">
        <f>CHOOSE($F$55,X55,AVERAGE($G55:$P55),Scenario!$F$17)</f>
        <v>1</v>
      </c>
      <c r="Z55" s="97">
        <f>CHOOSE($F$55,Y55,AVERAGE($G55:$P55),Scenario!$F$17)</f>
        <v>1</v>
      </c>
    </row>
    <row r="56" spans="3:26" outlineLevel="2"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3:26" outlineLevel="2">
      <c r="D57" s="3" t="s">
        <v>50</v>
      </c>
      <c r="E57" s="4" t="s">
        <v>43</v>
      </c>
      <c r="G57" s="13">
        <v>2715</v>
      </c>
      <c r="H57" s="13">
        <v>2685</v>
      </c>
      <c r="I57" s="13">
        <v>2780</v>
      </c>
      <c r="J57" s="13">
        <v>1892</v>
      </c>
      <c r="K57" s="13">
        <v>2289</v>
      </c>
      <c r="L57" s="13">
        <v>3032</v>
      </c>
      <c r="M57" s="13">
        <v>2492</v>
      </c>
      <c r="N57" s="13">
        <v>2994</v>
      </c>
      <c r="O57" s="13">
        <v>3750</v>
      </c>
      <c r="P57" s="13">
        <v>3688</v>
      </c>
      <c r="Q57" s="24">
        <f>Q58*SUM(Q$43,Q$45:Q$49)</f>
        <v>2864.2849023029648</v>
      </c>
      <c r="R57" s="24">
        <f t="shared" ref="R57:Z57" si="61">R58*SUM(R$43,R$45:R$49)</f>
        <v>2864.2849023029648</v>
      </c>
      <c r="S57" s="24">
        <f t="shared" si="61"/>
        <v>2864.2849023029648</v>
      </c>
      <c r="T57" s="24">
        <f t="shared" si="61"/>
        <v>2864.2849023029648</v>
      </c>
      <c r="U57" s="24">
        <f t="shared" si="61"/>
        <v>2864.2849023029648</v>
      </c>
      <c r="V57" s="24">
        <f t="shared" si="61"/>
        <v>2864.2849023029648</v>
      </c>
      <c r="W57" s="24">
        <f t="shared" si="61"/>
        <v>2864.2849023029648</v>
      </c>
      <c r="X57" s="24">
        <f t="shared" si="61"/>
        <v>2864.2849023029648</v>
      </c>
      <c r="Y57" s="24">
        <f t="shared" si="61"/>
        <v>2864.2849023029648</v>
      </c>
      <c r="Z57" s="24">
        <f t="shared" si="61"/>
        <v>2864.2849023029648</v>
      </c>
    </row>
    <row r="58" spans="3:26" outlineLevel="2">
      <c r="D58" s="3" t="s">
        <v>710</v>
      </c>
      <c r="E58" s="4" t="s">
        <v>3</v>
      </c>
      <c r="F58" s="92">
        <f>Scenario!F18</f>
        <v>2</v>
      </c>
      <c r="G58" s="190">
        <f>G57/SUM(G$43,G$45:G$49)</f>
        <v>0.625</v>
      </c>
      <c r="H58" s="190">
        <f t="shared" ref="H58:P58" si="62">H57/SUM(H$43,H$45:H$49)</f>
        <v>0.5532660210179271</v>
      </c>
      <c r="I58" s="190">
        <f t="shared" si="62"/>
        <v>0.53533602927017143</v>
      </c>
      <c r="J58" s="190">
        <f t="shared" si="62"/>
        <v>0.26963089639447058</v>
      </c>
      <c r="K58" s="190">
        <f t="shared" si="62"/>
        <v>0.31849172116321134</v>
      </c>
      <c r="L58" s="190">
        <f t="shared" si="62"/>
        <v>0.42046872833171545</v>
      </c>
      <c r="M58" s="190">
        <f t="shared" si="62"/>
        <v>0.32837000922387666</v>
      </c>
      <c r="N58" s="190">
        <f t="shared" si="62"/>
        <v>0.45267614151799213</v>
      </c>
      <c r="O58" s="190">
        <f t="shared" si="62"/>
        <v>0.57568314399754372</v>
      </c>
      <c r="P58" s="190">
        <f t="shared" si="62"/>
        <v>0.60281137626675385</v>
      </c>
      <c r="Q58" s="191">
        <f>CHOOSE($F$58,P58,AVERAGE($G58:$P58),Scenario!$F$19)</f>
        <v>0.46817340671836627</v>
      </c>
      <c r="R58" s="191">
        <f>CHOOSE($F$58,Q58,AVERAGE($G58:$P58),Scenario!$F$19)</f>
        <v>0.46817340671836627</v>
      </c>
      <c r="S58" s="191">
        <f>CHOOSE($F$58,R58,AVERAGE($G58:$P58),Scenario!$F$19)</f>
        <v>0.46817340671836627</v>
      </c>
      <c r="T58" s="191">
        <f>CHOOSE($F$58,S58,AVERAGE($G58:$P58),Scenario!$F$19)</f>
        <v>0.46817340671836627</v>
      </c>
      <c r="U58" s="191">
        <f>CHOOSE($F$58,T58,AVERAGE($G58:$P58),Scenario!$F$19)</f>
        <v>0.46817340671836627</v>
      </c>
      <c r="V58" s="191">
        <f>CHOOSE($F$58,U58,AVERAGE($G58:$P58),Scenario!$F$19)</f>
        <v>0.46817340671836627</v>
      </c>
      <c r="W58" s="191">
        <f>CHOOSE($F$58,V58,AVERAGE($G58:$P58),Scenario!$F$19)</f>
        <v>0.46817340671836627</v>
      </c>
      <c r="X58" s="191">
        <f>CHOOSE($F$58,W58,AVERAGE($G58:$P58),Scenario!$F$19)</f>
        <v>0.46817340671836627</v>
      </c>
      <c r="Y58" s="191">
        <f>CHOOSE($F$58,X58,AVERAGE($G58:$P58),Scenario!$F$19)</f>
        <v>0.46817340671836627</v>
      </c>
      <c r="Z58" s="191">
        <f>CHOOSE($F$58,Y58,AVERAGE($G58:$P58),Scenario!$F$19)</f>
        <v>0.46817340671836627</v>
      </c>
    </row>
    <row r="59" spans="3:26" outlineLevel="2"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3:26" outlineLevel="2">
      <c r="D60" s="3" t="s">
        <v>51</v>
      </c>
      <c r="E60" s="4" t="s">
        <v>43</v>
      </c>
      <c r="G60" s="13">
        <v>972</v>
      </c>
      <c r="H60" s="13">
        <v>941</v>
      </c>
      <c r="I60" s="13">
        <v>641</v>
      </c>
      <c r="J60" s="13">
        <v>758</v>
      </c>
      <c r="K60" s="13">
        <v>1151</v>
      </c>
      <c r="L60" s="13">
        <v>1174</v>
      </c>
      <c r="M60" s="13">
        <v>1031</v>
      </c>
      <c r="N60" s="13">
        <v>1042</v>
      </c>
      <c r="O60" s="13">
        <v>1227</v>
      </c>
      <c r="P60" s="13">
        <v>945</v>
      </c>
      <c r="Q60" s="24">
        <f>Q61*SUM(Q$43,Q$45:Q$49)</f>
        <v>983.9569255365127</v>
      </c>
      <c r="R60" s="24">
        <f t="shared" ref="R60" si="63">R61*SUM(R$43,R$45:R$49)</f>
        <v>983.9569255365127</v>
      </c>
      <c r="S60" s="24">
        <f t="shared" ref="S60" si="64">S61*SUM(S$43,S$45:S$49)</f>
        <v>983.9569255365127</v>
      </c>
      <c r="T60" s="24">
        <f t="shared" ref="T60" si="65">T61*SUM(T$43,T$45:T$49)</f>
        <v>983.9569255365127</v>
      </c>
      <c r="U60" s="24">
        <f t="shared" ref="U60" si="66">U61*SUM(U$43,U$45:U$49)</f>
        <v>983.9569255365127</v>
      </c>
      <c r="V60" s="24">
        <f t="shared" ref="V60" si="67">V61*SUM(V$43,V$45:V$49)</f>
        <v>983.9569255365127</v>
      </c>
      <c r="W60" s="24">
        <f t="shared" ref="W60" si="68">W61*SUM(W$43,W$45:W$49)</f>
        <v>983.9569255365127</v>
      </c>
      <c r="X60" s="24">
        <f t="shared" ref="X60" si="69">X61*SUM(X$43,X$45:X$49)</f>
        <v>983.9569255365127</v>
      </c>
      <c r="Y60" s="24">
        <f t="shared" ref="Y60" si="70">Y61*SUM(Y$43,Y$45:Y$49)</f>
        <v>983.9569255365127</v>
      </c>
      <c r="Z60" s="24">
        <f t="shared" ref="Z60" si="71">Z61*SUM(Z$43,Z$45:Z$49)</f>
        <v>983.9569255365127</v>
      </c>
    </row>
    <row r="61" spans="3:26" outlineLevel="2">
      <c r="D61" s="3" t="s">
        <v>710</v>
      </c>
      <c r="E61" s="4" t="s">
        <v>3</v>
      </c>
      <c r="F61" s="92">
        <f>Scenario!F20</f>
        <v>2</v>
      </c>
      <c r="G61" s="190">
        <f>G60/SUM(G$43,G$45:G$49)</f>
        <v>0.22375690607734808</v>
      </c>
      <c r="H61" s="190">
        <f t="shared" ref="H61" si="72">H60/SUM(H$43,H$45:H$49)</f>
        <v>0.19390067999175767</v>
      </c>
      <c r="I61" s="190">
        <f t="shared" ref="I61" si="73">I60/SUM(I$43,I$45:I$49)</f>
        <v>0.12343539379934527</v>
      </c>
      <c r="J61" s="190">
        <f t="shared" ref="J61" si="74">J60/SUM(J$43,J$45:J$49)</f>
        <v>0.10802337181131538</v>
      </c>
      <c r="K61" s="190">
        <f t="shared" ref="K61" si="75">K60/SUM(K$43,K$45:K$49)</f>
        <v>0.16015027132322249</v>
      </c>
      <c r="L61" s="190">
        <f t="shared" ref="L61" si="76">L60/SUM(L$43,L$45:L$49)</f>
        <v>0.1628068229094439</v>
      </c>
      <c r="M61" s="190">
        <f t="shared" ref="M61" si="77">M60/SUM(M$43,M$45:M$49)</f>
        <v>0.1358545262880485</v>
      </c>
      <c r="N61" s="190">
        <f t="shared" ref="N61" si="78">N60/SUM(N$43,N$45:N$49)</f>
        <v>0.15754460235863321</v>
      </c>
      <c r="O61" s="190">
        <f t="shared" ref="O61" si="79">O60/SUM(O$43,O$45:O$49)</f>
        <v>0.18836352471599632</v>
      </c>
      <c r="P61" s="190">
        <f t="shared" ref="P61" si="80">P60/SUM(P$43,P$45:P$49)</f>
        <v>0.15446224256292906</v>
      </c>
      <c r="Q61" s="191">
        <f>CHOOSE($F$61,P61,AVERAGE($G61:$P61),Scenario!$F$21)</f>
        <v>0.16082983418380398</v>
      </c>
      <c r="R61" s="191">
        <f>CHOOSE($F$61,Q61,AVERAGE($G61:$P61),Scenario!$F$21)</f>
        <v>0.16082983418380398</v>
      </c>
      <c r="S61" s="191">
        <f>CHOOSE($F$61,R61,AVERAGE($G61:$P61),Scenario!$F$21)</f>
        <v>0.16082983418380398</v>
      </c>
      <c r="T61" s="191">
        <f>CHOOSE($F$61,S61,AVERAGE($G61:$P61),Scenario!$F$21)</f>
        <v>0.16082983418380398</v>
      </c>
      <c r="U61" s="191">
        <f>CHOOSE($F$61,T61,AVERAGE($G61:$P61),Scenario!$F$21)</f>
        <v>0.16082983418380398</v>
      </c>
      <c r="V61" s="191">
        <f>CHOOSE($F$61,U61,AVERAGE($G61:$P61),Scenario!$F$21)</f>
        <v>0.16082983418380398</v>
      </c>
      <c r="W61" s="191">
        <f>CHOOSE($F$61,V61,AVERAGE($G61:$P61),Scenario!$F$21)</f>
        <v>0.16082983418380398</v>
      </c>
      <c r="X61" s="191">
        <f>CHOOSE($F$61,W61,AVERAGE($G61:$P61),Scenario!$F$21)</f>
        <v>0.16082983418380398</v>
      </c>
      <c r="Y61" s="191">
        <f>CHOOSE($F$61,X61,AVERAGE($G61:$P61),Scenario!$F$21)</f>
        <v>0.16082983418380398</v>
      </c>
      <c r="Z61" s="191">
        <f>CHOOSE($F$61,Y61,AVERAGE($G61:$P61),Scenario!$F$21)</f>
        <v>0.16082983418380398</v>
      </c>
    </row>
    <row r="62" spans="3:26" outlineLevel="2"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3:26" s="5" customFormat="1" outlineLevel="2">
      <c r="D63" s="5" t="s">
        <v>52</v>
      </c>
      <c r="E63" s="9" t="s">
        <v>43</v>
      </c>
      <c r="F63" s="9"/>
      <c r="G63" s="27">
        <f>G54+G57+G60</f>
        <v>7991</v>
      </c>
      <c r="H63" s="27">
        <f t="shared" ref="H63:Z63" si="81">H54+H57+H60</f>
        <v>8504</v>
      </c>
      <c r="I63" s="27">
        <f t="shared" si="81"/>
        <v>8471</v>
      </c>
      <c r="J63" s="27">
        <f t="shared" si="81"/>
        <v>9478</v>
      </c>
      <c r="K63" s="27">
        <f t="shared" si="81"/>
        <v>10669</v>
      </c>
      <c r="L63" s="27">
        <f t="shared" si="81"/>
        <v>11208</v>
      </c>
      <c r="M63" s="27">
        <f t="shared" si="81"/>
        <v>11134</v>
      </c>
      <c r="N63" s="27">
        <f t="shared" si="81"/>
        <v>10740</v>
      </c>
      <c r="O63" s="27">
        <f t="shared" si="81"/>
        <v>11184</v>
      </c>
      <c r="P63" s="27">
        <f t="shared" si="81"/>
        <v>10774</v>
      </c>
      <c r="Q63" s="27">
        <f t="shared" si="81"/>
        <v>9966.241827839478</v>
      </c>
      <c r="R63" s="27">
        <f t="shared" si="81"/>
        <v>11586.241827839478</v>
      </c>
      <c r="S63" s="27">
        <f t="shared" si="81"/>
        <v>11586.241827839478</v>
      </c>
      <c r="T63" s="27">
        <f t="shared" si="81"/>
        <v>11586.241827839478</v>
      </c>
      <c r="U63" s="27">
        <f t="shared" si="81"/>
        <v>11586.241827839478</v>
      </c>
      <c r="V63" s="27">
        <f t="shared" si="81"/>
        <v>11586.241827839478</v>
      </c>
      <c r="W63" s="27">
        <f t="shared" si="81"/>
        <v>11586.241827839478</v>
      </c>
      <c r="X63" s="27">
        <f t="shared" si="81"/>
        <v>11586.241827839478</v>
      </c>
      <c r="Y63" s="27">
        <f t="shared" si="81"/>
        <v>11586.241827839478</v>
      </c>
      <c r="Z63" s="27">
        <f t="shared" si="81"/>
        <v>11586.241827839478</v>
      </c>
    </row>
    <row r="64" spans="3:26" outlineLevel="2"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3:26" outlineLevel="1"/>
    <row r="66" spans="3:26" outlineLevel="1">
      <c r="C66" s="5" t="s">
        <v>61</v>
      </c>
    </row>
    <row r="67" spans="3:26" outlineLevel="2"/>
    <row r="68" spans="3:26" outlineLevel="2">
      <c r="D68" s="3" t="s">
        <v>63</v>
      </c>
      <c r="E68" s="4" t="s">
        <v>40</v>
      </c>
      <c r="G68" s="24">
        <f t="shared" ref="G68:P68" si="82">IFERROR(G78/G63*1000,0)</f>
        <v>378.43161056188211</v>
      </c>
      <c r="H68" s="24">
        <f t="shared" si="82"/>
        <v>379.04503762935087</v>
      </c>
      <c r="I68" s="24">
        <f t="shared" si="82"/>
        <v>262.73190886554124</v>
      </c>
      <c r="J68" s="24">
        <f t="shared" si="82"/>
        <v>210.84922979531547</v>
      </c>
      <c r="K68" s="24">
        <f t="shared" si="82"/>
        <v>286.87243415502854</v>
      </c>
      <c r="L68" s="24">
        <f t="shared" si="82"/>
        <v>350.80719129193432</v>
      </c>
      <c r="M68" s="24">
        <f t="shared" si="82"/>
        <v>294.90874797916297</v>
      </c>
      <c r="N68" s="24">
        <f t="shared" si="82"/>
        <v>246.73770949720671</v>
      </c>
      <c r="O68" s="24">
        <f t="shared" si="82"/>
        <v>394.72094062947065</v>
      </c>
      <c r="P68" s="24">
        <f t="shared" si="82"/>
        <v>400.14739186931502</v>
      </c>
      <c r="Q68" s="98">
        <f>(Q70/P70)*P68</f>
        <v>317.93224743724397</v>
      </c>
      <c r="R68" s="98">
        <f t="shared" ref="R68:Z68" si="83">(R70/Q70)*Q68</f>
        <v>380.43866895517914</v>
      </c>
      <c r="S68" s="98">
        <f t="shared" si="83"/>
        <v>421.83692946276483</v>
      </c>
      <c r="T68" s="98">
        <f t="shared" si="83"/>
        <v>407.3158311966896</v>
      </c>
      <c r="U68" s="98">
        <f t="shared" si="83"/>
        <v>406.85634842242683</v>
      </c>
      <c r="V68" s="98">
        <f t="shared" si="83"/>
        <v>408.48377381611652</v>
      </c>
      <c r="W68" s="98">
        <f t="shared" si="83"/>
        <v>410.11770891138099</v>
      </c>
      <c r="X68" s="98">
        <f t="shared" si="83"/>
        <v>411.75817974702653</v>
      </c>
      <c r="Y68" s="101">
        <f t="shared" si="83"/>
        <v>413.40521246601463</v>
      </c>
      <c r="Z68" s="101">
        <f t="shared" si="83"/>
        <v>415.05883331587876</v>
      </c>
    </row>
    <row r="69" spans="3:26" outlineLevel="2"/>
    <row r="70" spans="3:26" outlineLevel="2">
      <c r="D70" s="14" t="s">
        <v>68</v>
      </c>
      <c r="E70" s="4" t="s">
        <v>40</v>
      </c>
      <c r="F70" s="99">
        <f>Scenario!F22</f>
        <v>1</v>
      </c>
      <c r="G70" s="24">
        <f>CHOOSE($F70,G71,G72,G73)</f>
        <v>499.14800624999998</v>
      </c>
      <c r="H70" s="24">
        <f t="shared" ref="H70:Z70" si="84">CHOOSE($F70,H71,H72,H73)</f>
        <v>388.20847499999996</v>
      </c>
      <c r="I70" s="24">
        <f t="shared" si="84"/>
        <v>309</v>
      </c>
      <c r="J70" s="24">
        <f t="shared" si="84"/>
        <v>228</v>
      </c>
      <c r="K70" s="24">
        <f t="shared" si="84"/>
        <v>336</v>
      </c>
      <c r="L70" s="24">
        <f t="shared" si="84"/>
        <v>404</v>
      </c>
      <c r="M70" s="24">
        <f t="shared" si="84"/>
        <v>268.45</v>
      </c>
      <c r="N70" s="24">
        <f t="shared" si="84"/>
        <v>242.00491666666667</v>
      </c>
      <c r="O70" s="24">
        <f t="shared" si="84"/>
        <v>350</v>
      </c>
      <c r="P70" s="24">
        <f t="shared" si="84"/>
        <v>379.89514356489553</v>
      </c>
      <c r="Q70" s="24">
        <f t="shared" si="84"/>
        <v>301.84106966147061</v>
      </c>
      <c r="R70" s="24">
        <f t="shared" si="84"/>
        <v>361.18391796882401</v>
      </c>
      <c r="S70" s="24">
        <f t="shared" si="84"/>
        <v>400.4869309046237</v>
      </c>
      <c r="T70" s="24">
        <f t="shared" si="84"/>
        <v>386.70077404692205</v>
      </c>
      <c r="U70" s="24">
        <f t="shared" si="84"/>
        <v>386.26454660163319</v>
      </c>
      <c r="V70" s="24">
        <f t="shared" si="84"/>
        <v>387.80960478803968</v>
      </c>
      <c r="W70" s="24">
        <f t="shared" si="84"/>
        <v>389.36084320719181</v>
      </c>
      <c r="X70" s="24">
        <f t="shared" si="84"/>
        <v>390.91828658002055</v>
      </c>
      <c r="Y70" s="24">
        <f t="shared" si="84"/>
        <v>392.48195972634062</v>
      </c>
      <c r="Z70" s="24">
        <f t="shared" si="84"/>
        <v>394.05188756524603</v>
      </c>
    </row>
    <row r="71" spans="3:26" outlineLevel="2">
      <c r="D71" s="3" t="s">
        <v>64</v>
      </c>
      <c r="E71" s="4" t="s">
        <v>40</v>
      </c>
      <c r="G71" s="80">
        <f>Inputs!V340</f>
        <v>499.14800624999998</v>
      </c>
      <c r="H71" s="80">
        <f>Inputs!W340</f>
        <v>388.20847499999996</v>
      </c>
      <c r="I71" s="80">
        <f>Inputs!X340</f>
        <v>309</v>
      </c>
      <c r="J71" s="80">
        <f>Inputs!Y340</f>
        <v>228</v>
      </c>
      <c r="K71" s="80">
        <f>Inputs!Z340</f>
        <v>336</v>
      </c>
      <c r="L71" s="80">
        <f>Inputs!AA340</f>
        <v>404</v>
      </c>
      <c r="M71" s="80">
        <f>Inputs!AB340</f>
        <v>268.45</v>
      </c>
      <c r="N71" s="80">
        <f>Inputs!AC340</f>
        <v>242.00491666666667</v>
      </c>
      <c r="O71" s="80">
        <f>Inputs!AD340</f>
        <v>350</v>
      </c>
      <c r="P71" s="80">
        <f>Inputs!AE340</f>
        <v>379.89514356489553</v>
      </c>
      <c r="Q71" s="80">
        <f>Inputs!AF340</f>
        <v>301.84106966147061</v>
      </c>
      <c r="R71" s="80">
        <f>Inputs!AG340</f>
        <v>361.18391796882401</v>
      </c>
      <c r="S71" s="80">
        <f>Inputs!AH340</f>
        <v>400.4869309046237</v>
      </c>
      <c r="T71" s="80">
        <f>Inputs!AI340</f>
        <v>386.70077404692205</v>
      </c>
      <c r="U71" s="80">
        <f>Inputs!AJ340</f>
        <v>386.26454660163319</v>
      </c>
      <c r="V71" s="80">
        <f>Inputs!AK340</f>
        <v>387.80960478803968</v>
      </c>
      <c r="W71" s="80">
        <f>Inputs!AL340</f>
        <v>389.36084320719181</v>
      </c>
      <c r="X71" s="80">
        <f>Inputs!AM340</f>
        <v>390.91828658002055</v>
      </c>
      <c r="Y71" s="80">
        <f>Inputs!AN340</f>
        <v>392.48195972634062</v>
      </c>
      <c r="Z71" s="80">
        <f>Inputs!AO340</f>
        <v>394.05188756524603</v>
      </c>
    </row>
    <row r="72" spans="3:26" outlineLevel="2">
      <c r="D72" s="3" t="s">
        <v>65</v>
      </c>
      <c r="E72" s="4" t="s">
        <v>40</v>
      </c>
      <c r="G72" s="80">
        <f>'Inputs sber (-)'!V340</f>
        <v>499.14800624999998</v>
      </c>
      <c r="H72" s="80">
        <f>'Inputs sber (-)'!W340</f>
        <v>388.20847499999996</v>
      </c>
      <c r="I72" s="80">
        <f>'Inputs sber (-)'!X340</f>
        <v>309</v>
      </c>
      <c r="J72" s="80">
        <f>'Inputs sber (-)'!Y340</f>
        <v>228</v>
      </c>
      <c r="K72" s="80">
        <f>'Inputs sber (-)'!Z340</f>
        <v>336</v>
      </c>
      <c r="L72" s="80">
        <f>'Inputs sber (-)'!AA340</f>
        <v>404</v>
      </c>
      <c r="M72" s="80">
        <f>'Inputs sber (-)'!AB340</f>
        <v>268.45</v>
      </c>
      <c r="N72" s="80">
        <f>'Inputs sber (-)'!AC340</f>
        <v>242.00491666666667</v>
      </c>
      <c r="O72" s="80">
        <f>'Inputs sber (-)'!AD340</f>
        <v>350</v>
      </c>
      <c r="P72" s="80">
        <f>'Inputs sber (-)'!AE340</f>
        <v>379.89514356489553</v>
      </c>
      <c r="Q72" s="80">
        <f>'Inputs sber (-)'!AF340</f>
        <v>301.84106966147061</v>
      </c>
      <c r="R72" s="80">
        <f>'Inputs sber (-)'!AG340</f>
        <v>290.15802201117862</v>
      </c>
      <c r="S72" s="80">
        <f>'Inputs sber (-)'!AH340</f>
        <v>307.40259763351725</v>
      </c>
      <c r="T72" s="80">
        <f>'Inputs sber (-)'!AI340</f>
        <v>300.84109147188929</v>
      </c>
      <c r="U72" s="80">
        <f>'Inputs sber (-)'!AJ340</f>
        <v>300.01727488096225</v>
      </c>
      <c r="V72" s="80">
        <f>'Inputs sber (-)'!AK340</f>
        <v>300.01727488096225</v>
      </c>
      <c r="W72" s="80">
        <f>'Inputs sber (-)'!AL340</f>
        <v>300.01727488096225</v>
      </c>
      <c r="X72" s="80">
        <f>'Inputs sber (-)'!AM340</f>
        <v>300.01727488096225</v>
      </c>
      <c r="Y72" s="80">
        <f>'Inputs sber (-)'!AN340</f>
        <v>300.01727488096225</v>
      </c>
      <c r="Z72" s="80">
        <f>'Inputs sber (-)'!AO340</f>
        <v>300.01727488096225</v>
      </c>
    </row>
    <row r="73" spans="3:26" outlineLevel="2">
      <c r="D73" s="3" t="s">
        <v>66</v>
      </c>
      <c r="E73" s="4" t="s">
        <v>40</v>
      </c>
      <c r="G73" s="80">
        <f>'Inputs sber (+)'!V340</f>
        <v>499.14800624999998</v>
      </c>
      <c r="H73" s="80">
        <f>'Inputs sber (+)'!W340</f>
        <v>388.20847499999996</v>
      </c>
      <c r="I73" s="80">
        <f>'Inputs sber (+)'!X340</f>
        <v>309</v>
      </c>
      <c r="J73" s="80">
        <f>'Inputs sber (+)'!Y340</f>
        <v>228</v>
      </c>
      <c r="K73" s="80">
        <f>'Inputs sber (+)'!Z340</f>
        <v>336</v>
      </c>
      <c r="L73" s="80">
        <f>'Inputs sber (+)'!AA340</f>
        <v>404</v>
      </c>
      <c r="M73" s="80">
        <f>'Inputs sber (+)'!AB340</f>
        <v>268.45</v>
      </c>
      <c r="N73" s="80">
        <f>'Inputs sber (+)'!AC340</f>
        <v>242.00491666666667</v>
      </c>
      <c r="O73" s="80">
        <f>'Inputs sber (+)'!AD340</f>
        <v>350</v>
      </c>
      <c r="P73" s="80">
        <f>'Inputs sber (+)'!AE340</f>
        <v>379.89514356489553</v>
      </c>
      <c r="Q73" s="193">
        <f>'Inputs sber (+)'!AF340</f>
        <v>301.84106966147061</v>
      </c>
      <c r="R73" s="80">
        <f>'Inputs sber (+)'!AG340</f>
        <v>403.9038017388321</v>
      </c>
      <c r="S73" s="80">
        <f>'Inputs sber (+)'!AH340</f>
        <v>382.64800574527857</v>
      </c>
      <c r="T73" s="80">
        <f>'Inputs sber (+)'!AI340</f>
        <v>361.93877266455769</v>
      </c>
      <c r="U73" s="80">
        <f>'Inputs sber (+)'!AJ340</f>
        <v>363.43077127671449</v>
      </c>
      <c r="V73" s="80">
        <f>'Inputs sber (+)'!AK340</f>
        <v>370.69938670224877</v>
      </c>
      <c r="W73" s="80">
        <f>'Inputs sber (+)'!AL340</f>
        <v>378.11337443629378</v>
      </c>
      <c r="X73" s="80">
        <f>'Inputs sber (+)'!AM340</f>
        <v>385.67564192501965</v>
      </c>
      <c r="Y73" s="80">
        <f>'Inputs sber (+)'!AN340</f>
        <v>393.38915476352003</v>
      </c>
      <c r="Z73" s="80">
        <f>'Inputs sber (+)'!AO340</f>
        <v>401.25693785879042</v>
      </c>
    </row>
    <row r="74" spans="3:26" outlineLevel="2"/>
    <row r="75" spans="3:26" outlineLevel="1"/>
    <row r="76" spans="3:26" outlineLevel="1">
      <c r="C76" s="5" t="s">
        <v>60</v>
      </c>
    </row>
    <row r="77" spans="3:26" outlineLevel="2"/>
    <row r="78" spans="3:26" s="14" customFormat="1" outlineLevel="2">
      <c r="D78" s="14" t="s">
        <v>60</v>
      </c>
      <c r="E78" s="15" t="s">
        <v>62</v>
      </c>
      <c r="F78" s="15"/>
      <c r="G78" s="30">
        <v>3024.047</v>
      </c>
      <c r="H78" s="30">
        <v>3223.3989999999999</v>
      </c>
      <c r="I78" s="30">
        <v>2225.6019999999999</v>
      </c>
      <c r="J78" s="30">
        <v>1998.4290000000001</v>
      </c>
      <c r="K78" s="30">
        <v>3060.6419999999998</v>
      </c>
      <c r="L78" s="30">
        <v>3931.8470000000002</v>
      </c>
      <c r="M78" s="30">
        <v>3283.5140000000001</v>
      </c>
      <c r="N78" s="30">
        <v>2649.9630000000002</v>
      </c>
      <c r="O78" s="30">
        <v>4414.5590000000002</v>
      </c>
      <c r="P78" s="30">
        <v>4311.1880000000001</v>
      </c>
      <c r="Q78" s="25">
        <f t="shared" ref="Q78:T78" si="85">Q68*Q63/1000</f>
        <v>3168.5896628280716</v>
      </c>
      <c r="R78" s="25">
        <f t="shared" si="85"/>
        <v>4407.854419176073</v>
      </c>
      <c r="S78" s="25">
        <f t="shared" si="85"/>
        <v>4887.5046766688574</v>
      </c>
      <c r="T78" s="25">
        <f t="shared" si="85"/>
        <v>4719.2597205522889</v>
      </c>
      <c r="U78" s="25">
        <f>U68*U63/1000</f>
        <v>4713.9360420139546</v>
      </c>
      <c r="V78" s="25">
        <f t="shared" ref="V78:Z78" si="86">V68*V63/1000</f>
        <v>4732.7917861820097</v>
      </c>
      <c r="W78" s="25">
        <f t="shared" si="86"/>
        <v>4751.7229533267373</v>
      </c>
      <c r="X78" s="25">
        <f t="shared" si="86"/>
        <v>4770.7298451400447</v>
      </c>
      <c r="Y78" s="25">
        <f t="shared" si="86"/>
        <v>4789.812764520605</v>
      </c>
      <c r="Z78" s="25">
        <f t="shared" si="86"/>
        <v>4808.9720155786881</v>
      </c>
    </row>
    <row r="79" spans="3:26" outlineLevel="2"/>
    <row r="80" spans="3:26" outlineLevel="1"/>
    <row r="81" spans="2:26">
      <c r="P81" s="10"/>
    </row>
    <row r="82" spans="2:26">
      <c r="B82" s="1" t="s">
        <v>69</v>
      </c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2:26" outlineLevel="1"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2:26" outlineLevel="1">
      <c r="C84" s="5" t="s">
        <v>714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2:26" outlineLevel="2">
      <c r="C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2:26" outlineLevel="2">
      <c r="C86" s="5"/>
      <c r="D86" s="3" t="s">
        <v>853</v>
      </c>
      <c r="E86" s="4" t="s">
        <v>3</v>
      </c>
      <c r="G86" s="4"/>
      <c r="H86" s="4"/>
      <c r="I86" s="4"/>
      <c r="J86" s="28">
        <f t="shared" ref="J86:Z86" si="87">J13/I13-1</f>
        <v>-4.498296389877865E-2</v>
      </c>
      <c r="K86" s="28">
        <f t="shared" si="87"/>
        <v>0.18772548705203218</v>
      </c>
      <c r="L86" s="28">
        <f t="shared" si="87"/>
        <v>6.3518849775557884E-2</v>
      </c>
      <c r="M86" s="28">
        <f t="shared" si="87"/>
        <v>-0.18679191393481642</v>
      </c>
      <c r="N86" s="28">
        <f t="shared" si="87"/>
        <v>-0.21232480239771634</v>
      </c>
      <c r="O86" s="28">
        <f t="shared" si="87"/>
        <v>0.90813484549440804</v>
      </c>
      <c r="P86" s="28">
        <f t="shared" si="87"/>
        <v>0.68536461790972902</v>
      </c>
      <c r="Q86" s="199">
        <f t="shared" si="87"/>
        <v>-0.53498467359279767</v>
      </c>
      <c r="R86" s="199">
        <f t="shared" si="87"/>
        <v>0.29400524950373264</v>
      </c>
      <c r="S86" s="199">
        <f t="shared" si="87"/>
        <v>8.1849892226290688E-2</v>
      </c>
      <c r="T86" s="199">
        <f t="shared" si="87"/>
        <v>-4.4491830483186501E-3</v>
      </c>
      <c r="U86" s="199">
        <f t="shared" si="87"/>
        <v>-1.3933001245088894E-2</v>
      </c>
      <c r="V86" s="199">
        <f t="shared" si="87"/>
        <v>4.0000000000000036E-3</v>
      </c>
      <c r="W86" s="199">
        <f t="shared" si="87"/>
        <v>4.0000000000000036E-3</v>
      </c>
      <c r="X86" s="199">
        <f t="shared" si="87"/>
        <v>4.0000000000000036E-3</v>
      </c>
      <c r="Y86" s="199">
        <f t="shared" si="87"/>
        <v>4.0000000000000036E-3</v>
      </c>
      <c r="Z86" s="199">
        <f t="shared" si="87"/>
        <v>4.0000000000000036E-3</v>
      </c>
    </row>
    <row r="87" spans="2:26" outlineLevel="2">
      <c r="C87" s="5"/>
      <c r="D87" s="3" t="s">
        <v>856</v>
      </c>
      <c r="E87" s="4" t="s">
        <v>3</v>
      </c>
      <c r="G87" s="4"/>
      <c r="H87" s="4"/>
      <c r="I87" s="4"/>
      <c r="J87" s="28">
        <f>J89/I89-1</f>
        <v>-0.26823506647708728</v>
      </c>
      <c r="K87" s="28">
        <f t="shared" ref="K87:P87" si="88">K89/J89-1</f>
        <v>0.27511545271120785</v>
      </c>
      <c r="L87" s="28">
        <f t="shared" si="88"/>
        <v>0.27429157324269227</v>
      </c>
      <c r="M87" s="28">
        <f t="shared" si="88"/>
        <v>-3.6832863051334819E-3</v>
      </c>
      <c r="N87" s="28">
        <f t="shared" si="88"/>
        <v>-0.18491120011926088</v>
      </c>
      <c r="O87" s="28">
        <f t="shared" si="88"/>
        <v>0.54278614823915294</v>
      </c>
      <c r="P87" s="28">
        <f t="shared" si="88"/>
        <v>5.7037846051824603E-2</v>
      </c>
      <c r="Q87" s="199">
        <f>CORREL($J$86:$P$86,$J$87:$P$87)*Q86</f>
        <v>-0.37039496862941074</v>
      </c>
      <c r="R87" s="199">
        <f t="shared" ref="R87:Z87" si="89">CORREL($J$86:$P$86,$J$87:$P$87)*R86</f>
        <v>0.20355361665875429</v>
      </c>
      <c r="S87" s="199">
        <f t="shared" si="89"/>
        <v>5.6668517361215365E-2</v>
      </c>
      <c r="T87" s="199">
        <f t="shared" si="89"/>
        <v>-3.0803779938989983E-3</v>
      </c>
      <c r="U87" s="199">
        <f t="shared" si="89"/>
        <v>-9.6464699155406203E-3</v>
      </c>
      <c r="V87" s="199">
        <f t="shared" si="89"/>
        <v>2.7693875126698401E-3</v>
      </c>
      <c r="W87" s="199">
        <f t="shared" si="89"/>
        <v>2.7693875126698401E-3</v>
      </c>
      <c r="X87" s="199">
        <f t="shared" si="89"/>
        <v>2.7693875126698401E-3</v>
      </c>
      <c r="Y87" s="199">
        <f t="shared" si="89"/>
        <v>2.7693875126698401E-3</v>
      </c>
      <c r="Z87" s="199">
        <f t="shared" si="89"/>
        <v>2.7693875126698401E-3</v>
      </c>
    </row>
    <row r="88" spans="2:26" outlineLevel="2">
      <c r="C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2:26" outlineLevel="2">
      <c r="C89" s="5"/>
      <c r="D89" s="3" t="s">
        <v>856</v>
      </c>
      <c r="E89" s="4" t="s">
        <v>40</v>
      </c>
      <c r="F89" s="99">
        <f>Scenario!F25</f>
        <v>1</v>
      </c>
      <c r="G89" s="25">
        <f t="shared" ref="G89:O89" si="90">G91/G$63*1000</f>
        <v>207.8763609060193</v>
      </c>
      <c r="H89" s="25">
        <f t="shared" si="90"/>
        <v>217.20813734713076</v>
      </c>
      <c r="I89" s="25">
        <f t="shared" si="90"/>
        <v>164.4471727068823</v>
      </c>
      <c r="J89" s="25">
        <f t="shared" si="90"/>
        <v>120.33667440388267</v>
      </c>
      <c r="K89" s="25">
        <f t="shared" si="90"/>
        <v>153.44315306026806</v>
      </c>
      <c r="L89" s="25">
        <f t="shared" si="90"/>
        <v>195.53131691648821</v>
      </c>
      <c r="M89" s="25">
        <f t="shared" si="90"/>
        <v>194.811119094665</v>
      </c>
      <c r="N89" s="25">
        <f t="shared" si="90"/>
        <v>158.78836126629423</v>
      </c>
      <c r="O89" s="25">
        <f t="shared" si="90"/>
        <v>244.97648426323317</v>
      </c>
      <c r="P89" s="25">
        <f>P91/P$63*1000</f>
        <v>258.94941525895672</v>
      </c>
      <c r="Q89" s="101">
        <f>CHOOSE($F89,(Q$70/P$70)*P89,P89*(1+Q$8),P89*(1+Q87))</f>
        <v>205.7451110233103</v>
      </c>
      <c r="R89" s="101">
        <f t="shared" ref="R89:Z89" si="91">CHOOSE($F89,(R$70/Q$70)*Q89,Q89*(1+R$8),Q89*(1+R87))</f>
        <v>246.19520923933317</v>
      </c>
      <c r="S89" s="101">
        <f t="shared" si="91"/>
        <v>272.98547594855205</v>
      </c>
      <c r="T89" s="101">
        <f t="shared" si="91"/>
        <v>263.58836383105989</v>
      </c>
      <c r="U89" s="101">
        <f t="shared" si="91"/>
        <v>263.29101640824882</v>
      </c>
      <c r="V89" s="101">
        <f t="shared" si="91"/>
        <v>264.34418047388181</v>
      </c>
      <c r="W89" s="101">
        <f t="shared" si="91"/>
        <v>265.40155719577734</v>
      </c>
      <c r="X89" s="101">
        <f t="shared" si="91"/>
        <v>266.46316342456043</v>
      </c>
      <c r="Y89" s="101">
        <f t="shared" si="91"/>
        <v>267.52901607825868</v>
      </c>
      <c r="Z89" s="101">
        <f t="shared" si="91"/>
        <v>268.59913214257176</v>
      </c>
    </row>
    <row r="90" spans="2:26" outlineLevel="2">
      <c r="C90" s="5"/>
      <c r="D90" s="3" t="s">
        <v>857</v>
      </c>
      <c r="E90" s="4" t="s">
        <v>40</v>
      </c>
      <c r="F90" s="99">
        <f>Scenario!F26</f>
        <v>1</v>
      </c>
      <c r="G90" s="25">
        <f>G91/G$63*1000</f>
        <v>207.8763609060193</v>
      </c>
      <c r="H90" s="25">
        <f t="shared" ref="H90:P90" si="92">H91/H$63*1000</f>
        <v>217.20813734713076</v>
      </c>
      <c r="I90" s="25">
        <f t="shared" si="92"/>
        <v>164.4471727068823</v>
      </c>
      <c r="J90" s="25">
        <f t="shared" si="92"/>
        <v>120.33667440388267</v>
      </c>
      <c r="K90" s="25">
        <f t="shared" si="92"/>
        <v>153.44315306026806</v>
      </c>
      <c r="L90" s="25">
        <f t="shared" si="92"/>
        <v>195.53131691648821</v>
      </c>
      <c r="M90" s="25">
        <f t="shared" si="92"/>
        <v>194.811119094665</v>
      </c>
      <c r="N90" s="25">
        <f t="shared" si="92"/>
        <v>158.78836126629423</v>
      </c>
      <c r="O90" s="25">
        <f t="shared" si="92"/>
        <v>244.97648426323317</v>
      </c>
      <c r="P90" s="25">
        <f t="shared" si="92"/>
        <v>258.94941525895672</v>
      </c>
      <c r="Q90" s="101">
        <f>CHOOSE($F90,(Q$70/P$70)*P90,P90*(1+Q$8))</f>
        <v>205.7451110233103</v>
      </c>
      <c r="R90" s="101">
        <f t="shared" ref="R90:Z90" si="93">CHOOSE($F90,(R$70/Q$70)*Q90,Q90*(1+R$8))</f>
        <v>246.19520923933317</v>
      </c>
      <c r="S90" s="101">
        <f t="shared" si="93"/>
        <v>272.98547594855205</v>
      </c>
      <c r="T90" s="101">
        <f t="shared" si="93"/>
        <v>263.58836383105989</v>
      </c>
      <c r="U90" s="101">
        <f t="shared" si="93"/>
        <v>263.29101640824882</v>
      </c>
      <c r="V90" s="101">
        <f t="shared" si="93"/>
        <v>264.34418047388181</v>
      </c>
      <c r="W90" s="101">
        <f t="shared" si="93"/>
        <v>265.40155719577734</v>
      </c>
      <c r="X90" s="101">
        <f t="shared" si="93"/>
        <v>266.46316342456043</v>
      </c>
      <c r="Y90" s="101">
        <f t="shared" si="93"/>
        <v>267.52901607825868</v>
      </c>
      <c r="Z90" s="101">
        <f t="shared" si="93"/>
        <v>268.59913214257176</v>
      </c>
    </row>
    <row r="91" spans="2:26" s="14" customFormat="1" outlineLevel="2">
      <c r="D91" s="14" t="s">
        <v>714</v>
      </c>
      <c r="E91" s="15" t="s">
        <v>62</v>
      </c>
      <c r="F91" s="15"/>
      <c r="G91" s="30">
        <v>1661.14</v>
      </c>
      <c r="H91" s="30">
        <v>1847.1379999999999</v>
      </c>
      <c r="I91" s="30">
        <v>1393.0319999999999</v>
      </c>
      <c r="J91" s="30">
        <v>1140.5509999999999</v>
      </c>
      <c r="K91" s="30">
        <v>1637.085</v>
      </c>
      <c r="L91" s="30">
        <v>2191.5149999999999</v>
      </c>
      <c r="M91" s="30">
        <v>2169.027</v>
      </c>
      <c r="N91" s="30">
        <v>1705.3869999999999</v>
      </c>
      <c r="O91" s="30">
        <v>2739.817</v>
      </c>
      <c r="P91" s="30">
        <v>2789.9209999999998</v>
      </c>
      <c r="Q91" s="25">
        <f>(Q89*Q54/1000)+(Q90*(Q57+Q60)/1000)</f>
        <v>2050.5055313539924</v>
      </c>
      <c r="R91" s="25">
        <f t="shared" ref="R91:Z91" si="94">(R89*R54/1000)+(R90*(R57+R60)/1000)</f>
        <v>2852.477231102454</v>
      </c>
      <c r="S91" s="25">
        <f t="shared" si="94"/>
        <v>3162.8757398277812</v>
      </c>
      <c r="T91" s="25">
        <f t="shared" si="94"/>
        <v>3053.9985263511967</v>
      </c>
      <c r="U91" s="25">
        <f t="shared" si="94"/>
        <v>3050.5533872036226</v>
      </c>
      <c r="V91" s="25">
        <f t="shared" si="94"/>
        <v>3062.7556007524372</v>
      </c>
      <c r="W91" s="25">
        <f t="shared" si="94"/>
        <v>3075.006623155447</v>
      </c>
      <c r="X91" s="25">
        <f t="shared" si="94"/>
        <v>3087.3066496480687</v>
      </c>
      <c r="Y91" s="25">
        <f t="shared" si="94"/>
        <v>3099.6558762466611</v>
      </c>
      <c r="Z91" s="25">
        <f t="shared" si="94"/>
        <v>3112.0544997516481</v>
      </c>
    </row>
    <row r="92" spans="2:26" outlineLevel="2">
      <c r="C92" s="5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</row>
    <row r="93" spans="2:26" outlineLevel="1"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2:26" outlineLevel="1">
      <c r="C94" s="5" t="s">
        <v>715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2:26" outlineLevel="2">
      <c r="C95" s="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81"/>
      <c r="S95" s="81"/>
      <c r="T95" s="81"/>
      <c r="U95" s="81"/>
      <c r="V95" s="81"/>
      <c r="W95" s="81"/>
      <c r="X95" s="81"/>
      <c r="Y95" s="81"/>
      <c r="Z95" s="81"/>
    </row>
    <row r="96" spans="2:26" outlineLevel="2">
      <c r="C96" s="5"/>
      <c r="D96" s="3" t="s">
        <v>715</v>
      </c>
      <c r="E96" s="4" t="s">
        <v>40</v>
      </c>
      <c r="F96" s="99">
        <f>Scenario!F27</f>
        <v>1</v>
      </c>
      <c r="G96" s="25">
        <f t="shared" ref="G96" si="95">G97/G$63*1000</f>
        <v>32.093730446752602</v>
      </c>
      <c r="H96" s="25">
        <f t="shared" ref="H96" si="96">H97/H$63*1000</f>
        <v>33.789981185324557</v>
      </c>
      <c r="I96" s="25">
        <f t="shared" ref="I96" si="97">I97/I$63*1000</f>
        <v>29.913115334671232</v>
      </c>
      <c r="J96" s="25">
        <f t="shared" ref="J96" si="98">J97/J$63*1000</f>
        <v>37.097383414222413</v>
      </c>
      <c r="K96" s="25">
        <f t="shared" ref="K96" si="99">K97/K$63*1000</f>
        <v>35.122035804667725</v>
      </c>
      <c r="L96" s="25">
        <f t="shared" ref="L96" si="100">L97/L$63*1000</f>
        <v>35.625713775874374</v>
      </c>
      <c r="M96" s="25">
        <f t="shared" ref="M96" si="101">M97/M$63*1000</f>
        <v>30.056583438117478</v>
      </c>
      <c r="N96" s="25">
        <f t="shared" ref="N96" si="102">N97/N$63*1000</f>
        <v>30.599162011173185</v>
      </c>
      <c r="O96" s="25">
        <f t="shared" ref="O96" si="103">O97/O$63*1000</f>
        <v>31.877682403433472</v>
      </c>
      <c r="P96" s="25">
        <f>P97/P$63*1000</f>
        <v>30.248097271208465</v>
      </c>
      <c r="Q96" s="98">
        <f>CHOOSE($F96,(Q$70/P$70)*P96,P96*(1+Q$8))</f>
        <v>24.033258098247106</v>
      </c>
      <c r="R96" s="98">
        <f t="shared" ref="R96:Z96" si="104">CHOOSE($F96,(R$70/Q$70)*Q96,Q96*(1+R$8))</f>
        <v>28.758267823581384</v>
      </c>
      <c r="S96" s="98">
        <f t="shared" si="104"/>
        <v>31.887661232451194</v>
      </c>
      <c r="T96" s="98">
        <f t="shared" si="104"/>
        <v>30.789976724787401</v>
      </c>
      <c r="U96" s="98">
        <f t="shared" si="104"/>
        <v>30.755243324213634</v>
      </c>
      <c r="V96" s="98">
        <f t="shared" si="104"/>
        <v>30.878264297510487</v>
      </c>
      <c r="W96" s="98">
        <f t="shared" si="104"/>
        <v>31.001777354700529</v>
      </c>
      <c r="X96" s="98">
        <f t="shared" si="104"/>
        <v>31.125784464119331</v>
      </c>
      <c r="Y96" s="98">
        <f t="shared" si="104"/>
        <v>31.25028760197581</v>
      </c>
      <c r="Z96" s="98">
        <f t="shared" si="104"/>
        <v>31.375288752383721</v>
      </c>
    </row>
    <row r="97" spans="2:26" s="14" customFormat="1" outlineLevel="2">
      <c r="D97" s="14" t="s">
        <v>715</v>
      </c>
      <c r="E97" s="15" t="s">
        <v>62</v>
      </c>
      <c r="F97" s="15"/>
      <c r="G97" s="30">
        <v>256.46100000000001</v>
      </c>
      <c r="H97" s="30">
        <v>287.35000000000002</v>
      </c>
      <c r="I97" s="30">
        <v>253.39400000000001</v>
      </c>
      <c r="J97" s="30">
        <v>351.60899999999998</v>
      </c>
      <c r="K97" s="30">
        <v>374.71699999999998</v>
      </c>
      <c r="L97" s="30">
        <v>399.29300000000001</v>
      </c>
      <c r="M97" s="30">
        <v>334.65</v>
      </c>
      <c r="N97" s="30">
        <v>328.63499999999999</v>
      </c>
      <c r="O97" s="30">
        <v>356.52</v>
      </c>
      <c r="P97" s="30">
        <v>325.89299999999997</v>
      </c>
      <c r="Q97" s="25">
        <f>Q96*Q$63/1000</f>
        <v>239.52126211801217</v>
      </c>
      <c r="R97" s="25">
        <f t="shared" ref="R97:Z97" si="105">R96*R$63/1000</f>
        <v>333.20024555378882</v>
      </c>
      <c r="S97" s="25">
        <f t="shared" si="105"/>
        <v>369.45815436340143</v>
      </c>
      <c r="T97" s="25">
        <f t="shared" si="105"/>
        <v>356.7401162069358</v>
      </c>
      <c r="U97" s="25">
        <f t="shared" si="105"/>
        <v>356.33768662838486</v>
      </c>
      <c r="V97" s="25">
        <f t="shared" si="105"/>
        <v>357.76303737489837</v>
      </c>
      <c r="W97" s="25">
        <f t="shared" si="105"/>
        <v>359.19408952439795</v>
      </c>
      <c r="X97" s="25">
        <f t="shared" si="105"/>
        <v>360.63086588249558</v>
      </c>
      <c r="Y97" s="25">
        <f t="shared" si="105"/>
        <v>362.07338934602558</v>
      </c>
      <c r="Z97" s="25">
        <f t="shared" si="105"/>
        <v>363.52168290340978</v>
      </c>
    </row>
    <row r="98" spans="2:26" outlineLevel="2">
      <c r="C98" s="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2:26" outlineLevel="1"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2:26" outlineLevel="1">
      <c r="C100" s="5" t="s">
        <v>70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2:26" outlineLevel="2">
      <c r="C101" s="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2:26" s="14" customFormat="1" outlineLevel="2">
      <c r="D102" s="14" t="s">
        <v>716</v>
      </c>
      <c r="E102" s="15" t="s">
        <v>62</v>
      </c>
      <c r="F102" s="99">
        <f>Scenario!F28</f>
        <v>2</v>
      </c>
      <c r="G102" s="30">
        <v>274.46300000000002</v>
      </c>
      <c r="H102" s="30">
        <v>124.111</v>
      </c>
      <c r="I102" s="30">
        <v>113.627</v>
      </c>
      <c r="J102" s="30">
        <v>204.762</v>
      </c>
      <c r="K102" s="30">
        <v>243.70699999999999</v>
      </c>
      <c r="L102" s="30">
        <v>182.51900000000001</v>
      </c>
      <c r="M102" s="30">
        <v>184.17099999999999</v>
      </c>
      <c r="N102" s="30">
        <v>246.779</v>
      </c>
      <c r="O102" s="30">
        <v>210.84899999999999</v>
      </c>
      <c r="P102" s="30">
        <v>219.012</v>
      </c>
      <c r="Q102" s="25">
        <f t="shared" ref="Q102:Z102" si="106">CHOOSE($F102,(Q$70/P$70)*P102,P102*(1+Q$8))</f>
        <v>225.9860986153713</v>
      </c>
      <c r="R102" s="25">
        <f t="shared" si="106"/>
        <v>230.63956481174768</v>
      </c>
      <c r="S102" s="25">
        <f t="shared" si="106"/>
        <v>235.38885436970901</v>
      </c>
      <c r="T102" s="25">
        <f t="shared" si="106"/>
        <v>240.23594046714865</v>
      </c>
      <c r="U102" s="25">
        <f t="shared" si="106"/>
        <v>245.04065927649162</v>
      </c>
      <c r="V102" s="25">
        <f t="shared" si="106"/>
        <v>249.94147246202147</v>
      </c>
      <c r="W102" s="25">
        <f t="shared" si="106"/>
        <v>254.94030191126191</v>
      </c>
      <c r="X102" s="25">
        <f t="shared" si="106"/>
        <v>260.03910794948717</v>
      </c>
      <c r="Y102" s="25">
        <f t="shared" si="106"/>
        <v>265.23989010847691</v>
      </c>
      <c r="Z102" s="25">
        <f t="shared" si="106"/>
        <v>270.54468791064647</v>
      </c>
    </row>
    <row r="103" spans="2:26" s="14" customFormat="1" outlineLevel="2">
      <c r="D103" s="14" t="s">
        <v>717</v>
      </c>
      <c r="E103" s="15" t="s">
        <v>62</v>
      </c>
      <c r="F103" s="99">
        <f>Scenario!F29</f>
        <v>2</v>
      </c>
      <c r="G103" s="30">
        <v>173.45599999999999</v>
      </c>
      <c r="H103" s="30">
        <v>167.22200000000001</v>
      </c>
      <c r="I103" s="30">
        <v>97.846000000000004</v>
      </c>
      <c r="J103" s="30">
        <v>77.507000000000005</v>
      </c>
      <c r="K103" s="30">
        <v>96.44</v>
      </c>
      <c r="L103" s="30">
        <v>83.593000000000004</v>
      </c>
      <c r="M103" s="30">
        <v>112.089</v>
      </c>
      <c r="N103" s="30">
        <v>74.322000000000003</v>
      </c>
      <c r="O103" s="30">
        <v>32.323999999999998</v>
      </c>
      <c r="P103" s="30">
        <v>111.27500000000001</v>
      </c>
      <c r="Q103" s="25">
        <f t="shared" ref="Q103:Z103" si="107">CHOOSE($F103,(Q$70/P$70)*P103,P103*(1+Q$8))</f>
        <v>114.81838037836029</v>
      </c>
      <c r="R103" s="25">
        <f t="shared" si="107"/>
        <v>117.18270037453301</v>
      </c>
      <c r="S103" s="25">
        <f t="shared" si="107"/>
        <v>119.59570603432401</v>
      </c>
      <c r="T103" s="25">
        <f t="shared" si="107"/>
        <v>122.05839988439888</v>
      </c>
      <c r="U103" s="25">
        <f t="shared" si="107"/>
        <v>124.49956788208686</v>
      </c>
      <c r="V103" s="25">
        <f t="shared" si="107"/>
        <v>126.98955923972861</v>
      </c>
      <c r="W103" s="25">
        <f t="shared" si="107"/>
        <v>129.52935042452319</v>
      </c>
      <c r="X103" s="25">
        <f t="shared" si="107"/>
        <v>132.11993743301366</v>
      </c>
      <c r="Y103" s="25">
        <f t="shared" si="107"/>
        <v>134.76233618167393</v>
      </c>
      <c r="Z103" s="25">
        <f t="shared" si="107"/>
        <v>137.45758290530742</v>
      </c>
    </row>
    <row r="104" spans="2:26" outlineLevel="2">
      <c r="C104" s="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2:26" outlineLevel="1"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7" spans="2:26">
      <c r="B107" s="1" t="s">
        <v>719</v>
      </c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outlineLevel="1"/>
    <row r="109" spans="2:26" outlineLevel="1">
      <c r="D109" s="3" t="s">
        <v>729</v>
      </c>
      <c r="E109" s="15" t="s">
        <v>62</v>
      </c>
      <c r="F109" s="99">
        <f>Scenario!F32</f>
        <v>1</v>
      </c>
      <c r="G109" s="30">
        <v>269.36700000000002</v>
      </c>
      <c r="H109" s="30">
        <v>84.168000000000006</v>
      </c>
      <c r="I109" s="30">
        <v>96.909000000000006</v>
      </c>
      <c r="J109" s="30">
        <v>99.881</v>
      </c>
      <c r="K109" s="30">
        <v>103.17</v>
      </c>
      <c r="L109" s="30">
        <v>244.476</v>
      </c>
      <c r="M109" s="30">
        <v>208.46700000000001</v>
      </c>
      <c r="N109" s="30">
        <v>128.786</v>
      </c>
      <c r="O109" s="30">
        <v>103.485</v>
      </c>
      <c r="P109" s="30">
        <v>145.70099999999999</v>
      </c>
      <c r="Q109" s="25">
        <f>CHOOSE($F109,P109*(1+Q$8),Q110*Q78)</f>
        <v>150.340623136441</v>
      </c>
      <c r="R109" s="25">
        <f t="shared" ref="R109:Z109" si="108">CHOOSE($F109,Q109*(1+R$8),R110*R78)</f>
        <v>153.43641093929304</v>
      </c>
      <c r="S109" s="25">
        <f t="shared" si="108"/>
        <v>156.5959466628357</v>
      </c>
      <c r="T109" s="25">
        <f t="shared" si="108"/>
        <v>159.82054299309638</v>
      </c>
      <c r="U109" s="25">
        <f t="shared" si="108"/>
        <v>163.01695385295832</v>
      </c>
      <c r="V109" s="25">
        <f t="shared" si="108"/>
        <v>166.2772929300175</v>
      </c>
      <c r="W109" s="25">
        <f t="shared" si="108"/>
        <v>169.60283878861785</v>
      </c>
      <c r="X109" s="25">
        <f t="shared" si="108"/>
        <v>172.99489556439019</v>
      </c>
      <c r="Y109" s="25">
        <f t="shared" si="108"/>
        <v>176.454793475678</v>
      </c>
      <c r="Z109" s="25">
        <f t="shared" si="108"/>
        <v>179.98388934519156</v>
      </c>
    </row>
    <row r="110" spans="2:26" s="12" customFormat="1" outlineLevel="1">
      <c r="D110" s="12" t="s">
        <v>753</v>
      </c>
      <c r="E110" s="23" t="s">
        <v>3</v>
      </c>
      <c r="F110" s="23"/>
      <c r="G110" s="28">
        <f>IFERROR(G109/G78,)</f>
        <v>8.9075004455949264E-2</v>
      </c>
      <c r="H110" s="28">
        <f t="shared" ref="H110:P110" si="109">IFERROR(H109/H78,)</f>
        <v>2.6111567323809436E-2</v>
      </c>
      <c r="I110" s="28">
        <f t="shared" si="109"/>
        <v>4.3542825716367979E-2</v>
      </c>
      <c r="J110" s="28">
        <f t="shared" si="109"/>
        <v>4.9979759100773659E-2</v>
      </c>
      <c r="K110" s="28">
        <f t="shared" si="109"/>
        <v>3.3708614075086213E-2</v>
      </c>
      <c r="L110" s="28">
        <f t="shared" si="109"/>
        <v>6.217841131661532E-2</v>
      </c>
      <c r="M110" s="28">
        <f t="shared" si="109"/>
        <v>6.3488993803589688E-2</v>
      </c>
      <c r="N110" s="28">
        <f t="shared" si="109"/>
        <v>4.859916912047451E-2</v>
      </c>
      <c r="O110" s="28">
        <f t="shared" si="109"/>
        <v>2.3441752619004524E-2</v>
      </c>
      <c r="P110" s="28">
        <f t="shared" si="109"/>
        <v>3.3796020957564364E-2</v>
      </c>
      <c r="Q110" s="199">
        <f>P110</f>
        <v>3.3796020957564364E-2</v>
      </c>
      <c r="R110" s="199">
        <f t="shared" ref="R110:Z110" si="110">Q110</f>
        <v>3.3796020957564364E-2</v>
      </c>
      <c r="S110" s="199">
        <f t="shared" si="110"/>
        <v>3.3796020957564364E-2</v>
      </c>
      <c r="T110" s="199">
        <f t="shared" si="110"/>
        <v>3.3796020957564364E-2</v>
      </c>
      <c r="U110" s="199">
        <f t="shared" si="110"/>
        <v>3.3796020957564364E-2</v>
      </c>
      <c r="V110" s="199">
        <f t="shared" si="110"/>
        <v>3.3796020957564364E-2</v>
      </c>
      <c r="W110" s="199">
        <f t="shared" si="110"/>
        <v>3.3796020957564364E-2</v>
      </c>
      <c r="X110" s="199">
        <f t="shared" si="110"/>
        <v>3.3796020957564364E-2</v>
      </c>
      <c r="Y110" s="199">
        <f t="shared" si="110"/>
        <v>3.3796020957564364E-2</v>
      </c>
      <c r="Z110" s="199">
        <f t="shared" si="110"/>
        <v>3.3796020957564364E-2</v>
      </c>
    </row>
    <row r="111" spans="2:26" outlineLevel="1"/>
    <row r="112" spans="2:26" outlineLevel="1">
      <c r="D112" s="3" t="s">
        <v>751</v>
      </c>
      <c r="E112" s="15" t="s">
        <v>62</v>
      </c>
      <c r="F112" s="99">
        <f>Scenario!F33</f>
        <v>1</v>
      </c>
      <c r="G112" s="30">
        <v>309.46899999999999</v>
      </c>
      <c r="H112" s="30">
        <v>573.84400000000005</v>
      </c>
      <c r="I112" s="30">
        <v>328.11200000000002</v>
      </c>
      <c r="J112" s="30"/>
      <c r="K112" s="30"/>
      <c r="L112" s="30"/>
      <c r="M112" s="30">
        <v>115.393</v>
      </c>
      <c r="N112" s="30">
        <v>213.03</v>
      </c>
      <c r="O112" s="30">
        <v>141.952</v>
      </c>
      <c r="P112" s="30">
        <v>431.68</v>
      </c>
      <c r="Q112" s="25">
        <f>IFERROR(Scenario!$F37/(Scenario!$F34-$Q$2)*(Scenario!$F34&gt;Q2),0)*$F112</f>
        <v>440</v>
      </c>
      <c r="R112" s="25">
        <f>IFERROR(Scenario!$F37/(Scenario!$F34-$Q$2)*(Scenario!$F34&gt;R2),0)*$F112</f>
        <v>0</v>
      </c>
      <c r="S112" s="25">
        <f>IFERROR(Scenario!$F37/(Scenario!$F34-$Q$2)*(Scenario!$F34&gt;S2),0)*$F112</f>
        <v>0</v>
      </c>
      <c r="T112" s="25">
        <f>IFERROR(Scenario!$F37/(Scenario!$F34-$Q$2)*(Scenario!$F34&gt;T2),0)*$F112</f>
        <v>0</v>
      </c>
      <c r="U112" s="25">
        <f>IFERROR(Scenario!$F37/(Scenario!$F34-$Q$2)*(Scenario!$F34&gt;U2),0)*$F112</f>
        <v>0</v>
      </c>
      <c r="V112" s="25">
        <f>IFERROR(Scenario!$F37/(Scenario!$F34-$Q$2)*(Scenario!$F34&gt;V2),0)*$F112</f>
        <v>0</v>
      </c>
      <c r="W112" s="25">
        <f>IFERROR(Scenario!$F37/(Scenario!$F34-$Q$2)*(Scenario!$F34&gt;W2),0)*$F112</f>
        <v>0</v>
      </c>
      <c r="X112" s="25">
        <f>IFERROR(Scenario!$F37/(Scenario!$F34-$Q$2)*(Scenario!$F34&gt;X2),0)*$F112</f>
        <v>0</v>
      </c>
      <c r="Y112" s="25">
        <f>IFERROR(Scenario!$F37/(Scenario!$F34-$Q$2)*(Scenario!$F34&gt;Y2),0)*$F112</f>
        <v>0</v>
      </c>
      <c r="Z112" s="25">
        <f>IFERROR(Scenario!$F37/(Scenario!$F34-$Q$2)*(Scenario!$F34&gt;Z2),0)*$F112</f>
        <v>0</v>
      </c>
    </row>
    <row r="113" spans="2:26" outlineLevel="1">
      <c r="D113" s="3" t="s">
        <v>846</v>
      </c>
      <c r="E113" s="15" t="s">
        <v>62</v>
      </c>
      <c r="F113" s="256">
        <f>SUM(M112:P112,Scenario!F37)/50</f>
        <v>26.841100000000001</v>
      </c>
      <c r="Q113" s="25">
        <f>F113</f>
        <v>26.841100000000001</v>
      </c>
      <c r="R113" s="257">
        <f>Q113*(1+R$8)</f>
        <v>27.393807234156668</v>
      </c>
      <c r="S113" s="257">
        <f t="shared" ref="S113:Z113" si="111">R113*(1+S$8)</f>
        <v>27.957895718958383</v>
      </c>
      <c r="T113" s="257">
        <f t="shared" si="111"/>
        <v>28.533599815126792</v>
      </c>
      <c r="U113" s="257">
        <f t="shared" si="111"/>
        <v>29.104271811429328</v>
      </c>
      <c r="V113" s="257">
        <f t="shared" si="111"/>
        <v>29.686357247657917</v>
      </c>
      <c r="W113" s="257">
        <f t="shared" si="111"/>
        <v>30.280084392611077</v>
      </c>
      <c r="X113" s="257">
        <f t="shared" si="111"/>
        <v>30.885686080463298</v>
      </c>
      <c r="Y113" s="257">
        <f t="shared" si="111"/>
        <v>31.503399802072565</v>
      </c>
      <c r="Z113" s="257">
        <f t="shared" si="111"/>
        <v>32.133467798114019</v>
      </c>
    </row>
    <row r="114" spans="2:26" outlineLevel="1">
      <c r="D114" s="3" t="s">
        <v>846</v>
      </c>
      <c r="E114" s="15" t="s">
        <v>62</v>
      </c>
      <c r="F114" s="258"/>
      <c r="Q114" s="25">
        <f xml:space="preserve"> Q113*(Scenario!$F34&lt;=Q2)*$F112</f>
        <v>0</v>
      </c>
      <c r="R114" s="25">
        <f xml:space="preserve"> R113*(Scenario!$F34&lt;=R2)*$F112</f>
        <v>27.393807234156668</v>
      </c>
      <c r="S114" s="25">
        <f xml:space="preserve"> S113*(Scenario!$F34&lt;=S2)*$F112</f>
        <v>27.957895718958383</v>
      </c>
      <c r="T114" s="25">
        <f xml:space="preserve"> T113*(Scenario!$F34&lt;=T2)*$F112</f>
        <v>28.533599815126792</v>
      </c>
      <c r="U114" s="25">
        <f xml:space="preserve"> U113*(Scenario!$F34&lt;=U2)*$F112</f>
        <v>29.104271811429328</v>
      </c>
      <c r="V114" s="25">
        <f xml:space="preserve"> V113*(Scenario!$F34&lt;=V2)*$F112</f>
        <v>29.686357247657917</v>
      </c>
      <c r="W114" s="25">
        <f xml:space="preserve"> W113*(Scenario!$F34&lt;=W2)*$F112</f>
        <v>30.280084392611077</v>
      </c>
      <c r="X114" s="25">
        <f xml:space="preserve"> X113*(Scenario!$F34&lt;=X2)*$F112</f>
        <v>30.885686080463298</v>
      </c>
      <c r="Y114" s="25">
        <f xml:space="preserve"> Y113*(Scenario!$F34&lt;=Y2)*$F112</f>
        <v>31.503399802072565</v>
      </c>
      <c r="Z114" s="25">
        <f xml:space="preserve"> Z113*(Scenario!$F34&lt;=Z2)*$F112</f>
        <v>32.133467798114019</v>
      </c>
    </row>
    <row r="115" spans="2:26" outlineLevel="1"/>
    <row r="116" spans="2:26" outlineLevel="1"/>
    <row r="118" spans="2:26">
      <c r="B118" s="1" t="s">
        <v>718</v>
      </c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outlineLevel="1"/>
    <row r="120" spans="2:26" outlineLevel="1">
      <c r="D120" s="3" t="s">
        <v>749</v>
      </c>
      <c r="E120" s="15" t="s">
        <v>62</v>
      </c>
      <c r="H120" s="34">
        <f>BS!G18</f>
        <v>2230.9380000000001</v>
      </c>
      <c r="I120" s="25">
        <f t="shared" ref="I120:P120" si="112">H123</f>
        <v>2778.078</v>
      </c>
      <c r="J120" s="25">
        <f t="shared" si="112"/>
        <v>3158.7820000000002</v>
      </c>
      <c r="K120" s="25">
        <f t="shared" si="112"/>
        <v>3117.4690000000001</v>
      </c>
      <c r="L120" s="25">
        <f t="shared" si="112"/>
        <v>2998.326</v>
      </c>
      <c r="M120" s="25">
        <f t="shared" si="112"/>
        <v>3025.0949999999998</v>
      </c>
      <c r="N120" s="25">
        <f t="shared" si="112"/>
        <v>3576.1950000000002</v>
      </c>
      <c r="O120" s="25">
        <f t="shared" si="112"/>
        <v>3677.056</v>
      </c>
      <c r="P120" s="25">
        <f t="shared" si="112"/>
        <v>3686.1489999999999</v>
      </c>
      <c r="Q120" s="25">
        <f>P123</f>
        <v>4155.2830000000004</v>
      </c>
      <c r="R120" s="25">
        <f t="shared" ref="R120:Z120" si="113">Q123</f>
        <v>4387.3382579367981</v>
      </c>
      <c r="S120" s="25">
        <f t="shared" si="113"/>
        <v>4189.8743647346209</v>
      </c>
      <c r="T120" s="25">
        <f t="shared" si="113"/>
        <v>4013.1602340542759</v>
      </c>
      <c r="U120" s="25">
        <f t="shared" si="113"/>
        <v>3855.4834133726913</v>
      </c>
      <c r="V120" s="25">
        <f t="shared" si="113"/>
        <v>3715.1692109852711</v>
      </c>
      <c r="W120" s="25">
        <f t="shared" si="113"/>
        <v>3590.7958931306061</v>
      </c>
      <c r="X120" s="25">
        <f t="shared" si="113"/>
        <v>3481.0658205356922</v>
      </c>
      <c r="Y120" s="25">
        <f t="shared" si="113"/>
        <v>3384.7947786221443</v>
      </c>
      <c r="Z120" s="25">
        <f t="shared" si="113"/>
        <v>3300.9022283080676</v>
      </c>
    </row>
    <row r="121" spans="2:26" outlineLevel="1">
      <c r="D121" s="3" t="s">
        <v>719</v>
      </c>
      <c r="E121" s="15" t="s">
        <v>62</v>
      </c>
      <c r="H121" s="25">
        <f t="shared" ref="H121:O121" si="114">H123-H120+H122</f>
        <v>689.87799999999993</v>
      </c>
      <c r="I121" s="25">
        <f t="shared" si="114"/>
        <v>575.55300000000011</v>
      </c>
      <c r="J121" s="25">
        <f t="shared" si="114"/>
        <v>186.7409999999999</v>
      </c>
      <c r="K121" s="25">
        <f t="shared" si="114"/>
        <v>113.08199999999997</v>
      </c>
      <c r="L121" s="25">
        <f t="shared" si="114"/>
        <v>272.07199999999978</v>
      </c>
      <c r="M121" s="25">
        <f t="shared" si="114"/>
        <v>895.22700000000032</v>
      </c>
      <c r="N121" s="25">
        <f t="shared" si="114"/>
        <v>457.9899999999999</v>
      </c>
      <c r="O121" s="25">
        <f t="shared" si="114"/>
        <v>372.17699999999985</v>
      </c>
      <c r="P121" s="25">
        <f>P123-P120+P122</f>
        <v>841.55400000000054</v>
      </c>
      <c r="Q121" s="25">
        <f>Q109+Q112+Q114</f>
        <v>590.34062313644097</v>
      </c>
      <c r="R121" s="25">
        <f t="shared" ref="R121:Z121" si="115">R109+R112+R114</f>
        <v>180.83021817344971</v>
      </c>
      <c r="S121" s="25">
        <f t="shared" si="115"/>
        <v>184.55384238179408</v>
      </c>
      <c r="T121" s="25">
        <f t="shared" si="115"/>
        <v>188.35414280822317</v>
      </c>
      <c r="U121" s="25">
        <f t="shared" si="115"/>
        <v>192.12122566438765</v>
      </c>
      <c r="V121" s="25">
        <f t="shared" si="115"/>
        <v>195.96365017767542</v>
      </c>
      <c r="W121" s="25">
        <f t="shared" si="115"/>
        <v>199.88292318122893</v>
      </c>
      <c r="X121" s="25">
        <f t="shared" si="115"/>
        <v>203.88058164485349</v>
      </c>
      <c r="Y121" s="25">
        <f t="shared" si="115"/>
        <v>207.95819327775058</v>
      </c>
      <c r="Z121" s="25">
        <f t="shared" si="115"/>
        <v>212.11735714330558</v>
      </c>
    </row>
    <row r="122" spans="2:26" outlineLevel="1">
      <c r="D122" s="3" t="s">
        <v>71</v>
      </c>
      <c r="E122" s="15" t="s">
        <v>62</v>
      </c>
      <c r="H122" s="30">
        <v>142.738</v>
      </c>
      <c r="I122" s="30">
        <v>194.84899999999999</v>
      </c>
      <c r="J122" s="30">
        <v>228.054</v>
      </c>
      <c r="K122" s="30">
        <v>232.22499999999999</v>
      </c>
      <c r="L122" s="30">
        <v>245.303</v>
      </c>
      <c r="M122" s="30">
        <v>344.12700000000001</v>
      </c>
      <c r="N122" s="30">
        <v>357.12900000000002</v>
      </c>
      <c r="O122" s="30">
        <v>363.084</v>
      </c>
      <c r="P122" s="30">
        <v>372.42</v>
      </c>
      <c r="Q122" s="25">
        <f>Q124*Q120</f>
        <v>358.28536519964297</v>
      </c>
      <c r="R122" s="25">
        <f t="shared" ref="R122:Z122" si="116">R124*R120</f>
        <v>378.29411137562732</v>
      </c>
      <c r="S122" s="25">
        <f t="shared" si="116"/>
        <v>361.26797306213933</v>
      </c>
      <c r="T122" s="25">
        <f t="shared" si="116"/>
        <v>346.03096348980819</v>
      </c>
      <c r="U122" s="25">
        <f t="shared" si="116"/>
        <v>332.43542805180795</v>
      </c>
      <c r="V122" s="25">
        <f t="shared" si="116"/>
        <v>320.33696803234028</v>
      </c>
      <c r="W122" s="25">
        <f t="shared" si="116"/>
        <v>309.61299577614261</v>
      </c>
      <c r="X122" s="25">
        <f t="shared" si="116"/>
        <v>300.15162355840147</v>
      </c>
      <c r="Y122" s="25">
        <f t="shared" si="116"/>
        <v>291.85074359182744</v>
      </c>
      <c r="Z122" s="25">
        <f t="shared" si="116"/>
        <v>284.61718741122354</v>
      </c>
    </row>
    <row r="123" spans="2:26" outlineLevel="1">
      <c r="D123" s="3" t="s">
        <v>750</v>
      </c>
      <c r="E123" s="15" t="s">
        <v>62</v>
      </c>
      <c r="H123" s="25">
        <f>BS!H18</f>
        <v>2778.078</v>
      </c>
      <c r="I123" s="25">
        <f>BS!I18</f>
        <v>3158.7820000000002</v>
      </c>
      <c r="J123" s="25">
        <f>BS!J18</f>
        <v>3117.4690000000001</v>
      </c>
      <c r="K123" s="25">
        <f>BS!K18</f>
        <v>2998.326</v>
      </c>
      <c r="L123" s="25">
        <f>BS!L18</f>
        <v>3025.0949999999998</v>
      </c>
      <c r="M123" s="25">
        <f>BS!M18</f>
        <v>3576.1950000000002</v>
      </c>
      <c r="N123" s="25">
        <f>BS!N18</f>
        <v>3677.056</v>
      </c>
      <c r="O123" s="25">
        <f>BS!O18</f>
        <v>3686.1489999999999</v>
      </c>
      <c r="P123" s="25">
        <f>BS!P18</f>
        <v>4155.2830000000004</v>
      </c>
      <c r="Q123" s="198">
        <f>Q120+Q121-Q122</f>
        <v>4387.3382579367981</v>
      </c>
      <c r="R123" s="197">
        <f t="shared" ref="R123:Z123" si="117">R120+R121-R122</f>
        <v>4189.8743647346209</v>
      </c>
      <c r="S123" s="197">
        <f t="shared" si="117"/>
        <v>4013.1602340542759</v>
      </c>
      <c r="T123" s="197">
        <f t="shared" si="117"/>
        <v>3855.4834133726913</v>
      </c>
      <c r="U123" s="197">
        <f t="shared" si="117"/>
        <v>3715.1692109852711</v>
      </c>
      <c r="V123" s="197">
        <f t="shared" si="117"/>
        <v>3590.7958931306061</v>
      </c>
      <c r="W123" s="197">
        <f t="shared" si="117"/>
        <v>3481.0658205356922</v>
      </c>
      <c r="X123" s="197">
        <f t="shared" si="117"/>
        <v>3384.7947786221443</v>
      </c>
      <c r="Y123" s="197">
        <f t="shared" si="117"/>
        <v>3300.9022283080676</v>
      </c>
      <c r="Z123" s="197">
        <f t="shared" si="117"/>
        <v>3228.4023980401498</v>
      </c>
    </row>
    <row r="124" spans="2:26" outlineLevel="1">
      <c r="D124" s="3" t="s">
        <v>849</v>
      </c>
      <c r="E124" s="4" t="s">
        <v>3</v>
      </c>
      <c r="H124" s="28">
        <f t="shared" ref="H124:O124" si="118">H122/H120</f>
        <v>6.3981159494347212E-2</v>
      </c>
      <c r="I124" s="28">
        <f t="shared" si="118"/>
        <v>7.013805947853155E-2</v>
      </c>
      <c r="J124" s="28">
        <f t="shared" si="118"/>
        <v>7.2196815101516973E-2</v>
      </c>
      <c r="K124" s="28">
        <f t="shared" si="118"/>
        <v>7.4491518600505721E-2</v>
      </c>
      <c r="L124" s="28">
        <f t="shared" si="118"/>
        <v>8.1813318498388771E-2</v>
      </c>
      <c r="M124" s="28">
        <f t="shared" si="118"/>
        <v>0.11375741918848831</v>
      </c>
      <c r="N124" s="28">
        <f t="shared" si="118"/>
        <v>9.9862843049665917E-2</v>
      </c>
      <c r="O124" s="28">
        <f t="shared" si="118"/>
        <v>9.8743124934730392E-2</v>
      </c>
      <c r="P124" s="28">
        <f>P122/P120</f>
        <v>0.10103226972105578</v>
      </c>
      <c r="Q124" s="199">
        <f>AVERAGE($H$124:$P$124)</f>
        <v>8.6224058674136739E-2</v>
      </c>
      <c r="R124" s="199">
        <f t="shared" ref="R124:Z124" si="119">AVERAGE($H$124:$P$124)</f>
        <v>8.6224058674136739E-2</v>
      </c>
      <c r="S124" s="199">
        <f t="shared" si="119"/>
        <v>8.6224058674136739E-2</v>
      </c>
      <c r="T124" s="199">
        <f t="shared" si="119"/>
        <v>8.6224058674136739E-2</v>
      </c>
      <c r="U124" s="199">
        <f t="shared" si="119"/>
        <v>8.6224058674136739E-2</v>
      </c>
      <c r="V124" s="199">
        <f t="shared" si="119"/>
        <v>8.6224058674136739E-2</v>
      </c>
      <c r="W124" s="199">
        <f t="shared" si="119"/>
        <v>8.6224058674136739E-2</v>
      </c>
      <c r="X124" s="199">
        <f t="shared" si="119"/>
        <v>8.6224058674136739E-2</v>
      </c>
      <c r="Y124" s="199">
        <f t="shared" si="119"/>
        <v>8.6224058674136739E-2</v>
      </c>
      <c r="Z124" s="199">
        <f t="shared" si="119"/>
        <v>8.6224058674136739E-2</v>
      </c>
    </row>
    <row r="125" spans="2:26" outlineLevel="1">
      <c r="H125" s="81"/>
      <c r="I125" s="81"/>
      <c r="J125" s="81"/>
      <c r="K125" s="81"/>
      <c r="L125" s="81"/>
      <c r="M125" s="81"/>
      <c r="N125" s="81"/>
      <c r="O125" s="81"/>
      <c r="P125" s="81"/>
    </row>
    <row r="126" spans="2:26" outlineLevel="1">
      <c r="P126" s="10"/>
    </row>
    <row r="128" spans="2:26">
      <c r="B128" s="1" t="s">
        <v>802</v>
      </c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4:26" outlineLevel="1"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</row>
    <row r="130" spans="4:26" outlineLevel="1">
      <c r="D130" s="5" t="s">
        <v>803</v>
      </c>
      <c r="E130" s="9" t="s">
        <v>62</v>
      </c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30">
        <f>Q135+Q141+Q147+Q153</f>
        <v>1983.374</v>
      </c>
      <c r="R130" s="230">
        <f t="shared" ref="R130:Z130" si="120">R135+R141+R147+R153</f>
        <v>1684.538</v>
      </c>
      <c r="S130" s="230">
        <f t="shared" si="120"/>
        <v>1684.538</v>
      </c>
      <c r="T130" s="230">
        <f t="shared" si="120"/>
        <v>1684.538</v>
      </c>
      <c r="U130" s="230">
        <f t="shared" si="120"/>
        <v>990.88900000000001</v>
      </c>
      <c r="V130" s="230">
        <f t="shared" si="120"/>
        <v>990.88900000000001</v>
      </c>
      <c r="W130" s="230">
        <f t="shared" si="120"/>
        <v>295.60599999999999</v>
      </c>
      <c r="X130" s="230">
        <f t="shared" si="120"/>
        <v>295.60599999999999</v>
      </c>
      <c r="Y130" s="230">
        <f t="shared" si="120"/>
        <v>295.60599999999999</v>
      </c>
      <c r="Z130" s="230">
        <f t="shared" si="120"/>
        <v>295.60599999999999</v>
      </c>
    </row>
    <row r="131" spans="4:26" outlineLevel="2">
      <c r="D131" s="5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</row>
    <row r="132" spans="4:26" outlineLevel="2">
      <c r="D132" s="229" t="s">
        <v>804</v>
      </c>
      <c r="E132" s="3"/>
      <c r="F132" s="226">
        <v>45627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</row>
    <row r="133" spans="4:26" outlineLevel="2">
      <c r="D133" s="224" t="s">
        <v>812</v>
      </c>
      <c r="E133" s="15" t="s">
        <v>62</v>
      </c>
      <c r="F133" s="3"/>
      <c r="G133" s="217"/>
      <c r="H133" s="217"/>
      <c r="I133" s="217"/>
      <c r="J133" s="217"/>
      <c r="K133" s="217"/>
      <c r="L133" s="217"/>
      <c r="M133" s="217"/>
      <c r="N133" s="217"/>
      <c r="O133" s="217"/>
      <c r="P133" s="3"/>
      <c r="Q133" s="30">
        <v>298.83600000000001</v>
      </c>
      <c r="R133" s="225">
        <f t="shared" ref="R133:Z133" si="121">Q135</f>
        <v>298.83600000000001</v>
      </c>
      <c r="S133" s="225">
        <f t="shared" si="121"/>
        <v>0</v>
      </c>
      <c r="T133" s="225">
        <f t="shared" si="121"/>
        <v>0</v>
      </c>
      <c r="U133" s="225">
        <f t="shared" si="121"/>
        <v>0</v>
      </c>
      <c r="V133" s="225">
        <f t="shared" si="121"/>
        <v>0</v>
      </c>
      <c r="W133" s="225">
        <f t="shared" si="121"/>
        <v>0</v>
      </c>
      <c r="X133" s="225">
        <f t="shared" si="121"/>
        <v>0</v>
      </c>
      <c r="Y133" s="225">
        <f t="shared" si="121"/>
        <v>0</v>
      </c>
      <c r="Z133" s="225">
        <f t="shared" si="121"/>
        <v>0</v>
      </c>
    </row>
    <row r="134" spans="4:26" outlineLevel="2">
      <c r="D134" s="224" t="s">
        <v>815</v>
      </c>
      <c r="E134" s="15" t="s">
        <v>62</v>
      </c>
      <c r="F134" s="227">
        <f>YEAR(F132)</f>
        <v>2024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225">
        <f>($F134=Q$2)*$Q133</f>
        <v>0</v>
      </c>
      <c r="R134" s="225">
        <f t="shared" ref="R134:Z134" si="122">($F134=R$2)*$Q133</f>
        <v>298.83600000000001</v>
      </c>
      <c r="S134" s="225">
        <f t="shared" si="122"/>
        <v>0</v>
      </c>
      <c r="T134" s="225">
        <f t="shared" si="122"/>
        <v>0</v>
      </c>
      <c r="U134" s="225">
        <f t="shared" si="122"/>
        <v>0</v>
      </c>
      <c r="V134" s="225">
        <f t="shared" si="122"/>
        <v>0</v>
      </c>
      <c r="W134" s="225">
        <f t="shared" si="122"/>
        <v>0</v>
      </c>
      <c r="X134" s="225">
        <f t="shared" si="122"/>
        <v>0</v>
      </c>
      <c r="Y134" s="225">
        <f t="shared" si="122"/>
        <v>0</v>
      </c>
      <c r="Z134" s="225">
        <f t="shared" si="122"/>
        <v>0</v>
      </c>
    </row>
    <row r="135" spans="4:26" outlineLevel="2">
      <c r="D135" s="224" t="s">
        <v>813</v>
      </c>
      <c r="E135" s="15" t="s">
        <v>62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225">
        <f>Q133-Q134</f>
        <v>298.83600000000001</v>
      </c>
      <c r="R135" s="225">
        <f t="shared" ref="R135:Z135" si="123">R133-R134</f>
        <v>0</v>
      </c>
      <c r="S135" s="225">
        <f t="shared" si="123"/>
        <v>0</v>
      </c>
      <c r="T135" s="225">
        <f t="shared" si="123"/>
        <v>0</v>
      </c>
      <c r="U135" s="225">
        <f t="shared" si="123"/>
        <v>0</v>
      </c>
      <c r="V135" s="225">
        <f t="shared" si="123"/>
        <v>0</v>
      </c>
      <c r="W135" s="225">
        <f t="shared" si="123"/>
        <v>0</v>
      </c>
      <c r="X135" s="225">
        <f t="shared" si="123"/>
        <v>0</v>
      </c>
      <c r="Y135" s="225">
        <f t="shared" si="123"/>
        <v>0</v>
      </c>
      <c r="Z135" s="225">
        <f t="shared" si="123"/>
        <v>0</v>
      </c>
    </row>
    <row r="136" spans="4:26" outlineLevel="2">
      <c r="D136" s="224" t="s">
        <v>814</v>
      </c>
      <c r="E136" s="15" t="s">
        <v>62</v>
      </c>
      <c r="F136" s="223">
        <v>4.2500000000000003E-2</v>
      </c>
      <c r="G136" s="217"/>
      <c r="H136" s="217"/>
      <c r="I136" s="217"/>
      <c r="J136" s="217"/>
      <c r="K136" s="217"/>
      <c r="L136" s="217"/>
      <c r="M136" s="217"/>
      <c r="N136" s="217"/>
      <c r="O136" s="217"/>
      <c r="P136" s="3"/>
      <c r="Q136" s="225">
        <f>MAX(IF(YEAR($F132)&gt;Q$2,$F136*Q133,($F132-Q$1)/365*Q133*$F136),0)</f>
        <v>12.700530000000002</v>
      </c>
      <c r="R136" s="225">
        <f t="shared" ref="R136:Z136" si="124">MAX(IF(YEAR($F132)&gt;R$2,$F136*R133,($F132-R$1)/365*R133*$F136),0)</f>
        <v>11.656650821917809</v>
      </c>
      <c r="S136" s="225">
        <f t="shared" si="124"/>
        <v>0</v>
      </c>
      <c r="T136" s="225">
        <f t="shared" si="124"/>
        <v>0</v>
      </c>
      <c r="U136" s="225">
        <f t="shared" si="124"/>
        <v>0</v>
      </c>
      <c r="V136" s="225">
        <f t="shared" si="124"/>
        <v>0</v>
      </c>
      <c r="W136" s="225">
        <f t="shared" si="124"/>
        <v>0</v>
      </c>
      <c r="X136" s="225">
        <f t="shared" si="124"/>
        <v>0</v>
      </c>
      <c r="Y136" s="225">
        <f t="shared" si="124"/>
        <v>0</v>
      </c>
      <c r="Z136" s="225">
        <f t="shared" si="124"/>
        <v>0</v>
      </c>
    </row>
    <row r="137" spans="4:26" outlineLevel="2">
      <c r="G137" s="217"/>
      <c r="H137" s="217"/>
      <c r="I137" s="217"/>
      <c r="J137" s="217"/>
      <c r="K137" s="217"/>
      <c r="L137" s="217"/>
      <c r="M137" s="217"/>
      <c r="N137" s="217"/>
      <c r="O137" s="217"/>
      <c r="P137" s="3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</row>
    <row r="138" spans="4:26" outlineLevel="2">
      <c r="D138" s="229" t="s">
        <v>805</v>
      </c>
      <c r="E138" s="15" t="s">
        <v>62</v>
      </c>
      <c r="F138" s="226">
        <v>46675</v>
      </c>
      <c r="G138" s="217"/>
      <c r="H138" s="217"/>
      <c r="I138" s="217"/>
      <c r="J138" s="217"/>
      <c r="K138" s="217"/>
      <c r="L138" s="217"/>
      <c r="M138" s="217"/>
      <c r="N138" s="217"/>
      <c r="O138" s="217"/>
      <c r="P138" s="3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</row>
    <row r="139" spans="4:26" outlineLevel="2">
      <c r="D139" s="224" t="s">
        <v>812</v>
      </c>
      <c r="E139" s="15" t="s">
        <v>62</v>
      </c>
      <c r="F139" s="3"/>
      <c r="G139" s="217"/>
      <c r="H139" s="217"/>
      <c r="I139" s="217"/>
      <c r="J139" s="217"/>
      <c r="K139" s="217"/>
      <c r="L139" s="217"/>
      <c r="M139" s="217"/>
      <c r="N139" s="217"/>
      <c r="O139" s="217"/>
      <c r="P139" s="3"/>
      <c r="Q139" s="30">
        <v>693.649</v>
      </c>
      <c r="R139" s="225">
        <f t="shared" ref="R139:Z139" si="125">Q141</f>
        <v>693.649</v>
      </c>
      <c r="S139" s="225">
        <f t="shared" si="125"/>
        <v>693.649</v>
      </c>
      <c r="T139" s="225">
        <f t="shared" si="125"/>
        <v>693.649</v>
      </c>
      <c r="U139" s="225">
        <f t="shared" si="125"/>
        <v>693.649</v>
      </c>
      <c r="V139" s="225">
        <f t="shared" si="125"/>
        <v>0</v>
      </c>
      <c r="W139" s="225">
        <f t="shared" si="125"/>
        <v>0</v>
      </c>
      <c r="X139" s="225">
        <f t="shared" si="125"/>
        <v>0</v>
      </c>
      <c r="Y139" s="225">
        <f t="shared" si="125"/>
        <v>0</v>
      </c>
      <c r="Z139" s="225">
        <f t="shared" si="125"/>
        <v>0</v>
      </c>
    </row>
    <row r="140" spans="4:26" outlineLevel="2">
      <c r="D140" s="224" t="s">
        <v>815</v>
      </c>
      <c r="E140" s="15" t="s">
        <v>62</v>
      </c>
      <c r="F140" s="227">
        <f>YEAR(F138)</f>
        <v>2027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225">
        <f>($F140=Q$2)*$Q139</f>
        <v>0</v>
      </c>
      <c r="R140" s="225">
        <f t="shared" ref="R140" si="126">($F140=R$2)*$Q139</f>
        <v>0</v>
      </c>
      <c r="S140" s="225">
        <f t="shared" ref="S140" si="127">($F140=S$2)*$Q139</f>
        <v>0</v>
      </c>
      <c r="T140" s="225">
        <f t="shared" ref="T140" si="128">($F140=T$2)*$Q139</f>
        <v>0</v>
      </c>
      <c r="U140" s="225">
        <f t="shared" ref="U140" si="129">($F140=U$2)*$Q139</f>
        <v>693.649</v>
      </c>
      <c r="V140" s="225">
        <f t="shared" ref="V140" si="130">($F140=V$2)*$Q139</f>
        <v>0</v>
      </c>
      <c r="W140" s="225">
        <f t="shared" ref="W140" si="131">($F140=W$2)*$Q139</f>
        <v>0</v>
      </c>
      <c r="X140" s="225">
        <f t="shared" ref="X140" si="132">($F140=X$2)*$Q139</f>
        <v>0</v>
      </c>
      <c r="Y140" s="225">
        <f t="shared" ref="Y140" si="133">($F140=Y$2)*$Q139</f>
        <v>0</v>
      </c>
      <c r="Z140" s="225">
        <f t="shared" ref="Z140" si="134">($F140=Z$2)*$Q139</f>
        <v>0</v>
      </c>
    </row>
    <row r="141" spans="4:26" outlineLevel="2">
      <c r="D141" s="224" t="s">
        <v>813</v>
      </c>
      <c r="E141" s="15" t="s">
        <v>62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225">
        <f>Q139-Q140</f>
        <v>693.649</v>
      </c>
      <c r="R141" s="225">
        <f t="shared" ref="R141" si="135">R139-R140</f>
        <v>693.649</v>
      </c>
      <c r="S141" s="225">
        <f t="shared" ref="S141" si="136">S139-S140</f>
        <v>693.649</v>
      </c>
      <c r="T141" s="225">
        <f t="shared" ref="T141" si="137">T139-T140</f>
        <v>693.649</v>
      </c>
      <c r="U141" s="225">
        <f t="shared" ref="U141" si="138">U139-U140</f>
        <v>0</v>
      </c>
      <c r="V141" s="225">
        <f t="shared" ref="V141" si="139">V139-V140</f>
        <v>0</v>
      </c>
      <c r="W141" s="225">
        <f t="shared" ref="W141" si="140">W139-W140</f>
        <v>0</v>
      </c>
      <c r="X141" s="225">
        <f t="shared" ref="X141" si="141">X139-X140</f>
        <v>0</v>
      </c>
      <c r="Y141" s="225">
        <f t="shared" ref="Y141" si="142">Y139-Y140</f>
        <v>0</v>
      </c>
      <c r="Z141" s="225">
        <f t="shared" ref="Z141" si="143">Z139-Z140</f>
        <v>0</v>
      </c>
    </row>
    <row r="142" spans="4:26" outlineLevel="2">
      <c r="D142" s="224" t="s">
        <v>814</v>
      </c>
      <c r="E142" s="15" t="s">
        <v>62</v>
      </c>
      <c r="F142" s="223">
        <v>5.1249999999999997E-2</v>
      </c>
      <c r="G142" s="217"/>
      <c r="H142" s="217"/>
      <c r="I142" s="217"/>
      <c r="J142" s="217"/>
      <c r="K142" s="217"/>
      <c r="L142" s="217"/>
      <c r="M142" s="217"/>
      <c r="N142" s="217"/>
      <c r="O142" s="217"/>
      <c r="P142" s="3"/>
      <c r="Q142" s="225">
        <f>MAX(IF(YEAR($F138)&gt;Q$2,$F142*Q139,($F138-Q$1)/365*Q139*$F142),0)</f>
        <v>35.549511249999995</v>
      </c>
      <c r="R142" s="225">
        <f t="shared" ref="R142:Z142" si="144">MAX(IF(YEAR($F138)&gt;R$2,$F142*R139,($F138-R$1)/365*R139*$F142),0)</f>
        <v>35.549511249999995</v>
      </c>
      <c r="S142" s="225">
        <f t="shared" si="144"/>
        <v>35.549511249999995</v>
      </c>
      <c r="T142" s="225">
        <f t="shared" si="144"/>
        <v>35.549511249999995</v>
      </c>
      <c r="U142" s="225">
        <f t="shared" si="144"/>
        <v>27.952629393835615</v>
      </c>
      <c r="V142" s="225">
        <f t="shared" si="144"/>
        <v>0</v>
      </c>
      <c r="W142" s="225">
        <f t="shared" si="144"/>
        <v>0</v>
      </c>
      <c r="X142" s="225">
        <f t="shared" si="144"/>
        <v>0</v>
      </c>
      <c r="Y142" s="225">
        <f t="shared" si="144"/>
        <v>0</v>
      </c>
      <c r="Z142" s="225">
        <f t="shared" si="144"/>
        <v>0</v>
      </c>
    </row>
    <row r="143" spans="4:26" outlineLevel="2">
      <c r="G143" s="217"/>
      <c r="H143" s="217"/>
      <c r="I143" s="217"/>
      <c r="J143" s="217"/>
      <c r="K143" s="217"/>
      <c r="L143" s="217"/>
      <c r="M143" s="217"/>
      <c r="N143" s="217"/>
      <c r="O143" s="217"/>
      <c r="P143" s="3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</row>
    <row r="144" spans="4:26" outlineLevel="2">
      <c r="D144" s="229" t="s">
        <v>806</v>
      </c>
      <c r="E144" s="15" t="s">
        <v>62</v>
      </c>
      <c r="F144" s="226">
        <v>47467</v>
      </c>
      <c r="G144" s="217"/>
      <c r="H144" s="217"/>
      <c r="I144" s="217"/>
      <c r="J144" s="217"/>
      <c r="K144" s="217"/>
      <c r="L144" s="217"/>
      <c r="M144" s="217"/>
      <c r="N144" s="217"/>
      <c r="O144" s="217"/>
      <c r="P144" s="3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</row>
    <row r="145" spans="4:26" outlineLevel="2">
      <c r="D145" s="224" t="s">
        <v>812</v>
      </c>
      <c r="E145" s="15" t="s">
        <v>62</v>
      </c>
      <c r="F145" s="3"/>
      <c r="G145" s="217"/>
      <c r="H145" s="217"/>
      <c r="I145" s="217"/>
      <c r="J145" s="217"/>
      <c r="K145" s="217"/>
      <c r="L145" s="217"/>
      <c r="M145" s="217"/>
      <c r="N145" s="217"/>
      <c r="O145" s="217"/>
      <c r="P145" s="3"/>
      <c r="Q145" s="30">
        <v>695.28300000000002</v>
      </c>
      <c r="R145" s="225">
        <f t="shared" ref="R145:Z145" si="145">Q147</f>
        <v>695.28300000000002</v>
      </c>
      <c r="S145" s="225">
        <f t="shared" si="145"/>
        <v>695.28300000000002</v>
      </c>
      <c r="T145" s="225">
        <f t="shared" si="145"/>
        <v>695.28300000000002</v>
      </c>
      <c r="U145" s="225">
        <f t="shared" si="145"/>
        <v>695.28300000000002</v>
      </c>
      <c r="V145" s="225">
        <f t="shared" si="145"/>
        <v>695.28300000000002</v>
      </c>
      <c r="W145" s="225">
        <f t="shared" si="145"/>
        <v>695.28300000000002</v>
      </c>
      <c r="X145" s="225">
        <f t="shared" si="145"/>
        <v>0</v>
      </c>
      <c r="Y145" s="225">
        <f t="shared" si="145"/>
        <v>0</v>
      </c>
      <c r="Z145" s="225">
        <f t="shared" si="145"/>
        <v>0</v>
      </c>
    </row>
    <row r="146" spans="4:26" outlineLevel="2">
      <c r="D146" s="224" t="s">
        <v>815</v>
      </c>
      <c r="E146" s="15" t="s">
        <v>62</v>
      </c>
      <c r="F146" s="227">
        <f>YEAR(F144)</f>
        <v>2029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225">
        <f>($F146=Q$2)*$Q145</f>
        <v>0</v>
      </c>
      <c r="R146" s="225">
        <f t="shared" ref="R146" si="146">($F146=R$2)*$Q145</f>
        <v>0</v>
      </c>
      <c r="S146" s="225">
        <f t="shared" ref="S146" si="147">($F146=S$2)*$Q145</f>
        <v>0</v>
      </c>
      <c r="T146" s="225">
        <f t="shared" ref="T146" si="148">($F146=T$2)*$Q145</f>
        <v>0</v>
      </c>
      <c r="U146" s="225">
        <f t="shared" ref="U146" si="149">($F146=U$2)*$Q145</f>
        <v>0</v>
      </c>
      <c r="V146" s="225">
        <f t="shared" ref="V146" si="150">($F146=V$2)*$Q145</f>
        <v>0</v>
      </c>
      <c r="W146" s="225">
        <f t="shared" ref="W146" si="151">($F146=W$2)*$Q145</f>
        <v>695.28300000000002</v>
      </c>
      <c r="X146" s="225">
        <f t="shared" ref="X146" si="152">($F146=X$2)*$Q145</f>
        <v>0</v>
      </c>
      <c r="Y146" s="225">
        <f t="shared" ref="Y146" si="153">($F146=Y$2)*$Q145</f>
        <v>0</v>
      </c>
      <c r="Z146" s="225">
        <f t="shared" ref="Z146" si="154">($F146=Z$2)*$Q145</f>
        <v>0</v>
      </c>
    </row>
    <row r="147" spans="4:26" outlineLevel="2">
      <c r="D147" s="224" t="s">
        <v>813</v>
      </c>
      <c r="E147" s="15" t="s">
        <v>62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225">
        <f>Q145-Q146</f>
        <v>695.28300000000002</v>
      </c>
      <c r="R147" s="225">
        <f t="shared" ref="R147" si="155">R145-R146</f>
        <v>695.28300000000002</v>
      </c>
      <c r="S147" s="225">
        <f t="shared" ref="S147" si="156">S145-S146</f>
        <v>695.28300000000002</v>
      </c>
      <c r="T147" s="225">
        <f t="shared" ref="T147" si="157">T145-T146</f>
        <v>695.28300000000002</v>
      </c>
      <c r="U147" s="225">
        <f t="shared" ref="U147" si="158">U145-U146</f>
        <v>695.28300000000002</v>
      </c>
      <c r="V147" s="225">
        <f t="shared" ref="V147" si="159">V145-V146</f>
        <v>695.28300000000002</v>
      </c>
      <c r="W147" s="225">
        <f t="shared" ref="W147" si="160">W145-W146</f>
        <v>0</v>
      </c>
      <c r="X147" s="225">
        <f t="shared" ref="X147" si="161">X145-X146</f>
        <v>0</v>
      </c>
      <c r="Y147" s="225">
        <f t="shared" ref="Y147" si="162">Y145-Y146</f>
        <v>0</v>
      </c>
      <c r="Z147" s="225">
        <f t="shared" ref="Z147" si="163">Z145-Z146</f>
        <v>0</v>
      </c>
    </row>
    <row r="148" spans="4:26" outlineLevel="2">
      <c r="D148" s="224" t="s">
        <v>814</v>
      </c>
      <c r="E148" s="15" t="s">
        <v>62</v>
      </c>
      <c r="F148" s="223">
        <v>5.2499999999999998E-2</v>
      </c>
      <c r="G148" s="217"/>
      <c r="H148" s="217"/>
      <c r="I148" s="217"/>
      <c r="J148" s="217"/>
      <c r="K148" s="217"/>
      <c r="L148" s="217"/>
      <c r="M148" s="217"/>
      <c r="N148" s="217"/>
      <c r="O148" s="217"/>
      <c r="P148" s="3"/>
      <c r="Q148" s="225">
        <f>MAX(IF(YEAR($F144)&gt;Q$2,$F148*Q145,($F144-Q$1)/365*Q145*$F148),0)</f>
        <v>36.502357500000002</v>
      </c>
      <c r="R148" s="225">
        <f t="shared" ref="R148:Z148" si="164">MAX(IF(YEAR($F144)&gt;R$2,$F148*R145,($F144-R$1)/365*R145*$F148),0)</f>
        <v>36.502357500000002</v>
      </c>
      <c r="S148" s="225">
        <f t="shared" si="164"/>
        <v>36.502357500000002</v>
      </c>
      <c r="T148" s="225">
        <f t="shared" si="164"/>
        <v>36.502357500000002</v>
      </c>
      <c r="U148" s="225">
        <f t="shared" si="164"/>
        <v>36.502357500000002</v>
      </c>
      <c r="V148" s="225">
        <f t="shared" si="164"/>
        <v>36.502357500000002</v>
      </c>
      <c r="W148" s="225">
        <f t="shared" si="164"/>
        <v>34.802247698630133</v>
      </c>
      <c r="X148" s="225">
        <f t="shared" si="164"/>
        <v>0</v>
      </c>
      <c r="Y148" s="225">
        <f t="shared" si="164"/>
        <v>0</v>
      </c>
      <c r="Z148" s="225">
        <f t="shared" si="164"/>
        <v>0</v>
      </c>
    </row>
    <row r="149" spans="4:26" outlineLevel="2">
      <c r="G149" s="217"/>
      <c r="H149" s="217"/>
      <c r="I149" s="217"/>
      <c r="J149" s="217"/>
      <c r="K149" s="217"/>
      <c r="L149" s="217"/>
      <c r="M149" s="217"/>
      <c r="N149" s="217"/>
      <c r="O149" s="217"/>
      <c r="P149" s="3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</row>
    <row r="150" spans="4:26" outlineLevel="2">
      <c r="D150" s="229" t="s">
        <v>807</v>
      </c>
      <c r="E150" s="15" t="s">
        <v>62</v>
      </c>
      <c r="F150" s="226">
        <v>52932</v>
      </c>
      <c r="G150" s="217"/>
      <c r="H150" s="217"/>
      <c r="I150" s="217"/>
      <c r="J150" s="217"/>
      <c r="K150" s="217"/>
      <c r="L150" s="217"/>
      <c r="M150" s="217"/>
      <c r="N150" s="217"/>
      <c r="O150" s="217"/>
      <c r="P150" s="3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</row>
    <row r="151" spans="4:26" outlineLevel="2">
      <c r="D151" s="224" t="s">
        <v>812</v>
      </c>
      <c r="E151" s="15" t="s">
        <v>62</v>
      </c>
      <c r="F151" s="3"/>
      <c r="G151" s="217"/>
      <c r="H151" s="217"/>
      <c r="I151" s="217"/>
      <c r="J151" s="217"/>
      <c r="K151" s="217"/>
      <c r="L151" s="217"/>
      <c r="M151" s="217"/>
      <c r="N151" s="217"/>
      <c r="O151" s="217"/>
      <c r="P151" s="3"/>
      <c r="Q151" s="30">
        <v>295.60599999999999</v>
      </c>
      <c r="R151" s="225">
        <f t="shared" ref="R151:Z151" si="165">Q153</f>
        <v>295.60599999999999</v>
      </c>
      <c r="S151" s="225">
        <f t="shared" si="165"/>
        <v>295.60599999999999</v>
      </c>
      <c r="T151" s="225">
        <f t="shared" si="165"/>
        <v>295.60599999999999</v>
      </c>
      <c r="U151" s="225">
        <f t="shared" si="165"/>
        <v>295.60599999999999</v>
      </c>
      <c r="V151" s="225">
        <f t="shared" si="165"/>
        <v>295.60599999999999</v>
      </c>
      <c r="W151" s="225">
        <f t="shared" si="165"/>
        <v>295.60599999999999</v>
      </c>
      <c r="X151" s="225">
        <f t="shared" si="165"/>
        <v>295.60599999999999</v>
      </c>
      <c r="Y151" s="225">
        <f t="shared" si="165"/>
        <v>295.60599999999999</v>
      </c>
      <c r="Z151" s="225">
        <f t="shared" si="165"/>
        <v>295.60599999999999</v>
      </c>
    </row>
    <row r="152" spans="4:26" outlineLevel="2">
      <c r="D152" s="224" t="s">
        <v>815</v>
      </c>
      <c r="E152" s="15" t="s">
        <v>62</v>
      </c>
      <c r="F152" s="227">
        <f>YEAR(F150)</f>
        <v>2044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225">
        <f>($F152=Q$2)*$Q151</f>
        <v>0</v>
      </c>
      <c r="R152" s="225">
        <f t="shared" ref="R152" si="166">($F152=R$2)*$Q151</f>
        <v>0</v>
      </c>
      <c r="S152" s="225">
        <f t="shared" ref="S152" si="167">($F152=S$2)*$Q151</f>
        <v>0</v>
      </c>
      <c r="T152" s="225">
        <f t="shared" ref="T152" si="168">($F152=T$2)*$Q151</f>
        <v>0</v>
      </c>
      <c r="U152" s="225">
        <f t="shared" ref="U152" si="169">($F152=U$2)*$Q151</f>
        <v>0</v>
      </c>
      <c r="V152" s="225">
        <f t="shared" ref="V152" si="170">($F152=V$2)*$Q151</f>
        <v>0</v>
      </c>
      <c r="W152" s="225">
        <f t="shared" ref="W152" si="171">($F152=W$2)*$Q151</f>
        <v>0</v>
      </c>
      <c r="X152" s="225">
        <f t="shared" ref="X152" si="172">($F152=X$2)*$Q151</f>
        <v>0</v>
      </c>
      <c r="Y152" s="225">
        <f t="shared" ref="Y152" si="173">($F152=Y$2)*$Q151</f>
        <v>0</v>
      </c>
      <c r="Z152" s="225">
        <f t="shared" ref="Z152" si="174">($F152=Z$2)*$Q151</f>
        <v>0</v>
      </c>
    </row>
    <row r="153" spans="4:26" outlineLevel="2">
      <c r="D153" s="224" t="s">
        <v>813</v>
      </c>
      <c r="E153" s="15" t="s">
        <v>62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225">
        <f>Q151-Q152</f>
        <v>295.60599999999999</v>
      </c>
      <c r="R153" s="225">
        <f t="shared" ref="R153" si="175">R151-R152</f>
        <v>295.60599999999999</v>
      </c>
      <c r="S153" s="225">
        <f t="shared" ref="S153" si="176">S151-S152</f>
        <v>295.60599999999999</v>
      </c>
      <c r="T153" s="225">
        <f t="shared" ref="T153" si="177">T151-T152</f>
        <v>295.60599999999999</v>
      </c>
      <c r="U153" s="225">
        <f t="shared" ref="U153" si="178">U151-U152</f>
        <v>295.60599999999999</v>
      </c>
      <c r="V153" s="225">
        <f t="shared" ref="V153" si="179">V151-V152</f>
        <v>295.60599999999999</v>
      </c>
      <c r="W153" s="225">
        <f t="shared" ref="W153" si="180">W151-W152</f>
        <v>295.60599999999999</v>
      </c>
      <c r="X153" s="225">
        <f t="shared" ref="X153" si="181">X151-X152</f>
        <v>295.60599999999999</v>
      </c>
      <c r="Y153" s="225">
        <f t="shared" ref="Y153" si="182">Y151-Y152</f>
        <v>295.60599999999999</v>
      </c>
      <c r="Z153" s="225">
        <f t="shared" ref="Z153" si="183">Z151-Z152</f>
        <v>295.60599999999999</v>
      </c>
    </row>
    <row r="154" spans="4:26" outlineLevel="2">
      <c r="D154" s="224" t="s">
        <v>814</v>
      </c>
      <c r="E154" s="15" t="s">
        <v>62</v>
      </c>
      <c r="F154" s="223">
        <v>5.6500000000000002E-2</v>
      </c>
      <c r="G154" s="217"/>
      <c r="H154" s="217"/>
      <c r="I154" s="217"/>
      <c r="J154" s="217"/>
      <c r="K154" s="217"/>
      <c r="L154" s="217"/>
      <c r="M154" s="217"/>
      <c r="N154" s="217"/>
      <c r="O154" s="217"/>
      <c r="P154" s="3"/>
      <c r="Q154" s="225">
        <f>MAX(IF(YEAR($F150)&gt;Q$2,$F154*Q151,($F150-Q$1)/365*Q151*$F154),0)</f>
        <v>16.701739</v>
      </c>
      <c r="R154" s="225">
        <f t="shared" ref="R154:Z154" si="184">MAX(IF(YEAR($F150)&gt;R$2,$F154*R151,($F150-R$1)/365*R151*$F154),0)</f>
        <v>16.701739</v>
      </c>
      <c r="S154" s="225">
        <f t="shared" si="184"/>
        <v>16.701739</v>
      </c>
      <c r="T154" s="225">
        <f t="shared" si="184"/>
        <v>16.701739</v>
      </c>
      <c r="U154" s="225">
        <f t="shared" si="184"/>
        <v>16.701739</v>
      </c>
      <c r="V154" s="225">
        <f t="shared" si="184"/>
        <v>16.701739</v>
      </c>
      <c r="W154" s="225">
        <f t="shared" si="184"/>
        <v>16.701739</v>
      </c>
      <c r="X154" s="225">
        <f t="shared" si="184"/>
        <v>16.701739</v>
      </c>
      <c r="Y154" s="225">
        <f t="shared" si="184"/>
        <v>16.701739</v>
      </c>
      <c r="Z154" s="225">
        <f t="shared" si="184"/>
        <v>16.701739</v>
      </c>
    </row>
    <row r="155" spans="4:26" outlineLevel="2"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</row>
    <row r="156" spans="4:26" outlineLevel="1"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</row>
    <row r="157" spans="4:26" outlineLevel="1">
      <c r="D157" s="5" t="s">
        <v>808</v>
      </c>
      <c r="E157" s="9" t="s">
        <v>62</v>
      </c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30">
        <f>Q162+Q168+Q174</f>
        <v>168.13899999999998</v>
      </c>
      <c r="R157" s="230">
        <f t="shared" ref="R157:Z157" si="185">R162+R168+R174</f>
        <v>168.13899999999998</v>
      </c>
      <c r="S157" s="230">
        <f t="shared" si="185"/>
        <v>168.13899999999998</v>
      </c>
      <c r="T157" s="230">
        <f t="shared" si="185"/>
        <v>168.13899999999998</v>
      </c>
      <c r="U157" s="230">
        <f t="shared" si="185"/>
        <v>168.13899999999998</v>
      </c>
      <c r="V157" s="230">
        <f t="shared" si="185"/>
        <v>168.13899999999998</v>
      </c>
      <c r="W157" s="230">
        <f t="shared" si="185"/>
        <v>168.13899999999998</v>
      </c>
      <c r="X157" s="230">
        <f t="shared" si="185"/>
        <v>168.13899999999998</v>
      </c>
      <c r="Y157" s="230">
        <f t="shared" si="185"/>
        <v>106.161</v>
      </c>
      <c r="Z157" s="230">
        <f t="shared" si="185"/>
        <v>106.161</v>
      </c>
    </row>
    <row r="158" spans="4:26" outlineLevel="2">
      <c r="D158" s="5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31"/>
      <c r="R158" s="217"/>
      <c r="S158" s="217"/>
      <c r="T158" s="217"/>
      <c r="U158" s="217"/>
      <c r="V158" s="217"/>
      <c r="W158" s="217"/>
      <c r="X158" s="217"/>
      <c r="Y158" s="217"/>
      <c r="Z158" s="217"/>
    </row>
    <row r="159" spans="4:26" outlineLevel="2">
      <c r="D159" s="229" t="s">
        <v>809</v>
      </c>
      <c r="E159" s="15" t="s">
        <v>62</v>
      </c>
      <c r="F159" s="226">
        <v>48029</v>
      </c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</row>
    <row r="160" spans="4:26" outlineLevel="2">
      <c r="D160" s="224" t="s">
        <v>812</v>
      </c>
      <c r="E160" s="15" t="s">
        <v>62</v>
      </c>
      <c r="F160" s="3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30">
        <v>61.978000000000002</v>
      </c>
      <c r="R160" s="225">
        <f t="shared" ref="R160:Z160" si="186">Q162</f>
        <v>61.978000000000002</v>
      </c>
      <c r="S160" s="225">
        <f t="shared" si="186"/>
        <v>61.978000000000002</v>
      </c>
      <c r="T160" s="225">
        <f t="shared" si="186"/>
        <v>61.978000000000002</v>
      </c>
      <c r="U160" s="225">
        <f t="shared" si="186"/>
        <v>61.978000000000002</v>
      </c>
      <c r="V160" s="225">
        <f t="shared" si="186"/>
        <v>61.978000000000002</v>
      </c>
      <c r="W160" s="225">
        <f t="shared" si="186"/>
        <v>61.978000000000002</v>
      </c>
      <c r="X160" s="225">
        <f t="shared" si="186"/>
        <v>61.978000000000002</v>
      </c>
      <c r="Y160" s="225">
        <f t="shared" si="186"/>
        <v>61.978000000000002</v>
      </c>
      <c r="Z160" s="225">
        <f t="shared" si="186"/>
        <v>0</v>
      </c>
    </row>
    <row r="161" spans="4:26" outlineLevel="2">
      <c r="D161" s="224" t="s">
        <v>815</v>
      </c>
      <c r="E161" s="15" t="s">
        <v>62</v>
      </c>
      <c r="F161" s="227">
        <f>YEAR(F159)</f>
        <v>2031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225">
        <f>($F161=Q$2)*$Q160</f>
        <v>0</v>
      </c>
      <c r="R161" s="225">
        <f t="shared" ref="R161" si="187">($F161=R$2)*$Q160</f>
        <v>0</v>
      </c>
      <c r="S161" s="225">
        <f t="shared" ref="S161" si="188">($F161=S$2)*$Q160</f>
        <v>0</v>
      </c>
      <c r="T161" s="225">
        <f t="shared" ref="T161" si="189">($F161=T$2)*$Q160</f>
        <v>0</v>
      </c>
      <c r="U161" s="225">
        <f t="shared" ref="U161" si="190">($F161=U$2)*$Q160</f>
        <v>0</v>
      </c>
      <c r="V161" s="225">
        <f t="shared" ref="V161" si="191">($F161=V$2)*$Q160</f>
        <v>0</v>
      </c>
      <c r="W161" s="225">
        <f t="shared" ref="W161" si="192">($F161=W$2)*$Q160</f>
        <v>0</v>
      </c>
      <c r="X161" s="225">
        <f t="shared" ref="X161" si="193">($F161=X$2)*$Q160</f>
        <v>0</v>
      </c>
      <c r="Y161" s="225">
        <f t="shared" ref="Y161" si="194">($F161=Y$2)*$Q160</f>
        <v>61.978000000000002</v>
      </c>
      <c r="Z161" s="225">
        <f t="shared" ref="Z161" si="195">($F161=Z$2)*$Q160</f>
        <v>0</v>
      </c>
    </row>
    <row r="162" spans="4:26" outlineLevel="2">
      <c r="D162" s="224" t="s">
        <v>813</v>
      </c>
      <c r="E162" s="15" t="s">
        <v>62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225">
        <f>Q160-Q161</f>
        <v>61.978000000000002</v>
      </c>
      <c r="R162" s="225">
        <f t="shared" ref="R162" si="196">R160-R161</f>
        <v>61.978000000000002</v>
      </c>
      <c r="S162" s="225">
        <f t="shared" ref="S162" si="197">S160-S161</f>
        <v>61.978000000000002</v>
      </c>
      <c r="T162" s="225">
        <f t="shared" ref="T162" si="198">T160-T161</f>
        <v>61.978000000000002</v>
      </c>
      <c r="U162" s="225">
        <f t="shared" ref="U162" si="199">U160-U161</f>
        <v>61.978000000000002</v>
      </c>
      <c r="V162" s="225">
        <f t="shared" ref="V162" si="200">V160-V161</f>
        <v>61.978000000000002</v>
      </c>
      <c r="W162" s="225">
        <f t="shared" ref="W162" si="201">W160-W161</f>
        <v>61.978000000000002</v>
      </c>
      <c r="X162" s="225">
        <f t="shared" ref="X162" si="202">X160-X161</f>
        <v>61.978000000000002</v>
      </c>
      <c r="Y162" s="225">
        <f t="shared" ref="Y162" si="203">Y160-Y161</f>
        <v>0</v>
      </c>
      <c r="Z162" s="225">
        <f t="shared" ref="Z162" si="204">Z160-Z161</f>
        <v>0</v>
      </c>
    </row>
    <row r="163" spans="4:26" outlineLevel="2">
      <c r="D163" s="224" t="s">
        <v>814</v>
      </c>
      <c r="E163" s="15" t="s">
        <v>62</v>
      </c>
      <c r="F163" s="223">
        <v>5.5800000000000002E-2</v>
      </c>
      <c r="G163" s="217"/>
      <c r="H163" s="217"/>
      <c r="I163" s="217"/>
      <c r="J163" s="217"/>
      <c r="K163" s="217"/>
      <c r="L163" s="217"/>
      <c r="M163" s="217"/>
      <c r="N163" s="217"/>
      <c r="O163" s="217"/>
      <c r="P163" s="3"/>
      <c r="Q163" s="225">
        <f>MAX(IF(YEAR($F159)&gt;Q$2,$F163*Q160,($F159-Q$1)/365*Q160*$F163),0)</f>
        <v>3.4583724</v>
      </c>
      <c r="R163" s="225">
        <f t="shared" ref="R163:Z163" si="205">MAX(IF(YEAR($F159)&gt;R$2,$F163*R160,($F159-R$1)/365*R160*$F163),0)</f>
        <v>3.4583724</v>
      </c>
      <c r="S163" s="225">
        <f t="shared" si="205"/>
        <v>3.4583724</v>
      </c>
      <c r="T163" s="225">
        <f t="shared" si="205"/>
        <v>3.4583724</v>
      </c>
      <c r="U163" s="225">
        <f t="shared" si="205"/>
        <v>3.4583724</v>
      </c>
      <c r="V163" s="225">
        <f t="shared" si="205"/>
        <v>3.4583724</v>
      </c>
      <c r="W163" s="225">
        <f t="shared" si="205"/>
        <v>3.4583724</v>
      </c>
      <c r="X163" s="225">
        <f t="shared" si="205"/>
        <v>3.4583724</v>
      </c>
      <c r="Y163" s="225">
        <f t="shared" si="205"/>
        <v>1.7054987178082193</v>
      </c>
      <c r="Z163" s="225">
        <f t="shared" si="205"/>
        <v>0</v>
      </c>
    </row>
    <row r="164" spans="4:26" outlineLevel="2"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</row>
    <row r="165" spans="4:26" outlineLevel="2">
      <c r="D165" s="229" t="s">
        <v>810</v>
      </c>
      <c r="E165" s="15" t="s">
        <v>62</v>
      </c>
      <c r="F165" s="226">
        <v>48852</v>
      </c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</row>
    <row r="166" spans="4:26" outlineLevel="2">
      <c r="D166" s="224" t="s">
        <v>812</v>
      </c>
      <c r="E166" s="15" t="s">
        <v>62</v>
      </c>
      <c r="F166" s="3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30">
        <v>70.311999999999998</v>
      </c>
      <c r="R166" s="225">
        <f t="shared" ref="R166:Z166" si="206">Q168</f>
        <v>70.311999999999998</v>
      </c>
      <c r="S166" s="225">
        <f t="shared" si="206"/>
        <v>70.311999999999998</v>
      </c>
      <c r="T166" s="225">
        <f t="shared" si="206"/>
        <v>70.311999999999998</v>
      </c>
      <c r="U166" s="225">
        <f t="shared" si="206"/>
        <v>70.311999999999998</v>
      </c>
      <c r="V166" s="225">
        <f t="shared" si="206"/>
        <v>70.311999999999998</v>
      </c>
      <c r="W166" s="225">
        <f t="shared" si="206"/>
        <v>70.311999999999998</v>
      </c>
      <c r="X166" s="225">
        <f t="shared" si="206"/>
        <v>70.311999999999998</v>
      </c>
      <c r="Y166" s="225">
        <f t="shared" si="206"/>
        <v>70.311999999999998</v>
      </c>
      <c r="Z166" s="225">
        <f t="shared" si="206"/>
        <v>70.311999999999998</v>
      </c>
    </row>
    <row r="167" spans="4:26" outlineLevel="2">
      <c r="D167" s="224" t="s">
        <v>815</v>
      </c>
      <c r="E167" s="15" t="s">
        <v>62</v>
      </c>
      <c r="F167" s="227">
        <f>YEAR(F165)</f>
        <v>2033</v>
      </c>
      <c r="G167" s="3"/>
      <c r="H167" s="3"/>
      <c r="I167" s="3"/>
      <c r="J167" s="3"/>
      <c r="K167" s="3"/>
      <c r="L167" s="3"/>
      <c r="M167" s="3"/>
      <c r="N167" s="3"/>
      <c r="O167" s="3"/>
      <c r="P167" s="217"/>
      <c r="Q167" s="225">
        <f>($F167=Q$2)*$Q166</f>
        <v>0</v>
      </c>
      <c r="R167" s="225">
        <f t="shared" ref="R167" si="207">($F167=R$2)*$Q166</f>
        <v>0</v>
      </c>
      <c r="S167" s="225">
        <f t="shared" ref="S167" si="208">($F167=S$2)*$Q166</f>
        <v>0</v>
      </c>
      <c r="T167" s="225">
        <f t="shared" ref="T167" si="209">($F167=T$2)*$Q166</f>
        <v>0</v>
      </c>
      <c r="U167" s="225">
        <f t="shared" ref="U167" si="210">($F167=U$2)*$Q166</f>
        <v>0</v>
      </c>
      <c r="V167" s="225">
        <f t="shared" ref="V167" si="211">($F167=V$2)*$Q166</f>
        <v>0</v>
      </c>
      <c r="W167" s="225">
        <f t="shared" ref="W167" si="212">($F167=W$2)*$Q166</f>
        <v>0</v>
      </c>
      <c r="X167" s="225">
        <f t="shared" ref="X167" si="213">($F167=X$2)*$Q166</f>
        <v>0</v>
      </c>
      <c r="Y167" s="225">
        <f t="shared" ref="Y167" si="214">($F167=Y$2)*$Q166</f>
        <v>0</v>
      </c>
      <c r="Z167" s="225">
        <f t="shared" ref="Z167" si="215">($F167=Z$2)*$Q166</f>
        <v>0</v>
      </c>
    </row>
    <row r="168" spans="4:26" outlineLevel="2">
      <c r="D168" s="224" t="s">
        <v>813</v>
      </c>
      <c r="E168" s="15" t="s">
        <v>62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225">
        <f>Q166-Q167</f>
        <v>70.311999999999998</v>
      </c>
      <c r="R168" s="225">
        <f t="shared" ref="R168" si="216">R166-R167</f>
        <v>70.311999999999998</v>
      </c>
      <c r="S168" s="225">
        <f t="shared" ref="S168" si="217">S166-S167</f>
        <v>70.311999999999998</v>
      </c>
      <c r="T168" s="225">
        <f t="shared" ref="T168" si="218">T166-T167</f>
        <v>70.311999999999998</v>
      </c>
      <c r="U168" s="225">
        <f t="shared" ref="U168" si="219">U166-U167</f>
        <v>70.311999999999998</v>
      </c>
      <c r="V168" s="225">
        <f t="shared" ref="V168" si="220">V166-V167</f>
        <v>70.311999999999998</v>
      </c>
      <c r="W168" s="225">
        <f t="shared" ref="W168" si="221">W166-W167</f>
        <v>70.311999999999998</v>
      </c>
      <c r="X168" s="225">
        <f t="shared" ref="X168" si="222">X166-X167</f>
        <v>70.311999999999998</v>
      </c>
      <c r="Y168" s="225">
        <f t="shared" ref="Y168" si="223">Y166-Y167</f>
        <v>70.311999999999998</v>
      </c>
      <c r="Z168" s="225">
        <f t="shared" ref="Z168" si="224">Z166-Z167</f>
        <v>70.311999999999998</v>
      </c>
    </row>
    <row r="169" spans="4:26" outlineLevel="2">
      <c r="D169" s="224" t="s">
        <v>814</v>
      </c>
      <c r="E169" s="15" t="s">
        <v>62</v>
      </c>
      <c r="F169" s="223">
        <v>5.3499999999999999E-2</v>
      </c>
      <c r="G169" s="217"/>
      <c r="H169" s="217"/>
      <c r="I169" s="217"/>
      <c r="J169" s="217"/>
      <c r="K169" s="217"/>
      <c r="L169" s="217"/>
      <c r="M169" s="217"/>
      <c r="N169" s="217"/>
      <c r="O169" s="217"/>
      <c r="P169" s="3"/>
      <c r="Q169" s="225">
        <f>MAX(IF(YEAR($F165)&gt;Q$2,$F169*Q166,($F165-Q$1)/365*Q166*$F169),0)</f>
        <v>3.7616919999999996</v>
      </c>
      <c r="R169" s="225">
        <f t="shared" ref="R169:Z169" si="225">MAX(IF(YEAR($F165)&gt;R$2,$F169*R166,($F165-R$1)/365*R166*$F169),0)</f>
        <v>3.7616919999999996</v>
      </c>
      <c r="S169" s="225">
        <f t="shared" si="225"/>
        <v>3.7616919999999996</v>
      </c>
      <c r="T169" s="225">
        <f t="shared" si="225"/>
        <v>3.7616919999999996</v>
      </c>
      <c r="U169" s="225">
        <f t="shared" si="225"/>
        <v>3.7616919999999996</v>
      </c>
      <c r="V169" s="225">
        <f t="shared" si="225"/>
        <v>3.7616919999999996</v>
      </c>
      <c r="W169" s="225">
        <f t="shared" si="225"/>
        <v>3.7616919999999996</v>
      </c>
      <c r="X169" s="225">
        <f t="shared" si="225"/>
        <v>3.7616919999999996</v>
      </c>
      <c r="Y169" s="225">
        <f t="shared" si="225"/>
        <v>3.7616919999999996</v>
      </c>
      <c r="Z169" s="225">
        <f t="shared" si="225"/>
        <v>3.7616919999999996</v>
      </c>
    </row>
    <row r="170" spans="4:26" outlineLevel="2"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</row>
    <row r="171" spans="4:26" outlineLevel="2">
      <c r="D171" s="229" t="s">
        <v>811</v>
      </c>
      <c r="E171" s="15" t="s">
        <v>62</v>
      </c>
      <c r="F171" s="226">
        <v>49933</v>
      </c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</row>
    <row r="172" spans="4:26" outlineLevel="2">
      <c r="D172" s="224" t="s">
        <v>812</v>
      </c>
      <c r="E172" s="15" t="s">
        <v>62</v>
      </c>
      <c r="F172" s="3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30">
        <v>35.848999999999997</v>
      </c>
      <c r="R172" s="225">
        <f t="shared" ref="R172:Z172" si="226">Q174</f>
        <v>35.848999999999997</v>
      </c>
      <c r="S172" s="225">
        <f t="shared" si="226"/>
        <v>35.848999999999997</v>
      </c>
      <c r="T172" s="225">
        <f t="shared" si="226"/>
        <v>35.848999999999997</v>
      </c>
      <c r="U172" s="225">
        <f t="shared" si="226"/>
        <v>35.848999999999997</v>
      </c>
      <c r="V172" s="225">
        <f t="shared" si="226"/>
        <v>35.848999999999997</v>
      </c>
      <c r="W172" s="225">
        <f t="shared" si="226"/>
        <v>35.848999999999997</v>
      </c>
      <c r="X172" s="225">
        <f t="shared" si="226"/>
        <v>35.848999999999997</v>
      </c>
      <c r="Y172" s="225">
        <f t="shared" si="226"/>
        <v>35.848999999999997</v>
      </c>
      <c r="Z172" s="225">
        <f t="shared" si="226"/>
        <v>35.848999999999997</v>
      </c>
    </row>
    <row r="173" spans="4:26" outlineLevel="2">
      <c r="D173" s="224" t="s">
        <v>815</v>
      </c>
      <c r="E173" s="15" t="s">
        <v>62</v>
      </c>
      <c r="F173" s="227">
        <f>YEAR(F171)</f>
        <v>2036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225">
        <f>($F173=Q$2)*$Q172</f>
        <v>0</v>
      </c>
      <c r="R173" s="225">
        <f t="shared" ref="R173" si="227">($F173=R$2)*$Q172</f>
        <v>0</v>
      </c>
      <c r="S173" s="225">
        <f t="shared" ref="S173" si="228">($F173=S$2)*$Q172</f>
        <v>0</v>
      </c>
      <c r="T173" s="225">
        <f t="shared" ref="T173" si="229">($F173=T$2)*$Q172</f>
        <v>0</v>
      </c>
      <c r="U173" s="225">
        <f t="shared" ref="U173" si="230">($F173=U$2)*$Q172</f>
        <v>0</v>
      </c>
      <c r="V173" s="225">
        <f t="shared" ref="V173" si="231">($F173=V$2)*$Q172</f>
        <v>0</v>
      </c>
      <c r="W173" s="225">
        <f t="shared" ref="W173" si="232">($F173=W$2)*$Q172</f>
        <v>0</v>
      </c>
      <c r="X173" s="225">
        <f t="shared" ref="X173" si="233">($F173=X$2)*$Q172</f>
        <v>0</v>
      </c>
      <c r="Y173" s="225">
        <f t="shared" ref="Y173" si="234">($F173=Y$2)*$Q172</f>
        <v>0</v>
      </c>
      <c r="Z173" s="225">
        <f t="shared" ref="Z173" si="235">($F173=Z$2)*$Q172</f>
        <v>0</v>
      </c>
    </row>
    <row r="174" spans="4:26" outlineLevel="2">
      <c r="D174" s="224" t="s">
        <v>813</v>
      </c>
      <c r="E174" s="15" t="s">
        <v>62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225">
        <f>Q172-Q173</f>
        <v>35.848999999999997</v>
      </c>
      <c r="R174" s="225">
        <f t="shared" ref="R174" si="236">R172-R173</f>
        <v>35.848999999999997</v>
      </c>
      <c r="S174" s="225">
        <f t="shared" ref="S174" si="237">S172-S173</f>
        <v>35.848999999999997</v>
      </c>
      <c r="T174" s="225">
        <f t="shared" ref="T174" si="238">T172-T173</f>
        <v>35.848999999999997</v>
      </c>
      <c r="U174" s="225">
        <f t="shared" ref="U174" si="239">U172-U173</f>
        <v>35.848999999999997</v>
      </c>
      <c r="V174" s="225">
        <f t="shared" ref="V174" si="240">V172-V173</f>
        <v>35.848999999999997</v>
      </c>
      <c r="W174" s="225">
        <f t="shared" ref="W174" si="241">W172-W173</f>
        <v>35.848999999999997</v>
      </c>
      <c r="X174" s="225">
        <f t="shared" ref="X174" si="242">X172-X173</f>
        <v>35.848999999999997</v>
      </c>
      <c r="Y174" s="225">
        <f t="shared" ref="Y174" si="243">Y172-Y173</f>
        <v>35.848999999999997</v>
      </c>
      <c r="Z174" s="225">
        <f t="shared" ref="Z174" si="244">Z172-Z173</f>
        <v>35.848999999999997</v>
      </c>
    </row>
    <row r="175" spans="4:26" outlineLevel="2">
      <c r="D175" s="224" t="s">
        <v>814</v>
      </c>
      <c r="E175" s="15" t="s">
        <v>62</v>
      </c>
      <c r="F175" s="223">
        <v>5.0799999999999998E-2</v>
      </c>
      <c r="G175" s="217"/>
      <c r="H175" s="217"/>
      <c r="I175" s="217"/>
      <c r="J175" s="217"/>
      <c r="K175" s="217"/>
      <c r="L175" s="217"/>
      <c r="M175" s="217"/>
      <c r="N175" s="217"/>
      <c r="O175" s="217"/>
      <c r="P175" s="3"/>
      <c r="Q175" s="225">
        <f>MAX(IF(YEAR($F171)&gt;Q$2,$F175*Q172,($F171-Q$1)/365*Q172*$F175),0)</f>
        <v>1.8211291999999997</v>
      </c>
      <c r="R175" s="225">
        <f t="shared" ref="R175:Z175" si="245">MAX(IF(YEAR($F171)&gt;R$2,$F175*R172,($F171-R$1)/365*R172*$F175),0)</f>
        <v>1.8211291999999997</v>
      </c>
      <c r="S175" s="225">
        <f t="shared" si="245"/>
        <v>1.8211291999999997</v>
      </c>
      <c r="T175" s="225">
        <f t="shared" si="245"/>
        <v>1.8211291999999997</v>
      </c>
      <c r="U175" s="225">
        <f t="shared" si="245"/>
        <v>1.8211291999999997</v>
      </c>
      <c r="V175" s="225">
        <f t="shared" si="245"/>
        <v>1.8211291999999997</v>
      </c>
      <c r="W175" s="225">
        <f t="shared" si="245"/>
        <v>1.8211291999999997</v>
      </c>
      <c r="X175" s="225">
        <f t="shared" si="245"/>
        <v>1.8211291999999997</v>
      </c>
      <c r="Y175" s="225">
        <f t="shared" si="245"/>
        <v>1.8211291999999997</v>
      </c>
      <c r="Z175" s="225">
        <f t="shared" si="245"/>
        <v>1.8211291999999997</v>
      </c>
    </row>
    <row r="176" spans="4:26" outlineLevel="2"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</row>
    <row r="177" spans="2:26" outlineLevel="1"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</row>
    <row r="178" spans="2:26" outlineLevel="1">
      <c r="D178" s="5" t="s">
        <v>740</v>
      </c>
      <c r="E178" s="9" t="s">
        <v>62</v>
      </c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30">
        <f>Q182</f>
        <v>762.33400000000006</v>
      </c>
      <c r="R178" s="230">
        <f t="shared" ref="R178:Z178" si="246">R182</f>
        <v>665.63200000000006</v>
      </c>
      <c r="S178" s="230">
        <f t="shared" si="246"/>
        <v>579.70400000000006</v>
      </c>
      <c r="T178" s="230">
        <f t="shared" si="246"/>
        <v>504.71600000000007</v>
      </c>
      <c r="U178" s="230">
        <f t="shared" si="246"/>
        <v>435.23200000000008</v>
      </c>
      <c r="V178" s="230">
        <f t="shared" si="246"/>
        <v>365.7480000000001</v>
      </c>
      <c r="W178" s="230">
        <f t="shared" si="246"/>
        <v>296.26400000000012</v>
      </c>
      <c r="X178" s="230">
        <f t="shared" si="246"/>
        <v>226.78000000000014</v>
      </c>
      <c r="Y178" s="230">
        <f t="shared" si="246"/>
        <v>157.29600000000016</v>
      </c>
      <c r="Z178" s="230">
        <f t="shared" si="246"/>
        <v>87.812000000000168</v>
      </c>
    </row>
    <row r="179" spans="2:26" outlineLevel="3">
      <c r="D179" s="5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31"/>
      <c r="R179" s="217"/>
      <c r="S179" s="217"/>
      <c r="T179" s="217"/>
      <c r="U179" s="217"/>
      <c r="V179" s="217"/>
      <c r="W179" s="217"/>
      <c r="X179" s="217"/>
      <c r="Y179" s="217"/>
      <c r="Z179" s="217"/>
    </row>
    <row r="180" spans="2:26" outlineLevel="3">
      <c r="D180" s="16" t="s">
        <v>812</v>
      </c>
      <c r="E180" s="15" t="s">
        <v>62</v>
      </c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30">
        <v>870.16300000000001</v>
      </c>
      <c r="R180" s="25">
        <f>Q182</f>
        <v>762.33400000000006</v>
      </c>
      <c r="S180" s="25">
        <f t="shared" ref="S180:Z180" si="247">R182</f>
        <v>665.63200000000006</v>
      </c>
      <c r="T180" s="25">
        <f t="shared" si="247"/>
        <v>579.70400000000006</v>
      </c>
      <c r="U180" s="25">
        <f t="shared" si="247"/>
        <v>504.71600000000007</v>
      </c>
      <c r="V180" s="25">
        <f t="shared" si="247"/>
        <v>435.23200000000008</v>
      </c>
      <c r="W180" s="25">
        <f t="shared" si="247"/>
        <v>365.7480000000001</v>
      </c>
      <c r="X180" s="25">
        <f t="shared" si="247"/>
        <v>296.26400000000012</v>
      </c>
      <c r="Y180" s="25">
        <f t="shared" si="247"/>
        <v>226.78000000000014</v>
      </c>
      <c r="Z180" s="25">
        <f t="shared" si="247"/>
        <v>157.29600000000016</v>
      </c>
    </row>
    <row r="181" spans="2:26" outlineLevel="3">
      <c r="D181" s="16" t="s">
        <v>815</v>
      </c>
      <c r="E181" s="15" t="s">
        <v>62</v>
      </c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30">
        <v>107.82899999999999</v>
      </c>
      <c r="R181" s="30">
        <v>96.701999999999998</v>
      </c>
      <c r="S181" s="30">
        <v>85.927999999999997</v>
      </c>
      <c r="T181" s="30">
        <v>74.988</v>
      </c>
      <c r="U181" s="30">
        <v>69.483999999999995</v>
      </c>
      <c r="V181" s="25">
        <f>U181</f>
        <v>69.483999999999995</v>
      </c>
      <c r="W181" s="25">
        <f t="shared" ref="W181:Z181" si="248">V181</f>
        <v>69.483999999999995</v>
      </c>
      <c r="X181" s="25">
        <f t="shared" si="248"/>
        <v>69.483999999999995</v>
      </c>
      <c r="Y181" s="25">
        <f t="shared" si="248"/>
        <v>69.483999999999995</v>
      </c>
      <c r="Z181" s="25">
        <f t="shared" si="248"/>
        <v>69.483999999999995</v>
      </c>
    </row>
    <row r="182" spans="2:26" outlineLevel="3">
      <c r="D182" s="16" t="s">
        <v>813</v>
      </c>
      <c r="E182" s="15" t="s">
        <v>62</v>
      </c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5">
        <f>Q180-Q181</f>
        <v>762.33400000000006</v>
      </c>
      <c r="R182" s="25">
        <f t="shared" ref="R182:Z182" si="249">R180-R181</f>
        <v>665.63200000000006</v>
      </c>
      <c r="S182" s="25">
        <f t="shared" si="249"/>
        <v>579.70400000000006</v>
      </c>
      <c r="T182" s="25">
        <f t="shared" si="249"/>
        <v>504.71600000000007</v>
      </c>
      <c r="U182" s="25">
        <f t="shared" si="249"/>
        <v>435.23200000000008</v>
      </c>
      <c r="V182" s="25">
        <f t="shared" si="249"/>
        <v>365.7480000000001</v>
      </c>
      <c r="W182" s="25">
        <f t="shared" si="249"/>
        <v>296.26400000000012</v>
      </c>
      <c r="X182" s="25">
        <f t="shared" si="249"/>
        <v>226.78000000000014</v>
      </c>
      <c r="Y182" s="25">
        <f t="shared" si="249"/>
        <v>157.29600000000016</v>
      </c>
      <c r="Z182" s="25">
        <f t="shared" si="249"/>
        <v>87.812000000000168</v>
      </c>
    </row>
    <row r="183" spans="2:26" outlineLevel="3">
      <c r="D183" s="16" t="s">
        <v>816</v>
      </c>
      <c r="E183" s="15" t="s">
        <v>62</v>
      </c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30">
        <v>48.978000000000002</v>
      </c>
      <c r="R183" s="30">
        <v>43.76</v>
      </c>
      <c r="S183" s="30">
        <v>38.545999999999999</v>
      </c>
      <c r="T183" s="30">
        <v>33.598999999999997</v>
      </c>
      <c r="U183" s="30">
        <v>28.638999999999999</v>
      </c>
      <c r="V183" s="25">
        <f>U183</f>
        <v>28.638999999999999</v>
      </c>
      <c r="W183" s="25">
        <f t="shared" ref="W183:Z183" si="250">V183</f>
        <v>28.638999999999999</v>
      </c>
      <c r="X183" s="25">
        <f t="shared" si="250"/>
        <v>28.638999999999999</v>
      </c>
      <c r="Y183" s="25">
        <f t="shared" si="250"/>
        <v>28.638999999999999</v>
      </c>
      <c r="Z183" s="25">
        <f t="shared" si="250"/>
        <v>28.638999999999999</v>
      </c>
    </row>
    <row r="184" spans="2:26" outlineLevel="3">
      <c r="D184" s="5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31"/>
      <c r="R184" s="217"/>
      <c r="S184" s="217"/>
      <c r="T184" s="217"/>
      <c r="U184" s="217"/>
      <c r="V184" s="217"/>
      <c r="W184" s="217"/>
      <c r="X184" s="217"/>
      <c r="Y184" s="217"/>
      <c r="Z184" s="217"/>
    </row>
    <row r="185" spans="2:26" outlineLevel="2">
      <c r="D185" s="5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31"/>
      <c r="R185" s="217"/>
      <c r="S185" s="217"/>
      <c r="T185" s="217"/>
      <c r="U185" s="217"/>
      <c r="V185" s="217"/>
      <c r="W185" s="217"/>
      <c r="X185" s="217"/>
      <c r="Y185" s="217"/>
      <c r="Z185" s="217"/>
    </row>
    <row r="187" spans="2:26">
      <c r="B187" s="1" t="s">
        <v>759</v>
      </c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outlineLevel="1"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</row>
    <row r="189" spans="2:26" outlineLevel="1">
      <c r="D189" s="3" t="s">
        <v>60</v>
      </c>
      <c r="E189" s="15" t="s">
        <v>62</v>
      </c>
      <c r="G189" s="25">
        <f t="shared" ref="G189:Z189" si="251">G78</f>
        <v>3024.047</v>
      </c>
      <c r="H189" s="25">
        <f t="shared" si="251"/>
        <v>3223.3989999999999</v>
      </c>
      <c r="I189" s="25">
        <f t="shared" si="251"/>
        <v>2225.6019999999999</v>
      </c>
      <c r="J189" s="25">
        <f t="shared" si="251"/>
        <v>1998.4290000000001</v>
      </c>
      <c r="K189" s="25">
        <f t="shared" si="251"/>
        <v>3060.6419999999998</v>
      </c>
      <c r="L189" s="25">
        <f t="shared" si="251"/>
        <v>3931.8470000000002</v>
      </c>
      <c r="M189" s="25">
        <f t="shared" si="251"/>
        <v>3283.5140000000001</v>
      </c>
      <c r="N189" s="25">
        <f t="shared" si="251"/>
        <v>2649.9630000000002</v>
      </c>
      <c r="O189" s="25">
        <f t="shared" si="251"/>
        <v>4414.5590000000002</v>
      </c>
      <c r="P189" s="25">
        <f t="shared" si="251"/>
        <v>4311.1880000000001</v>
      </c>
      <c r="Q189" s="25">
        <f t="shared" si="251"/>
        <v>3168.5896628280716</v>
      </c>
      <c r="R189" s="25">
        <f t="shared" si="251"/>
        <v>4407.854419176073</v>
      </c>
      <c r="S189" s="25">
        <f t="shared" si="251"/>
        <v>4887.5046766688574</v>
      </c>
      <c r="T189" s="25">
        <f t="shared" si="251"/>
        <v>4719.2597205522889</v>
      </c>
      <c r="U189" s="25">
        <f t="shared" si="251"/>
        <v>4713.9360420139546</v>
      </c>
      <c r="V189" s="25">
        <f t="shared" si="251"/>
        <v>4732.7917861820097</v>
      </c>
      <c r="W189" s="25">
        <f t="shared" si="251"/>
        <v>4751.7229533267373</v>
      </c>
      <c r="X189" s="25">
        <f t="shared" si="251"/>
        <v>4770.7298451400447</v>
      </c>
      <c r="Y189" s="25">
        <f t="shared" si="251"/>
        <v>4789.812764520605</v>
      </c>
      <c r="Z189" s="25">
        <f t="shared" si="251"/>
        <v>4808.9720155786881</v>
      </c>
    </row>
    <row r="190" spans="2:26" outlineLevel="1">
      <c r="D190" s="3" t="s">
        <v>714</v>
      </c>
      <c r="E190" s="15" t="s">
        <v>62</v>
      </c>
      <c r="G190" s="25">
        <f t="shared" ref="G190:Z190" si="252">G91</f>
        <v>1661.14</v>
      </c>
      <c r="H190" s="25">
        <f t="shared" si="252"/>
        <v>1847.1379999999999</v>
      </c>
      <c r="I190" s="25">
        <f t="shared" si="252"/>
        <v>1393.0319999999999</v>
      </c>
      <c r="J190" s="25">
        <f t="shared" si="252"/>
        <v>1140.5509999999999</v>
      </c>
      <c r="K190" s="25">
        <f t="shared" si="252"/>
        <v>1637.085</v>
      </c>
      <c r="L190" s="25">
        <f t="shared" si="252"/>
        <v>2191.5149999999999</v>
      </c>
      <c r="M190" s="25">
        <f t="shared" si="252"/>
        <v>2169.027</v>
      </c>
      <c r="N190" s="25">
        <f t="shared" si="252"/>
        <v>1705.3869999999999</v>
      </c>
      <c r="O190" s="25">
        <f t="shared" si="252"/>
        <v>2739.817</v>
      </c>
      <c r="P190" s="25">
        <f t="shared" si="252"/>
        <v>2789.9209999999998</v>
      </c>
      <c r="Q190" s="25">
        <f t="shared" si="252"/>
        <v>2050.5055313539924</v>
      </c>
      <c r="R190" s="25">
        <f t="shared" si="252"/>
        <v>2852.477231102454</v>
      </c>
      <c r="S190" s="25">
        <f t="shared" si="252"/>
        <v>3162.8757398277812</v>
      </c>
      <c r="T190" s="25">
        <f t="shared" si="252"/>
        <v>3053.9985263511967</v>
      </c>
      <c r="U190" s="25">
        <f t="shared" si="252"/>
        <v>3050.5533872036226</v>
      </c>
      <c r="V190" s="25">
        <f t="shared" si="252"/>
        <v>3062.7556007524372</v>
      </c>
      <c r="W190" s="25">
        <f t="shared" si="252"/>
        <v>3075.006623155447</v>
      </c>
      <c r="X190" s="25">
        <f t="shared" si="252"/>
        <v>3087.3066496480687</v>
      </c>
      <c r="Y190" s="25">
        <f t="shared" si="252"/>
        <v>3099.6558762466611</v>
      </c>
      <c r="Z190" s="25">
        <f t="shared" si="252"/>
        <v>3112.0544997516481</v>
      </c>
    </row>
    <row r="191" spans="2:26" outlineLevel="1">
      <c r="D191" s="3" t="s">
        <v>69</v>
      </c>
      <c r="E191" s="15" t="s">
        <v>62</v>
      </c>
      <c r="G191" s="25">
        <f t="shared" ref="G191:Z191" si="253">G91+G97+G102+G103</f>
        <v>2365.5200000000004</v>
      </c>
      <c r="H191" s="25">
        <f t="shared" si="253"/>
        <v>2425.8209999999999</v>
      </c>
      <c r="I191" s="25">
        <f t="shared" si="253"/>
        <v>1857.8989999999999</v>
      </c>
      <c r="J191" s="25">
        <f t="shared" si="253"/>
        <v>1774.4289999999999</v>
      </c>
      <c r="K191" s="25">
        <f t="shared" si="253"/>
        <v>2351.9490000000001</v>
      </c>
      <c r="L191" s="25">
        <f t="shared" si="253"/>
        <v>2856.92</v>
      </c>
      <c r="M191" s="25">
        <f t="shared" si="253"/>
        <v>2799.9369999999999</v>
      </c>
      <c r="N191" s="25">
        <f t="shared" si="253"/>
        <v>2355.123</v>
      </c>
      <c r="O191" s="25">
        <f t="shared" si="253"/>
        <v>3339.51</v>
      </c>
      <c r="P191" s="25">
        <f t="shared" si="253"/>
        <v>3446.1010000000001</v>
      </c>
      <c r="Q191" s="25">
        <f t="shared" si="253"/>
        <v>2630.8312724657362</v>
      </c>
      <c r="R191" s="25">
        <f t="shared" si="253"/>
        <v>3533.4997418425237</v>
      </c>
      <c r="S191" s="25">
        <f t="shared" si="253"/>
        <v>3887.3184545952154</v>
      </c>
      <c r="T191" s="25">
        <f t="shared" si="253"/>
        <v>3773.0329829096804</v>
      </c>
      <c r="U191" s="25">
        <f t="shared" si="253"/>
        <v>3776.4313009905859</v>
      </c>
      <c r="V191" s="25">
        <f t="shared" si="253"/>
        <v>3797.4496698290859</v>
      </c>
      <c r="W191" s="25">
        <f t="shared" si="253"/>
        <v>3818.6703650156301</v>
      </c>
      <c r="X191" s="25">
        <f t="shared" si="253"/>
        <v>3840.0965609130649</v>
      </c>
      <c r="Y191" s="25">
        <f t="shared" si="253"/>
        <v>3861.7314918828379</v>
      </c>
      <c r="Z191" s="25">
        <f t="shared" si="253"/>
        <v>3883.5784534710119</v>
      </c>
    </row>
    <row r="192" spans="2:26" outlineLevel="1"/>
    <row r="193" spans="1:26" outlineLevel="1">
      <c r="A193" s="100"/>
      <c r="D193" s="3" t="s">
        <v>724</v>
      </c>
      <c r="E193" s="15" t="s">
        <v>782</v>
      </c>
      <c r="F193" s="220">
        <f>O193</f>
        <v>44.96306879124279</v>
      </c>
      <c r="G193" s="25">
        <f t="shared" ref="G193:P193" si="254">IFERROR(360/(G189/G198),0)</f>
        <v>63.585916488731826</v>
      </c>
      <c r="H193" s="25">
        <f t="shared" si="254"/>
        <v>45.160614618295781</v>
      </c>
      <c r="I193" s="25">
        <f t="shared" si="254"/>
        <v>81.580624028914443</v>
      </c>
      <c r="J193" s="25">
        <f t="shared" si="254"/>
        <v>89.999234398620118</v>
      </c>
      <c r="K193" s="25">
        <f t="shared" si="254"/>
        <v>63.120404150501756</v>
      </c>
      <c r="L193" s="25">
        <f t="shared" si="254"/>
        <v>47.113857685713604</v>
      </c>
      <c r="M193" s="25">
        <f t="shared" si="254"/>
        <v>53.582704383169975</v>
      </c>
      <c r="N193" s="25">
        <f t="shared" si="254"/>
        <v>55.970592796956034</v>
      </c>
      <c r="O193" s="25">
        <f t="shared" si="254"/>
        <v>44.96306879124279</v>
      </c>
      <c r="P193" s="25">
        <f t="shared" si="254"/>
        <v>41.829073563945713</v>
      </c>
      <c r="Q193" s="215">
        <f>$F193</f>
        <v>44.96306879124279</v>
      </c>
      <c r="R193" s="215">
        <f t="shared" ref="R193:Z196" si="255">$F193</f>
        <v>44.96306879124279</v>
      </c>
      <c r="S193" s="215">
        <f t="shared" si="255"/>
        <v>44.96306879124279</v>
      </c>
      <c r="T193" s="215">
        <f t="shared" si="255"/>
        <v>44.96306879124279</v>
      </c>
      <c r="U193" s="215">
        <f t="shared" si="255"/>
        <v>44.96306879124279</v>
      </c>
      <c r="V193" s="215">
        <f t="shared" si="255"/>
        <v>44.96306879124279</v>
      </c>
      <c r="W193" s="215">
        <f t="shared" si="255"/>
        <v>44.96306879124279</v>
      </c>
      <c r="X193" s="215">
        <f t="shared" si="255"/>
        <v>44.96306879124279</v>
      </c>
      <c r="Y193" s="215">
        <f t="shared" si="255"/>
        <v>44.96306879124279</v>
      </c>
      <c r="Z193" s="215">
        <f t="shared" si="255"/>
        <v>44.96306879124279</v>
      </c>
    </row>
    <row r="194" spans="1:26" outlineLevel="1">
      <c r="A194" s="100"/>
      <c r="D194" s="3" t="s">
        <v>725</v>
      </c>
      <c r="E194" s="15" t="s">
        <v>782</v>
      </c>
      <c r="F194" s="220">
        <f t="shared" ref="F194:F195" si="256">O194</f>
        <v>60.383653360790149</v>
      </c>
      <c r="G194" s="25">
        <f t="shared" ref="G194:P194" si="257">IFERROR(360/(G190/G199),0)</f>
        <v>72.593809070879033</v>
      </c>
      <c r="H194" s="25">
        <f t="shared" si="257"/>
        <v>59.794514540873507</v>
      </c>
      <c r="I194" s="25">
        <f t="shared" si="257"/>
        <v>65.443033613011053</v>
      </c>
      <c r="J194" s="25">
        <f t="shared" si="257"/>
        <v>88.797502259872644</v>
      </c>
      <c r="K194" s="25">
        <f t="shared" si="257"/>
        <v>66.952565077561644</v>
      </c>
      <c r="L194" s="25">
        <f t="shared" si="257"/>
        <v>63.729995003456516</v>
      </c>
      <c r="M194" s="25">
        <f t="shared" si="257"/>
        <v>46.647054186047477</v>
      </c>
      <c r="N194" s="25">
        <f t="shared" si="257"/>
        <v>65.164423089891045</v>
      </c>
      <c r="O194" s="25">
        <f t="shared" si="257"/>
        <v>60.383653360790149</v>
      </c>
      <c r="P194" s="25">
        <f t="shared" si="257"/>
        <v>56.746251954804457</v>
      </c>
      <c r="Q194" s="215">
        <f t="shared" ref="Q194:Q196" si="258">$F194</f>
        <v>60.383653360790149</v>
      </c>
      <c r="R194" s="215">
        <f t="shared" si="255"/>
        <v>60.383653360790149</v>
      </c>
      <c r="S194" s="215">
        <f t="shared" si="255"/>
        <v>60.383653360790149</v>
      </c>
      <c r="T194" s="215">
        <f t="shared" si="255"/>
        <v>60.383653360790149</v>
      </c>
      <c r="U194" s="215">
        <f t="shared" si="255"/>
        <v>60.383653360790149</v>
      </c>
      <c r="V194" s="215">
        <f t="shared" si="255"/>
        <v>60.383653360790149</v>
      </c>
      <c r="W194" s="215">
        <f t="shared" si="255"/>
        <v>60.383653360790149</v>
      </c>
      <c r="X194" s="215">
        <f t="shared" si="255"/>
        <v>60.383653360790149</v>
      </c>
      <c r="Y194" s="215">
        <f t="shared" si="255"/>
        <v>60.383653360790149</v>
      </c>
      <c r="Z194" s="215">
        <f t="shared" si="255"/>
        <v>60.383653360790149</v>
      </c>
    </row>
    <row r="195" spans="1:26" outlineLevel="1">
      <c r="A195" s="100"/>
      <c r="D195" s="3" t="s">
        <v>726</v>
      </c>
      <c r="E195" s="15" t="s">
        <v>782</v>
      </c>
      <c r="F195" s="220">
        <f t="shared" si="256"/>
        <v>3.8768202520729087</v>
      </c>
      <c r="G195" s="25">
        <f t="shared" ref="G195:P195" si="259">IFERROR(360/(G$191/G200),0)</f>
        <v>3.1248435861882373</v>
      </c>
      <c r="H195" s="25">
        <f t="shared" si="259"/>
        <v>3.4336086627991103</v>
      </c>
      <c r="I195" s="25">
        <f t="shared" si="259"/>
        <v>3.7900876204788312</v>
      </c>
      <c r="J195" s="25">
        <f t="shared" si="259"/>
        <v>4.2292816449686077</v>
      </c>
      <c r="K195" s="25">
        <f t="shared" si="259"/>
        <v>4.0635575006090692</v>
      </c>
      <c r="L195" s="25">
        <f t="shared" si="259"/>
        <v>4.1004858378953557</v>
      </c>
      <c r="M195" s="25">
        <f t="shared" si="259"/>
        <v>4.8607522240678991</v>
      </c>
      <c r="N195" s="25">
        <f t="shared" si="259"/>
        <v>5.1583547865652877</v>
      </c>
      <c r="O195" s="25">
        <f t="shared" si="259"/>
        <v>3.8768202520729087</v>
      </c>
      <c r="P195" s="25">
        <f t="shared" si="259"/>
        <v>4.0308162761335202</v>
      </c>
      <c r="Q195" s="215">
        <f t="shared" si="258"/>
        <v>3.8768202520729087</v>
      </c>
      <c r="R195" s="215">
        <f t="shared" si="255"/>
        <v>3.8768202520729087</v>
      </c>
      <c r="S195" s="215">
        <f t="shared" si="255"/>
        <v>3.8768202520729087</v>
      </c>
      <c r="T195" s="215">
        <f t="shared" si="255"/>
        <v>3.8768202520729087</v>
      </c>
      <c r="U195" s="215">
        <f t="shared" si="255"/>
        <v>3.8768202520729087</v>
      </c>
      <c r="V195" s="215">
        <f t="shared" si="255"/>
        <v>3.8768202520729087</v>
      </c>
      <c r="W195" s="215">
        <f t="shared" si="255"/>
        <v>3.8768202520729087</v>
      </c>
      <c r="X195" s="215">
        <f t="shared" si="255"/>
        <v>3.8768202520729087</v>
      </c>
      <c r="Y195" s="215">
        <f t="shared" si="255"/>
        <v>3.8768202520729087</v>
      </c>
      <c r="Z195" s="215">
        <f t="shared" si="255"/>
        <v>3.8768202520729087</v>
      </c>
    </row>
    <row r="196" spans="1:26" outlineLevel="1">
      <c r="A196" s="100"/>
      <c r="D196" s="3" t="s">
        <v>734</v>
      </c>
      <c r="E196" s="15" t="s">
        <v>782</v>
      </c>
      <c r="F196" s="220">
        <v>82</v>
      </c>
      <c r="G196" s="25">
        <f t="shared" ref="G196:P196" si="260">IFERROR(360/(G$191/G201),0)</f>
        <v>94.078748013121839</v>
      </c>
      <c r="H196" s="25">
        <f t="shared" si="260"/>
        <v>84.127048121027897</v>
      </c>
      <c r="I196" s="25">
        <f t="shared" si="260"/>
        <v>98.55758574604971</v>
      </c>
      <c r="J196" s="25">
        <f t="shared" si="260"/>
        <v>106.15119568041325</v>
      </c>
      <c r="K196" s="25">
        <f t="shared" si="260"/>
        <v>95.94345795763428</v>
      </c>
      <c r="L196" s="25">
        <f t="shared" si="260"/>
        <v>77.800232418128616</v>
      </c>
      <c r="M196" s="25">
        <f t="shared" si="260"/>
        <v>63.484085534781684</v>
      </c>
      <c r="N196" s="25">
        <f t="shared" si="260"/>
        <v>91.860628935304007</v>
      </c>
      <c r="O196" s="25">
        <f t="shared" si="260"/>
        <v>90.115723564235466</v>
      </c>
      <c r="P196" s="25">
        <f t="shared" si="260"/>
        <v>82.444478557070738</v>
      </c>
      <c r="Q196" s="215">
        <f t="shared" si="258"/>
        <v>82</v>
      </c>
      <c r="R196" s="215">
        <f t="shared" si="255"/>
        <v>82</v>
      </c>
      <c r="S196" s="215">
        <f t="shared" si="255"/>
        <v>82</v>
      </c>
      <c r="T196" s="215">
        <f t="shared" si="255"/>
        <v>82</v>
      </c>
      <c r="U196" s="215">
        <f t="shared" si="255"/>
        <v>82</v>
      </c>
      <c r="V196" s="215">
        <f t="shared" si="255"/>
        <v>82</v>
      </c>
      <c r="W196" s="215">
        <f t="shared" si="255"/>
        <v>82</v>
      </c>
      <c r="X196" s="215">
        <f t="shared" si="255"/>
        <v>82</v>
      </c>
      <c r="Y196" s="215">
        <f t="shared" si="255"/>
        <v>82</v>
      </c>
      <c r="Z196" s="215">
        <f t="shared" si="255"/>
        <v>82</v>
      </c>
    </row>
    <row r="197" spans="1:26" outlineLevel="1"/>
    <row r="198" spans="1:26" outlineLevel="1">
      <c r="D198" s="3" t="s">
        <v>724</v>
      </c>
      <c r="E198" s="15" t="s">
        <v>62</v>
      </c>
      <c r="G198" s="25">
        <f>BS!G12</f>
        <v>534.13</v>
      </c>
      <c r="H198" s="25">
        <f>BS!H12</f>
        <v>404.363</v>
      </c>
      <c r="I198" s="25">
        <f>BS!I12</f>
        <v>504.35</v>
      </c>
      <c r="J198" s="25">
        <f>BS!J12</f>
        <v>499.60300000000001</v>
      </c>
      <c r="K198" s="25">
        <f>BS!K12</f>
        <v>536.63599999999997</v>
      </c>
      <c r="L198" s="25">
        <f>BS!L12</f>
        <v>514.56799999999998</v>
      </c>
      <c r="M198" s="25">
        <f>BS!M12</f>
        <v>488.721</v>
      </c>
      <c r="N198" s="25">
        <f>BS!N12</f>
        <v>412</v>
      </c>
      <c r="O198" s="25">
        <f>BS!O12</f>
        <v>551.36699999999996</v>
      </c>
      <c r="P198" s="25">
        <f>BS!P12</f>
        <v>500.92500000000001</v>
      </c>
      <c r="Q198" s="34">
        <f t="shared" ref="Q198:Z198" si="261">Q189*Q193/360</f>
        <v>395.74865272488717</v>
      </c>
      <c r="R198" s="34">
        <f t="shared" si="261"/>
        <v>550.52961519777023</v>
      </c>
      <c r="S198" s="34">
        <f t="shared" si="261"/>
        <v>610.4366916516185</v>
      </c>
      <c r="T198" s="34">
        <f t="shared" si="261"/>
        <v>589.42333183037169</v>
      </c>
      <c r="U198" s="34">
        <f t="shared" si="261"/>
        <v>588.75841815164495</v>
      </c>
      <c r="V198" s="34">
        <f t="shared" si="261"/>
        <v>591.11345182425146</v>
      </c>
      <c r="W198" s="34">
        <f t="shared" si="261"/>
        <v>593.47790563154854</v>
      </c>
      <c r="X198" s="34">
        <f t="shared" si="261"/>
        <v>595.85181725407472</v>
      </c>
      <c r="Y198" s="34">
        <f t="shared" si="261"/>
        <v>598.23522452309101</v>
      </c>
      <c r="Z198" s="34">
        <f t="shared" si="261"/>
        <v>600.62816542118344</v>
      </c>
    </row>
    <row r="199" spans="1:26" outlineLevel="1">
      <c r="D199" s="3" t="s">
        <v>725</v>
      </c>
      <c r="E199" s="15" t="s">
        <v>62</v>
      </c>
      <c r="G199" s="25">
        <f>BS!G13</f>
        <v>334.96800000000002</v>
      </c>
      <c r="H199" s="25">
        <f>BS!H13</f>
        <v>306.80200000000002</v>
      </c>
      <c r="I199" s="25">
        <f>BS!I13</f>
        <v>253.23400000000001</v>
      </c>
      <c r="J199" s="25">
        <f>BS!J13</f>
        <v>281.32799999999997</v>
      </c>
      <c r="K199" s="25">
        <f>BS!K13</f>
        <v>304.464</v>
      </c>
      <c r="L199" s="25">
        <f>BS!L13</f>
        <v>387.959</v>
      </c>
      <c r="M199" s="25">
        <f>BS!M13</f>
        <v>281.05200000000002</v>
      </c>
      <c r="N199" s="25">
        <f>BS!N13</f>
        <v>308.69600000000003</v>
      </c>
      <c r="O199" s="25">
        <f>BS!O13</f>
        <v>459.55599999999998</v>
      </c>
      <c r="P199" s="25">
        <f>BS!P13</f>
        <v>439.77100000000002</v>
      </c>
      <c r="Q199" s="34">
        <f t="shared" ref="Q199:Z199" si="262">Q190*Q194/360</f>
        <v>343.93615338795081</v>
      </c>
      <c r="R199" s="34">
        <f t="shared" si="262"/>
        <v>478.4527676178808</v>
      </c>
      <c r="S199" s="34">
        <f t="shared" si="262"/>
        <v>530.51664526948173</v>
      </c>
      <c r="T199" s="34">
        <f t="shared" si="262"/>
        <v>512.25441216542947</v>
      </c>
      <c r="U199" s="34">
        <f t="shared" si="262"/>
        <v>511.67655080968837</v>
      </c>
      <c r="V199" s="34">
        <f t="shared" si="262"/>
        <v>513.72325701292709</v>
      </c>
      <c r="W199" s="34">
        <f t="shared" si="262"/>
        <v>515.77815004097886</v>
      </c>
      <c r="X199" s="34">
        <f t="shared" si="262"/>
        <v>517.84126264114275</v>
      </c>
      <c r="Y199" s="34">
        <f t="shared" si="262"/>
        <v>519.91262769170737</v>
      </c>
      <c r="Z199" s="34">
        <f t="shared" si="262"/>
        <v>521.99227820247427</v>
      </c>
    </row>
    <row r="200" spans="1:26" outlineLevel="1">
      <c r="D200" s="3" t="s">
        <v>726</v>
      </c>
      <c r="E200" s="15" t="s">
        <v>62</v>
      </c>
      <c r="G200" s="25">
        <f>BS!G14</f>
        <v>20.533000000000001</v>
      </c>
      <c r="H200" s="25">
        <f>BS!H14</f>
        <v>23.137</v>
      </c>
      <c r="I200" s="25">
        <f>BS!I14</f>
        <v>19.559999999999999</v>
      </c>
      <c r="J200" s="25">
        <f>BS!J14</f>
        <v>20.846</v>
      </c>
      <c r="K200" s="25">
        <f>BS!K14</f>
        <v>26.547999999999998</v>
      </c>
      <c r="L200" s="25">
        <f>BS!L14</f>
        <v>32.540999999999997</v>
      </c>
      <c r="M200" s="25">
        <f>BS!M14</f>
        <v>37.805</v>
      </c>
      <c r="N200" s="25">
        <f>BS!N14</f>
        <v>33.746000000000002</v>
      </c>
      <c r="O200" s="25">
        <f>BS!O14</f>
        <v>35.963000000000001</v>
      </c>
      <c r="P200" s="25">
        <f>BS!P14</f>
        <v>38.585000000000001</v>
      </c>
      <c r="Q200" s="215">
        <f t="shared" ref="Q200:Z200" si="263">Q$191*Q195/360</f>
        <v>28.331277658005295</v>
      </c>
      <c r="R200" s="34">
        <f t="shared" si="263"/>
        <v>38.05206488852636</v>
      </c>
      <c r="S200" s="34">
        <f t="shared" si="263"/>
        <v>41.862319197309702</v>
      </c>
      <c r="T200" s="34">
        <f t="shared" si="263"/>
        <v>40.631585221898071</v>
      </c>
      <c r="U200" s="34">
        <f t="shared" si="263"/>
        <v>40.668181522895402</v>
      </c>
      <c r="V200" s="34">
        <f t="shared" si="263"/>
        <v>40.894527183947169</v>
      </c>
      <c r="W200" s="34">
        <f t="shared" si="263"/>
        <v>41.123051686342336</v>
      </c>
      <c r="X200" s="34">
        <f t="shared" si="263"/>
        <v>41.353789214620271</v>
      </c>
      <c r="Y200" s="34">
        <f t="shared" si="263"/>
        <v>41.586774599441981</v>
      </c>
      <c r="Z200" s="34">
        <f t="shared" si="263"/>
        <v>41.822043330362241</v>
      </c>
    </row>
    <row r="201" spans="1:26" outlineLevel="1">
      <c r="D201" s="3" t="s">
        <v>734</v>
      </c>
      <c r="E201" s="15" t="s">
        <v>62</v>
      </c>
      <c r="G201" s="25">
        <f>BS!G27</f>
        <v>618.18100000000004</v>
      </c>
      <c r="H201" s="25">
        <f>BS!H27</f>
        <v>566.88099999999997</v>
      </c>
      <c r="I201" s="25">
        <f>BS!I27</f>
        <v>508.63900000000001</v>
      </c>
      <c r="J201" s="25">
        <f>BS!J27</f>
        <v>523.21600000000001</v>
      </c>
      <c r="K201" s="25">
        <f>BS!K27</f>
        <v>626.81700000000001</v>
      </c>
      <c r="L201" s="25">
        <f>BS!L27</f>
        <v>617.41399999999999</v>
      </c>
      <c r="M201" s="25">
        <f>BS!M27</f>
        <v>493.75400000000002</v>
      </c>
      <c r="N201" s="25">
        <f>BS!N27</f>
        <v>600.95299999999997</v>
      </c>
      <c r="O201" s="25">
        <f>BS!O27</f>
        <v>835.95100000000002</v>
      </c>
      <c r="P201" s="25">
        <f>BS!P27</f>
        <v>789.2</v>
      </c>
      <c r="Q201" s="34">
        <f t="shared" ref="Q201:Z201" si="264">Q$191*Q196/360</f>
        <v>599.24490095052886</v>
      </c>
      <c r="R201" s="34">
        <f t="shared" si="264"/>
        <v>804.85271897524149</v>
      </c>
      <c r="S201" s="34">
        <f t="shared" si="264"/>
        <v>885.44475910224344</v>
      </c>
      <c r="T201" s="34">
        <f t="shared" si="264"/>
        <v>859.41306832942723</v>
      </c>
      <c r="U201" s="34">
        <f t="shared" si="264"/>
        <v>860.18712967007787</v>
      </c>
      <c r="V201" s="34">
        <f t="shared" si="264"/>
        <v>864.97464701662511</v>
      </c>
      <c r="W201" s="34">
        <f t="shared" si="264"/>
        <v>869.80824980911564</v>
      </c>
      <c r="X201" s="34">
        <f t="shared" si="264"/>
        <v>874.68866109686485</v>
      </c>
      <c r="Y201" s="34">
        <f t="shared" si="264"/>
        <v>879.61661759553533</v>
      </c>
      <c r="Z201" s="34">
        <f t="shared" si="264"/>
        <v>884.59286995728598</v>
      </c>
    </row>
    <row r="202" spans="1:26" s="5" customFormat="1" outlineLevel="1">
      <c r="D202" s="5" t="s">
        <v>783</v>
      </c>
      <c r="E202" s="9" t="s">
        <v>62</v>
      </c>
      <c r="F202" s="9"/>
      <c r="G202" s="27">
        <f t="shared" ref="G202:P202" si="265">G198+G199+G200-G201</f>
        <v>271.44999999999993</v>
      </c>
      <c r="H202" s="27">
        <f t="shared" si="265"/>
        <v>167.42099999999994</v>
      </c>
      <c r="I202" s="27">
        <f t="shared" si="265"/>
        <v>268.505</v>
      </c>
      <c r="J202" s="27">
        <f t="shared" si="265"/>
        <v>278.56100000000004</v>
      </c>
      <c r="K202" s="27">
        <f t="shared" si="265"/>
        <v>240.8309999999999</v>
      </c>
      <c r="L202" s="27">
        <f t="shared" si="265"/>
        <v>317.654</v>
      </c>
      <c r="M202" s="27">
        <f t="shared" si="265"/>
        <v>313.82399999999996</v>
      </c>
      <c r="N202" s="27">
        <f t="shared" si="265"/>
        <v>153.48900000000003</v>
      </c>
      <c r="O202" s="27">
        <f t="shared" si="265"/>
        <v>210.93499999999995</v>
      </c>
      <c r="P202" s="27">
        <f t="shared" si="265"/>
        <v>190.08100000000002</v>
      </c>
      <c r="Q202" s="27">
        <f>Q198+Q199+Q200-Q201</f>
        <v>168.77118282031449</v>
      </c>
      <c r="R202" s="27">
        <f t="shared" ref="R202:Z202" si="266">R198+R199+R200-R201</f>
        <v>262.1817287289357</v>
      </c>
      <c r="S202" s="27">
        <f t="shared" si="266"/>
        <v>297.37089701616662</v>
      </c>
      <c r="T202" s="27">
        <f t="shared" si="266"/>
        <v>282.89626088827208</v>
      </c>
      <c r="U202" s="27">
        <f t="shared" si="266"/>
        <v>280.91602081415067</v>
      </c>
      <c r="V202" s="27">
        <f t="shared" si="266"/>
        <v>280.75658900450071</v>
      </c>
      <c r="W202" s="27">
        <f t="shared" si="266"/>
        <v>280.57085754975412</v>
      </c>
      <c r="X202" s="27">
        <f t="shared" si="266"/>
        <v>280.35820801297302</v>
      </c>
      <c r="Y202" s="27">
        <f t="shared" si="266"/>
        <v>280.11800921870497</v>
      </c>
      <c r="Z202" s="27">
        <f t="shared" si="266"/>
        <v>279.84961699673386</v>
      </c>
    </row>
    <row r="203" spans="1:26" outlineLevel="1"/>
    <row r="204" spans="1:26" outlineLevel="1"/>
    <row r="206" spans="1:26">
      <c r="B206" s="1" t="s">
        <v>793</v>
      </c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outlineLevel="1"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</row>
    <row r="208" spans="1:26" outlineLevel="1">
      <c r="D208" s="3" t="s">
        <v>60</v>
      </c>
      <c r="E208" s="15" t="s">
        <v>62</v>
      </c>
      <c r="G208" s="30">
        <v>359.30900000000003</v>
      </c>
      <c r="H208" s="30">
        <v>363.57</v>
      </c>
      <c r="I208" s="30">
        <v>373.03399999999999</v>
      </c>
      <c r="J208" s="30">
        <v>213.53299999999999</v>
      </c>
      <c r="K208" s="30">
        <v>459.36700000000002</v>
      </c>
      <c r="L208" s="30">
        <v>512.21400000000006</v>
      </c>
      <c r="M208" s="30">
        <v>359.42500000000001</v>
      </c>
      <c r="N208" s="30">
        <v>250.99600000000001</v>
      </c>
      <c r="O208" s="30">
        <v>620.23599999999999</v>
      </c>
      <c r="P208" s="30">
        <v>532.45600000000002</v>
      </c>
      <c r="Q208" s="24">
        <f>(Q$70/P$70)*P208</f>
        <v>423.05644415328919</v>
      </c>
      <c r="R208" s="24">
        <f t="shared" ref="R208:Z208" si="267">(R$70/Q$70)*Q208</f>
        <v>506.23059410907172</v>
      </c>
      <c r="S208" s="24">
        <f t="shared" si="267"/>
        <v>561.31717631532547</v>
      </c>
      <c r="T208" s="24">
        <f t="shared" si="267"/>
        <v>541.99468151599285</v>
      </c>
      <c r="U208" s="24">
        <f t="shared" si="267"/>
        <v>541.38327090824168</v>
      </c>
      <c r="V208" s="24">
        <f t="shared" si="267"/>
        <v>543.54880399187471</v>
      </c>
      <c r="W208" s="24">
        <f t="shared" si="267"/>
        <v>545.72299920784224</v>
      </c>
      <c r="X208" s="24">
        <f t="shared" si="267"/>
        <v>547.90589120467359</v>
      </c>
      <c r="Y208" s="24">
        <f t="shared" si="267"/>
        <v>550.09751476949225</v>
      </c>
      <c r="Z208" s="24">
        <f t="shared" si="267"/>
        <v>552.29790482857038</v>
      </c>
    </row>
    <row r="209" spans="2:26" outlineLevel="1">
      <c r="D209" s="3" t="s">
        <v>795</v>
      </c>
      <c r="E209" s="15" t="s">
        <v>62</v>
      </c>
      <c r="G209" s="30">
        <v>301.47899999999998</v>
      </c>
      <c r="H209" s="30">
        <v>334.64800000000002</v>
      </c>
      <c r="I209" s="30">
        <v>233.79</v>
      </c>
      <c r="J209" s="30">
        <v>145.126</v>
      </c>
      <c r="K209" s="30">
        <v>261.12099999999998</v>
      </c>
      <c r="L209" s="30">
        <v>322.32499999999999</v>
      </c>
      <c r="M209" s="30">
        <v>217.333</v>
      </c>
      <c r="N209" s="30">
        <v>170.714</v>
      </c>
      <c r="O209" s="30">
        <v>371.20499999999998</v>
      </c>
      <c r="P209" s="30">
        <v>332.99900000000002</v>
      </c>
      <c r="Q209" s="24">
        <f t="shared" ref="Q209:Z209" si="268">(Q$70/P$70)*P209</f>
        <v>264.58030869518069</v>
      </c>
      <c r="R209" s="24">
        <f t="shared" si="268"/>
        <v>316.59758103529072</v>
      </c>
      <c r="S209" s="24">
        <f t="shared" si="268"/>
        <v>351.04883482546359</v>
      </c>
      <c r="T209" s="24">
        <f t="shared" si="268"/>
        <v>338.96450964989424</v>
      </c>
      <c r="U209" s="24">
        <f t="shared" si="268"/>
        <v>338.58213228731307</v>
      </c>
      <c r="V209" s="24">
        <f t="shared" si="268"/>
        <v>339.93646081646233</v>
      </c>
      <c r="W209" s="24">
        <f t="shared" si="268"/>
        <v>341.29620665972817</v>
      </c>
      <c r="X209" s="24">
        <f t="shared" si="268"/>
        <v>342.66139148636711</v>
      </c>
      <c r="Y209" s="24">
        <f t="shared" si="268"/>
        <v>344.0320370523126</v>
      </c>
      <c r="Z209" s="24">
        <f t="shared" si="268"/>
        <v>345.40816520052192</v>
      </c>
    </row>
    <row r="210" spans="2:26" s="5" customFormat="1" outlineLevel="1">
      <c r="D210" s="5" t="s">
        <v>797</v>
      </c>
      <c r="E210" s="9" t="s">
        <v>62</v>
      </c>
      <c r="F210" s="9"/>
      <c r="G210" s="27">
        <f t="shared" ref="G210:Z210" si="269">G208-G209</f>
        <v>57.830000000000041</v>
      </c>
      <c r="H210" s="27">
        <f t="shared" si="269"/>
        <v>28.921999999999969</v>
      </c>
      <c r="I210" s="27">
        <f t="shared" si="269"/>
        <v>139.244</v>
      </c>
      <c r="J210" s="27">
        <f t="shared" si="269"/>
        <v>68.406999999999982</v>
      </c>
      <c r="K210" s="27">
        <f t="shared" si="269"/>
        <v>198.24600000000004</v>
      </c>
      <c r="L210" s="27">
        <f t="shared" si="269"/>
        <v>189.88900000000007</v>
      </c>
      <c r="M210" s="27">
        <f t="shared" si="269"/>
        <v>142.09200000000001</v>
      </c>
      <c r="N210" s="27">
        <f t="shared" si="269"/>
        <v>80.282000000000011</v>
      </c>
      <c r="O210" s="27">
        <f t="shared" si="269"/>
        <v>249.03100000000001</v>
      </c>
      <c r="P210" s="27">
        <f t="shared" si="269"/>
        <v>199.45699999999999</v>
      </c>
      <c r="Q210" s="27">
        <f t="shared" si="269"/>
        <v>158.4761354581085</v>
      </c>
      <c r="R210" s="27">
        <f t="shared" si="269"/>
        <v>189.633013073781</v>
      </c>
      <c r="S210" s="27">
        <f t="shared" si="269"/>
        <v>210.26834148986188</v>
      </c>
      <c r="T210" s="27">
        <f t="shared" si="269"/>
        <v>203.03017186609861</v>
      </c>
      <c r="U210" s="27">
        <f t="shared" si="269"/>
        <v>202.80113862092861</v>
      </c>
      <c r="V210" s="27">
        <f t="shared" si="269"/>
        <v>203.61234317541238</v>
      </c>
      <c r="W210" s="27">
        <f t="shared" si="269"/>
        <v>204.42679254811407</v>
      </c>
      <c r="X210" s="27">
        <f t="shared" si="269"/>
        <v>205.24449971830649</v>
      </c>
      <c r="Y210" s="27">
        <f t="shared" si="269"/>
        <v>206.06547771717965</v>
      </c>
      <c r="Z210" s="27">
        <f t="shared" si="269"/>
        <v>206.88973962804846</v>
      </c>
    </row>
    <row r="211" spans="2:26" outlineLevel="1">
      <c r="D211" s="3" t="s">
        <v>796</v>
      </c>
      <c r="E211" s="15" t="s">
        <v>62</v>
      </c>
      <c r="G211" s="30">
        <v>12.898999999999999</v>
      </c>
      <c r="H211" s="30">
        <v>10.438000000000001</v>
      </c>
      <c r="I211" s="30">
        <v>9.3780000000000001</v>
      </c>
      <c r="J211" s="30">
        <v>12.771000000000001</v>
      </c>
      <c r="K211" s="30">
        <v>11.17</v>
      </c>
      <c r="L211" s="30">
        <v>10.840999999999999</v>
      </c>
      <c r="M211" s="30">
        <v>11.381</v>
      </c>
      <c r="N211" s="30">
        <v>10.297000000000001</v>
      </c>
      <c r="O211" s="30">
        <v>10.071</v>
      </c>
      <c r="P211" s="30">
        <v>9.4329999999999998</v>
      </c>
      <c r="Q211" s="25">
        <f>AVERAGE(G211:P211)</f>
        <v>10.867900000000001</v>
      </c>
      <c r="R211" s="25">
        <f t="shared" ref="R211:Z211" si="270">AVERAGE(H211:Q211)</f>
        <v>10.66479</v>
      </c>
      <c r="S211" s="25">
        <f t="shared" si="270"/>
        <v>10.687469000000002</v>
      </c>
      <c r="T211" s="25">
        <f t="shared" si="270"/>
        <v>10.818415900000002</v>
      </c>
      <c r="U211" s="25">
        <f t="shared" si="270"/>
        <v>10.623157490000001</v>
      </c>
      <c r="V211" s="25">
        <f t="shared" si="270"/>
        <v>10.568473239000001</v>
      </c>
      <c r="W211" s="25">
        <f t="shared" si="270"/>
        <v>10.541220562900001</v>
      </c>
      <c r="X211" s="25">
        <f t="shared" si="270"/>
        <v>10.457242619190001</v>
      </c>
      <c r="Y211" s="25">
        <f t="shared" si="270"/>
        <v>10.473266881108998</v>
      </c>
      <c r="Z211" s="25">
        <f t="shared" si="270"/>
        <v>10.5134935692199</v>
      </c>
    </row>
    <row r="212" spans="2:26" outlineLevel="1">
      <c r="D212" s="5" t="s">
        <v>788</v>
      </c>
      <c r="E212" s="9" t="s">
        <v>62</v>
      </c>
      <c r="F212" s="9"/>
      <c r="G212" s="27">
        <f t="shared" ref="G212:Z212" si="271">G210-G211</f>
        <v>44.93100000000004</v>
      </c>
      <c r="H212" s="27">
        <f t="shared" si="271"/>
        <v>18.483999999999966</v>
      </c>
      <c r="I212" s="27">
        <f t="shared" si="271"/>
        <v>129.86599999999999</v>
      </c>
      <c r="J212" s="27">
        <f t="shared" si="271"/>
        <v>55.635999999999981</v>
      </c>
      <c r="K212" s="27">
        <f t="shared" si="271"/>
        <v>187.07600000000005</v>
      </c>
      <c r="L212" s="27">
        <f t="shared" si="271"/>
        <v>179.04800000000006</v>
      </c>
      <c r="M212" s="27">
        <f t="shared" si="271"/>
        <v>130.71100000000001</v>
      </c>
      <c r="N212" s="27">
        <f t="shared" si="271"/>
        <v>69.985000000000014</v>
      </c>
      <c r="O212" s="27">
        <f t="shared" si="271"/>
        <v>238.96</v>
      </c>
      <c r="P212" s="27">
        <f t="shared" si="271"/>
        <v>190.024</v>
      </c>
      <c r="Q212" s="27">
        <f t="shared" si="271"/>
        <v>147.60823545810851</v>
      </c>
      <c r="R212" s="27">
        <f t="shared" si="271"/>
        <v>178.96822307378099</v>
      </c>
      <c r="S212" s="27">
        <f t="shared" si="271"/>
        <v>199.58087248986189</v>
      </c>
      <c r="T212" s="27">
        <f t="shared" si="271"/>
        <v>192.21175596609862</v>
      </c>
      <c r="U212" s="27">
        <f t="shared" si="271"/>
        <v>192.1779811309286</v>
      </c>
      <c r="V212" s="27">
        <f t="shared" si="271"/>
        <v>193.04386993641236</v>
      </c>
      <c r="W212" s="27">
        <f t="shared" si="271"/>
        <v>193.88557198521406</v>
      </c>
      <c r="X212" s="27">
        <f t="shared" si="271"/>
        <v>194.78725709911649</v>
      </c>
      <c r="Y212" s="27">
        <f t="shared" si="271"/>
        <v>195.59221083607065</v>
      </c>
      <c r="Z212" s="27">
        <f t="shared" si="271"/>
        <v>196.37624605882857</v>
      </c>
    </row>
    <row r="213" spans="2:26" outlineLevel="1">
      <c r="D213" s="3" t="s">
        <v>790</v>
      </c>
      <c r="E213" s="15" t="s">
        <v>3</v>
      </c>
      <c r="F213" s="9"/>
      <c r="G213" s="28">
        <f>G214/G212</f>
        <v>0.20449133115221099</v>
      </c>
      <c r="H213" s="28">
        <f t="shared" ref="H213:P213" si="272">H214/H212</f>
        <v>0.21699848517636916</v>
      </c>
      <c r="I213" s="28">
        <f t="shared" si="272"/>
        <v>0.36735558190750472</v>
      </c>
      <c r="J213" s="28">
        <f t="shared" si="272"/>
        <v>0.43231001509813805</v>
      </c>
      <c r="K213" s="28">
        <f t="shared" si="272"/>
        <v>0.35621886292202093</v>
      </c>
      <c r="L213" s="28">
        <f t="shared" si="272"/>
        <v>0.36270720700594239</v>
      </c>
      <c r="M213" s="28">
        <f t="shared" si="272"/>
        <v>0.36689337546189682</v>
      </c>
      <c r="N213" s="28">
        <f t="shared" si="272"/>
        <v>0.33024219475601907</v>
      </c>
      <c r="O213" s="28">
        <f t="shared" si="272"/>
        <v>0.35177017073987277</v>
      </c>
      <c r="P213" s="28">
        <f t="shared" si="272"/>
        <v>0.35833894665936938</v>
      </c>
      <c r="Q213" s="199">
        <f>AVERAGE($G213:$P213)</f>
        <v>0.33473261708793439</v>
      </c>
      <c r="R213" s="199">
        <f t="shared" ref="R213:Z213" si="273">AVERAGE($G213:$P213)</f>
        <v>0.33473261708793439</v>
      </c>
      <c r="S213" s="199">
        <f t="shared" si="273"/>
        <v>0.33473261708793439</v>
      </c>
      <c r="T213" s="199">
        <f t="shared" si="273"/>
        <v>0.33473261708793439</v>
      </c>
      <c r="U213" s="199">
        <f t="shared" si="273"/>
        <v>0.33473261708793439</v>
      </c>
      <c r="V213" s="199">
        <f t="shared" si="273"/>
        <v>0.33473261708793439</v>
      </c>
      <c r="W213" s="199">
        <f t="shared" si="273"/>
        <v>0.33473261708793439</v>
      </c>
      <c r="X213" s="199">
        <f t="shared" si="273"/>
        <v>0.33473261708793439</v>
      </c>
      <c r="Y213" s="199">
        <f t="shared" si="273"/>
        <v>0.33473261708793439</v>
      </c>
      <c r="Z213" s="199">
        <f t="shared" si="273"/>
        <v>0.33473261708793439</v>
      </c>
    </row>
    <row r="214" spans="2:26" outlineLevel="1">
      <c r="D214" s="3" t="s">
        <v>798</v>
      </c>
      <c r="E214" s="15" t="s">
        <v>62</v>
      </c>
      <c r="G214" s="30">
        <v>9.1880000000000006</v>
      </c>
      <c r="H214" s="30">
        <v>4.0110000000000001</v>
      </c>
      <c r="I214" s="30">
        <v>47.707000000000001</v>
      </c>
      <c r="J214" s="30">
        <v>24.052</v>
      </c>
      <c r="K214" s="30">
        <v>66.64</v>
      </c>
      <c r="L214" s="30">
        <v>64.941999999999993</v>
      </c>
      <c r="M214" s="30">
        <v>47.957000000000001</v>
      </c>
      <c r="N214" s="30">
        <v>23.111999999999998</v>
      </c>
      <c r="O214" s="30">
        <v>84.058999999999997</v>
      </c>
      <c r="P214" s="30">
        <v>68.093000000000004</v>
      </c>
      <c r="Q214" s="25">
        <f>Q212*Q213</f>
        <v>49.409290958624695</v>
      </c>
      <c r="R214" s="25">
        <f t="shared" ref="R214:Z214" si="274">R212*R213</f>
        <v>59.906501685063958</v>
      </c>
      <c r="S214" s="25">
        <f t="shared" si="274"/>
        <v>66.806227769224805</v>
      </c>
      <c r="T214" s="25">
        <f t="shared" si="274"/>
        <v>64.339544109599572</v>
      </c>
      <c r="U214" s="25">
        <f t="shared" si="274"/>
        <v>64.328238570631399</v>
      </c>
      <c r="V214" s="25">
        <f t="shared" si="274"/>
        <v>64.618079796598124</v>
      </c>
      <c r="W214" s="25">
        <f t="shared" si="274"/>
        <v>64.899824926201802</v>
      </c>
      <c r="X214" s="25">
        <f t="shared" si="274"/>
        <v>65.201648344167594</v>
      </c>
      <c r="Y214" s="25">
        <f t="shared" si="274"/>
        <v>65.471092615172964</v>
      </c>
      <c r="Z214" s="25">
        <f t="shared" si="274"/>
        <v>65.733534777175848</v>
      </c>
    </row>
    <row r="215" spans="2:26" s="5" customFormat="1" outlineLevel="1">
      <c r="D215" s="5" t="s">
        <v>799</v>
      </c>
      <c r="E215" s="9" t="s">
        <v>62</v>
      </c>
      <c r="F215" s="9"/>
      <c r="G215" s="27">
        <f t="shared" ref="G215:Z215" si="275">G212-G214</f>
        <v>35.743000000000038</v>
      </c>
      <c r="H215" s="27">
        <f t="shared" si="275"/>
        <v>14.472999999999967</v>
      </c>
      <c r="I215" s="27">
        <f t="shared" si="275"/>
        <v>82.158999999999992</v>
      </c>
      <c r="J215" s="27">
        <f t="shared" si="275"/>
        <v>31.583999999999982</v>
      </c>
      <c r="K215" s="27">
        <f t="shared" si="275"/>
        <v>120.43600000000005</v>
      </c>
      <c r="L215" s="27">
        <f t="shared" si="275"/>
        <v>114.10600000000007</v>
      </c>
      <c r="M215" s="27">
        <f t="shared" si="275"/>
        <v>82.754000000000019</v>
      </c>
      <c r="N215" s="27">
        <f t="shared" si="275"/>
        <v>46.873000000000019</v>
      </c>
      <c r="O215" s="27">
        <f t="shared" si="275"/>
        <v>154.90100000000001</v>
      </c>
      <c r="P215" s="27">
        <f t="shared" si="275"/>
        <v>121.931</v>
      </c>
      <c r="Q215" s="27">
        <f t="shared" si="275"/>
        <v>98.198944499483815</v>
      </c>
      <c r="R215" s="27">
        <f t="shared" si="275"/>
        <v>119.06172138871703</v>
      </c>
      <c r="S215" s="27">
        <f t="shared" si="275"/>
        <v>132.77464472063707</v>
      </c>
      <c r="T215" s="27">
        <f t="shared" si="275"/>
        <v>127.87221185649905</v>
      </c>
      <c r="U215" s="27">
        <f t="shared" si="275"/>
        <v>127.8497425602972</v>
      </c>
      <c r="V215" s="27">
        <f t="shared" si="275"/>
        <v>128.42579013981424</v>
      </c>
      <c r="W215" s="27">
        <f t="shared" si="275"/>
        <v>128.98574705901225</v>
      </c>
      <c r="X215" s="27">
        <f t="shared" si="275"/>
        <v>129.58560875494891</v>
      </c>
      <c r="Y215" s="27">
        <f t="shared" si="275"/>
        <v>130.1211182208977</v>
      </c>
      <c r="Z215" s="27">
        <f t="shared" si="275"/>
        <v>130.64271128165274</v>
      </c>
    </row>
    <row r="216" spans="2:26" outlineLevel="1"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</row>
    <row r="217" spans="2:26" s="5" customFormat="1" outlineLevel="1">
      <c r="D217" s="5" t="s">
        <v>800</v>
      </c>
      <c r="E217" s="9" t="s">
        <v>62</v>
      </c>
      <c r="F217" s="221">
        <v>0.63100000000000001</v>
      </c>
      <c r="G217" s="27">
        <f>G215*$F217</f>
        <v>22.553833000000022</v>
      </c>
      <c r="H217" s="27">
        <f t="shared" ref="H217:Z217" si="276">H215*$F217</f>
        <v>9.13246299999998</v>
      </c>
      <c r="I217" s="27">
        <f t="shared" si="276"/>
        <v>51.842328999999992</v>
      </c>
      <c r="J217" s="27">
        <f t="shared" si="276"/>
        <v>19.929503999999987</v>
      </c>
      <c r="K217" s="27">
        <f t="shared" si="276"/>
        <v>75.995116000000039</v>
      </c>
      <c r="L217" s="27">
        <f t="shared" si="276"/>
        <v>72.000886000000037</v>
      </c>
      <c r="M217" s="27">
        <f t="shared" si="276"/>
        <v>52.217774000000013</v>
      </c>
      <c r="N217" s="27">
        <f t="shared" si="276"/>
        <v>29.576863000000014</v>
      </c>
      <c r="O217" s="27">
        <f t="shared" si="276"/>
        <v>97.742531000000014</v>
      </c>
      <c r="P217" s="27">
        <f t="shared" si="276"/>
        <v>76.938461000000004</v>
      </c>
      <c r="Q217" s="27">
        <f t="shared" si="276"/>
        <v>61.963533979174287</v>
      </c>
      <c r="R217" s="27">
        <f t="shared" si="276"/>
        <v>75.127946196280448</v>
      </c>
      <c r="S217" s="27">
        <f t="shared" si="276"/>
        <v>83.780800818721985</v>
      </c>
      <c r="T217" s="27">
        <f t="shared" si="276"/>
        <v>80.687365681450899</v>
      </c>
      <c r="U217" s="27">
        <f t="shared" si="276"/>
        <v>80.673187555547528</v>
      </c>
      <c r="V217" s="27">
        <f t="shared" si="276"/>
        <v>81.036673578222789</v>
      </c>
      <c r="W217" s="27">
        <f t="shared" si="276"/>
        <v>81.390006394236735</v>
      </c>
      <c r="X217" s="27">
        <f t="shared" si="276"/>
        <v>81.768519124372759</v>
      </c>
      <c r="Y217" s="27">
        <f t="shared" si="276"/>
        <v>82.106425597386448</v>
      </c>
      <c r="Z217" s="27">
        <f t="shared" si="276"/>
        <v>82.435550818722874</v>
      </c>
    </row>
    <row r="218" spans="2:26" outlineLevel="1"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</row>
    <row r="219" spans="2:26" s="14" customFormat="1" outlineLevel="1">
      <c r="D219" s="14" t="s">
        <v>801</v>
      </c>
      <c r="E219" s="15" t="s">
        <v>62</v>
      </c>
      <c r="F219" s="23"/>
      <c r="G219" s="30">
        <v>22.553999999999998</v>
      </c>
      <c r="H219" s="30">
        <v>9.1319999999999997</v>
      </c>
      <c r="I219" s="30">
        <v>51.841999999999999</v>
      </c>
      <c r="J219" s="30">
        <v>19.93</v>
      </c>
      <c r="K219" s="30">
        <v>75.995000000000005</v>
      </c>
      <c r="L219" s="30">
        <v>72.001000000000005</v>
      </c>
      <c r="M219" s="30">
        <v>52.218000000000004</v>
      </c>
      <c r="N219" s="30">
        <v>29.577000000000002</v>
      </c>
      <c r="O219" s="30">
        <v>97.742999999999995</v>
      </c>
      <c r="P219" s="30">
        <v>76.938000000000002</v>
      </c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</row>
    <row r="220" spans="2:26" outlineLevel="1">
      <c r="D220" s="12" t="s">
        <v>8</v>
      </c>
      <c r="E220" s="23" t="s">
        <v>62</v>
      </c>
      <c r="F220" s="23"/>
      <c r="G220" s="218">
        <f t="shared" ref="G220:O220" si="277">G217-G219</f>
        <v>-1.6699999997626946E-4</v>
      </c>
      <c r="H220" s="218">
        <f t="shared" si="277"/>
        <v>4.6299999998034025E-4</v>
      </c>
      <c r="I220" s="218">
        <f t="shared" si="277"/>
        <v>3.2899999999358442E-4</v>
      </c>
      <c r="J220" s="218">
        <f t="shared" si="277"/>
        <v>-4.9600000001248645E-4</v>
      </c>
      <c r="K220" s="218">
        <f t="shared" si="277"/>
        <v>1.1600000003397781E-4</v>
      </c>
      <c r="L220" s="218">
        <f t="shared" si="277"/>
        <v>-1.1399999996797305E-4</v>
      </c>
      <c r="M220" s="218">
        <f t="shared" si="277"/>
        <v>-2.2599999999073361E-4</v>
      </c>
      <c r="N220" s="218">
        <f t="shared" si="277"/>
        <v>-1.3699999998806334E-4</v>
      </c>
      <c r="O220" s="218">
        <f t="shared" si="277"/>
        <v>-4.6899999998117892E-4</v>
      </c>
      <c r="P220" s="218">
        <f>P217-P219</f>
        <v>4.6100000000137697E-4</v>
      </c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</row>
    <row r="221" spans="2:26" outlineLevel="1"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</row>
    <row r="222" spans="2:26" outlineLevel="1"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</row>
    <row r="224" spans="2:26">
      <c r="B224" s="20" t="s">
        <v>6</v>
      </c>
      <c r="C224" s="20" t="s">
        <v>6</v>
      </c>
      <c r="D224" s="20" t="s">
        <v>6</v>
      </c>
      <c r="E224" s="21" t="s">
        <v>6</v>
      </c>
      <c r="F224" s="20" t="s">
        <v>6</v>
      </c>
      <c r="G224" s="20" t="s">
        <v>6</v>
      </c>
      <c r="H224" s="20" t="s">
        <v>6</v>
      </c>
      <c r="I224" s="20" t="s">
        <v>6</v>
      </c>
      <c r="J224" s="20" t="s">
        <v>6</v>
      </c>
      <c r="K224" s="20" t="s">
        <v>6</v>
      </c>
      <c r="L224" s="20" t="s">
        <v>6</v>
      </c>
      <c r="M224" s="20" t="s">
        <v>6</v>
      </c>
      <c r="N224" s="20" t="s">
        <v>6</v>
      </c>
      <c r="O224" s="20" t="s">
        <v>6</v>
      </c>
      <c r="P224" s="20" t="s">
        <v>6</v>
      </c>
      <c r="Q224" s="20" t="s">
        <v>6</v>
      </c>
      <c r="R224" s="20" t="s">
        <v>6</v>
      </c>
      <c r="S224" s="20" t="s">
        <v>6</v>
      </c>
      <c r="T224" s="20" t="s">
        <v>6</v>
      </c>
      <c r="U224" s="20" t="s">
        <v>6</v>
      </c>
      <c r="V224" s="20" t="s">
        <v>6</v>
      </c>
      <c r="W224" s="20" t="s">
        <v>6</v>
      </c>
      <c r="X224" s="20" t="s">
        <v>6</v>
      </c>
      <c r="Y224" s="20" t="s">
        <v>6</v>
      </c>
      <c r="Z224" s="20" t="s">
        <v>6</v>
      </c>
    </row>
  </sheetData>
  <mergeCells count="3">
    <mergeCell ref="B2:D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E73"/>
  </sheetPr>
  <dimension ref="A1:BQ48"/>
  <sheetViews>
    <sheetView showGridLines="0" zoomScale="70" zoomScaleNormal="70" workbookViewId="0">
      <pane xSplit="6" ySplit="4" topLeftCell="G5" activePane="bottomRight" state="frozen"/>
      <selection activeCell="B2" sqref="B2:D3"/>
      <selection pane="topRight" activeCell="B2" sqref="B2:D3"/>
      <selection pane="bottomLeft" activeCell="B2" sqref="B2:D3"/>
      <selection pane="bottomRight" activeCell="Q13" sqref="Q13"/>
    </sheetView>
  </sheetViews>
  <sheetFormatPr baseColWidth="10" defaultColWidth="0" defaultRowHeight="16" outlineLevelRow="2"/>
  <cols>
    <col min="1" max="3" width="3.1640625" style="3" customWidth="1"/>
    <col min="4" max="4" width="40.6640625" style="3" customWidth="1"/>
    <col min="5" max="5" width="10.6640625" style="4" customWidth="1"/>
    <col min="6" max="6" width="9.1640625" style="4" customWidth="1"/>
    <col min="7" max="26" width="9.1640625" style="11" customWidth="1"/>
    <col min="27" max="27" width="3.6640625" style="3" customWidth="1"/>
    <col min="28" max="69" width="0" style="3" hidden="1" customWidth="1"/>
    <col min="70" max="16384" width="8.6640625" style="3" hidden="1"/>
  </cols>
  <sheetData>
    <row r="1" spans="2:26"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2:26" s="5" customFormat="1">
      <c r="B2" s="399" t="s">
        <v>39</v>
      </c>
      <c r="C2" s="399"/>
      <c r="D2" s="399"/>
      <c r="E2" s="400" t="s">
        <v>38</v>
      </c>
      <c r="F2" s="400" t="s">
        <v>47</v>
      </c>
      <c r="G2" s="85">
        <f>Calc!G2</f>
        <v>2013</v>
      </c>
      <c r="H2" s="85">
        <f>Calc!H2</f>
        <v>2014</v>
      </c>
      <c r="I2" s="85">
        <f>Calc!I2</f>
        <v>2015</v>
      </c>
      <c r="J2" s="85">
        <f>Calc!J2</f>
        <v>2016</v>
      </c>
      <c r="K2" s="85">
        <f>Calc!K2</f>
        <v>2017</v>
      </c>
      <c r="L2" s="85">
        <f>Calc!L2</f>
        <v>2018</v>
      </c>
      <c r="M2" s="85">
        <f>Calc!M2</f>
        <v>2019</v>
      </c>
      <c r="N2" s="85">
        <f>Calc!N2</f>
        <v>2020</v>
      </c>
      <c r="O2" s="85">
        <f>Calc!O2</f>
        <v>2021</v>
      </c>
      <c r="P2" s="85">
        <f>Calc!P2</f>
        <v>2022</v>
      </c>
      <c r="Q2" s="22">
        <f>Calc!Q2</f>
        <v>2023</v>
      </c>
      <c r="R2" s="22">
        <f>Calc!R2</f>
        <v>2024</v>
      </c>
      <c r="S2" s="22">
        <f>Calc!S2</f>
        <v>2025</v>
      </c>
      <c r="T2" s="22">
        <f>Calc!T2</f>
        <v>2026</v>
      </c>
      <c r="U2" s="22">
        <f>Calc!U2</f>
        <v>2027</v>
      </c>
      <c r="V2" s="22">
        <f>Calc!V2</f>
        <v>2028</v>
      </c>
      <c r="W2" s="22">
        <f>Calc!W2</f>
        <v>2029</v>
      </c>
      <c r="X2" s="22">
        <f>Calc!X2</f>
        <v>2030</v>
      </c>
      <c r="Y2" s="22">
        <f>Calc!Y2</f>
        <v>2031</v>
      </c>
      <c r="Z2" s="22">
        <f>Calc!Z2</f>
        <v>2032</v>
      </c>
    </row>
    <row r="3" spans="2:26" s="5" customFormat="1">
      <c r="B3" s="399"/>
      <c r="C3" s="399"/>
      <c r="D3" s="399"/>
      <c r="E3" s="400"/>
      <c r="F3" s="400"/>
      <c r="G3" s="85" t="str">
        <f>Calc!G3</f>
        <v>fact</v>
      </c>
      <c r="H3" s="85" t="str">
        <f>Calc!H3</f>
        <v>fact</v>
      </c>
      <c r="I3" s="85" t="str">
        <f>Calc!I3</f>
        <v>fact</v>
      </c>
      <c r="J3" s="85" t="str">
        <f>Calc!J3</f>
        <v>fact</v>
      </c>
      <c r="K3" s="85" t="str">
        <f>Calc!K3</f>
        <v>fact</v>
      </c>
      <c r="L3" s="85" t="str">
        <f>Calc!L3</f>
        <v>fact</v>
      </c>
      <c r="M3" s="85" t="str">
        <f>Calc!M3</f>
        <v>fact</v>
      </c>
      <c r="N3" s="85" t="str">
        <f>Calc!N3</f>
        <v>fact</v>
      </c>
      <c r="O3" s="85" t="str">
        <f>Calc!O3</f>
        <v>fact</v>
      </c>
      <c r="P3" s="85" t="str">
        <f>Calc!P3</f>
        <v>fact</v>
      </c>
      <c r="Q3" s="22" t="str">
        <f>Calc!Q3</f>
        <v>forecast</v>
      </c>
      <c r="R3" s="22" t="str">
        <f>Calc!R3</f>
        <v>forecast</v>
      </c>
      <c r="S3" s="22" t="str">
        <f>Calc!S3</f>
        <v>forecast</v>
      </c>
      <c r="T3" s="22" t="str">
        <f>Calc!T3</f>
        <v>forecast</v>
      </c>
      <c r="U3" s="22" t="str">
        <f>Calc!U3</f>
        <v>forecast</v>
      </c>
      <c r="V3" s="22" t="str">
        <f>Calc!V3</f>
        <v>forecast</v>
      </c>
      <c r="W3" s="22" t="str">
        <f>Calc!W3</f>
        <v>forecast</v>
      </c>
      <c r="X3" s="22" t="str">
        <f>Calc!X3</f>
        <v>forecast</v>
      </c>
      <c r="Y3" s="22" t="str">
        <f>Calc!Y3</f>
        <v>forecast</v>
      </c>
      <c r="Z3" s="22" t="str">
        <f>Calc!Z3</f>
        <v>forecast</v>
      </c>
    </row>
    <row r="4" spans="2:26" ht="5" customHeight="1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2:26" ht="5" customHeight="1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2:26">
      <c r="B6" s="1" t="s">
        <v>9</v>
      </c>
      <c r="C6" s="1"/>
      <c r="D6" s="1"/>
      <c r="E6" s="2"/>
      <c r="F6" s="2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2:26" outlineLevel="1"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2:26" s="5" customFormat="1" outlineLevel="1">
      <c r="D8" s="5" t="s">
        <v>60</v>
      </c>
      <c r="E8" s="9" t="s">
        <v>62</v>
      </c>
      <c r="F8" s="9"/>
      <c r="G8" s="27">
        <f>Calc!G78</f>
        <v>3024.047</v>
      </c>
      <c r="H8" s="27">
        <f>Calc!H78</f>
        <v>3223.3989999999999</v>
      </c>
      <c r="I8" s="27">
        <f>Calc!I78</f>
        <v>2225.6019999999999</v>
      </c>
      <c r="J8" s="27">
        <f>Calc!J78</f>
        <v>1998.4290000000001</v>
      </c>
      <c r="K8" s="27">
        <f>Calc!K78</f>
        <v>3060.6419999999998</v>
      </c>
      <c r="L8" s="27">
        <f>Calc!L78</f>
        <v>3931.8470000000002</v>
      </c>
      <c r="M8" s="27">
        <f>Calc!M78</f>
        <v>3283.5140000000001</v>
      </c>
      <c r="N8" s="27">
        <f>Calc!N78</f>
        <v>2649.9630000000002</v>
      </c>
      <c r="O8" s="27">
        <f>Calc!O78</f>
        <v>4414.5590000000002</v>
      </c>
      <c r="P8" s="27">
        <f>Calc!P78</f>
        <v>4311.1880000000001</v>
      </c>
      <c r="Q8" s="27">
        <f>Calc!Q78</f>
        <v>3168.5896628280716</v>
      </c>
      <c r="R8" s="27">
        <f>Calc!R78</f>
        <v>4407.854419176073</v>
      </c>
      <c r="S8" s="27">
        <f>Calc!S78</f>
        <v>4887.5046766688574</v>
      </c>
      <c r="T8" s="27">
        <f>Calc!T78</f>
        <v>4719.2597205522889</v>
      </c>
      <c r="U8" s="27">
        <f>Calc!U78</f>
        <v>4713.9360420139546</v>
      </c>
      <c r="V8" s="27">
        <f>Calc!V78</f>
        <v>4732.7917861820097</v>
      </c>
      <c r="W8" s="27">
        <f>Calc!W78</f>
        <v>4751.7229533267373</v>
      </c>
      <c r="X8" s="27">
        <f>Calc!X78</f>
        <v>4770.7298451400447</v>
      </c>
      <c r="Y8" s="27">
        <f>Calc!Y78</f>
        <v>4789.812764520605</v>
      </c>
      <c r="Z8" s="27">
        <f>Calc!Z78</f>
        <v>4808.9720155786881</v>
      </c>
    </row>
    <row r="9" spans="2:26" outlineLevel="1"/>
    <row r="10" spans="2:26" outlineLevel="1">
      <c r="D10" s="3" t="s">
        <v>714</v>
      </c>
      <c r="E10" s="15" t="s">
        <v>62</v>
      </c>
      <c r="G10" s="25">
        <f>Calc!G91</f>
        <v>1661.14</v>
      </c>
      <c r="H10" s="25">
        <f>Calc!H91</f>
        <v>1847.1379999999999</v>
      </c>
      <c r="I10" s="25">
        <f>Calc!I91</f>
        <v>1393.0319999999999</v>
      </c>
      <c r="J10" s="25">
        <f>Calc!J91</f>
        <v>1140.5509999999999</v>
      </c>
      <c r="K10" s="25">
        <f>Calc!K91</f>
        <v>1637.085</v>
      </c>
      <c r="L10" s="25">
        <f>Calc!L91</f>
        <v>2191.5149999999999</v>
      </c>
      <c r="M10" s="25">
        <f>Calc!M91</f>
        <v>2169.027</v>
      </c>
      <c r="N10" s="25">
        <f>Calc!N91</f>
        <v>1705.3869999999999</v>
      </c>
      <c r="O10" s="25">
        <f>Calc!O91</f>
        <v>2739.817</v>
      </c>
      <c r="P10" s="25">
        <f>Calc!P91</f>
        <v>2789.9209999999998</v>
      </c>
      <c r="Q10" s="25">
        <f>Calc!Q91</f>
        <v>2050.5055313539924</v>
      </c>
      <c r="R10" s="25">
        <f>Calc!R91</f>
        <v>2852.477231102454</v>
      </c>
      <c r="S10" s="25">
        <f>Calc!S91</f>
        <v>3162.8757398277812</v>
      </c>
      <c r="T10" s="25">
        <f>Calc!T91</f>
        <v>3053.9985263511967</v>
      </c>
      <c r="U10" s="25">
        <f>Calc!U91</f>
        <v>3050.5533872036226</v>
      </c>
      <c r="V10" s="25">
        <f>Calc!V91</f>
        <v>3062.7556007524372</v>
      </c>
      <c r="W10" s="25">
        <f>Calc!W91</f>
        <v>3075.006623155447</v>
      </c>
      <c r="X10" s="25">
        <f>Calc!X91</f>
        <v>3087.3066496480687</v>
      </c>
      <c r="Y10" s="25">
        <f>Calc!Y91</f>
        <v>3099.6558762466611</v>
      </c>
      <c r="Z10" s="25">
        <f>Calc!Z91</f>
        <v>3112.0544997516481</v>
      </c>
    </row>
    <row r="11" spans="2:26" outlineLevel="1">
      <c r="D11" s="3" t="s">
        <v>715</v>
      </c>
      <c r="E11" s="15" t="s">
        <v>62</v>
      </c>
      <c r="G11" s="25">
        <f>Calc!G97</f>
        <v>256.46100000000001</v>
      </c>
      <c r="H11" s="25">
        <f>Calc!H97</f>
        <v>287.35000000000002</v>
      </c>
      <c r="I11" s="25">
        <f>Calc!I97</f>
        <v>253.39400000000001</v>
      </c>
      <c r="J11" s="25">
        <f>Calc!J97</f>
        <v>351.60899999999998</v>
      </c>
      <c r="K11" s="25">
        <f>Calc!K97</f>
        <v>374.71699999999998</v>
      </c>
      <c r="L11" s="25">
        <f>Calc!L97</f>
        <v>399.29300000000001</v>
      </c>
      <c r="M11" s="25">
        <f>Calc!M97</f>
        <v>334.65</v>
      </c>
      <c r="N11" s="25">
        <f>Calc!N97</f>
        <v>328.63499999999999</v>
      </c>
      <c r="O11" s="25">
        <f>Calc!O97</f>
        <v>356.52</v>
      </c>
      <c r="P11" s="25">
        <f>Calc!P97</f>
        <v>325.89299999999997</v>
      </c>
      <c r="Q11" s="25">
        <f>Calc!Q97</f>
        <v>239.52126211801217</v>
      </c>
      <c r="R11" s="25">
        <f>Calc!R97</f>
        <v>333.20024555378882</v>
      </c>
      <c r="S11" s="25">
        <f>Calc!S97</f>
        <v>369.45815436340143</v>
      </c>
      <c r="T11" s="25">
        <f>Calc!T97</f>
        <v>356.7401162069358</v>
      </c>
      <c r="U11" s="25">
        <f>Calc!U97</f>
        <v>356.33768662838486</v>
      </c>
      <c r="V11" s="25">
        <f>Calc!V97</f>
        <v>357.76303737489837</v>
      </c>
      <c r="W11" s="25">
        <f>Calc!W97</f>
        <v>359.19408952439795</v>
      </c>
      <c r="X11" s="25">
        <f>Calc!X97</f>
        <v>360.63086588249558</v>
      </c>
      <c r="Y11" s="25">
        <f>Calc!Y97</f>
        <v>362.07338934602558</v>
      </c>
      <c r="Z11" s="25">
        <f>Calc!Z97</f>
        <v>363.52168290340978</v>
      </c>
    </row>
    <row r="12" spans="2:26" outlineLevel="1">
      <c r="D12" s="3" t="s">
        <v>716</v>
      </c>
      <c r="E12" s="15" t="s">
        <v>62</v>
      </c>
      <c r="G12" s="25">
        <f>Calc!G102</f>
        <v>274.46300000000002</v>
      </c>
      <c r="H12" s="25">
        <f>Calc!H102</f>
        <v>124.111</v>
      </c>
      <c r="I12" s="25">
        <f>Calc!I102</f>
        <v>113.627</v>
      </c>
      <c r="J12" s="25">
        <f>Calc!J102</f>
        <v>204.762</v>
      </c>
      <c r="K12" s="25">
        <f>Calc!K102</f>
        <v>243.70699999999999</v>
      </c>
      <c r="L12" s="25">
        <f>Calc!L102</f>
        <v>182.51900000000001</v>
      </c>
      <c r="M12" s="25">
        <f>Calc!M102</f>
        <v>184.17099999999999</v>
      </c>
      <c r="N12" s="25">
        <f>Calc!N102</f>
        <v>246.779</v>
      </c>
      <c r="O12" s="25">
        <f>Calc!O102</f>
        <v>210.84899999999999</v>
      </c>
      <c r="P12" s="25">
        <f>Calc!P102</f>
        <v>219.012</v>
      </c>
      <c r="Q12" s="25">
        <f>Calc!Q102</f>
        <v>225.9860986153713</v>
      </c>
      <c r="R12" s="25">
        <f>Calc!R102</f>
        <v>230.63956481174768</v>
      </c>
      <c r="S12" s="25">
        <f>Calc!S102</f>
        <v>235.38885436970901</v>
      </c>
      <c r="T12" s="25">
        <f>Calc!T102</f>
        <v>240.23594046714865</v>
      </c>
      <c r="U12" s="25">
        <f>Calc!U102</f>
        <v>245.04065927649162</v>
      </c>
      <c r="V12" s="25">
        <f>Calc!V102</f>
        <v>249.94147246202147</v>
      </c>
      <c r="W12" s="25">
        <f>Calc!W102</f>
        <v>254.94030191126191</v>
      </c>
      <c r="X12" s="25">
        <f>Calc!X102</f>
        <v>260.03910794948717</v>
      </c>
      <c r="Y12" s="25">
        <f>Calc!Y102</f>
        <v>265.23989010847691</v>
      </c>
      <c r="Z12" s="25">
        <f>Calc!Z102</f>
        <v>270.54468791064647</v>
      </c>
    </row>
    <row r="13" spans="2:26" outlineLevel="1">
      <c r="D13" s="3" t="s">
        <v>717</v>
      </c>
      <c r="E13" s="15" t="s">
        <v>62</v>
      </c>
      <c r="G13" s="25">
        <f>Calc!G103</f>
        <v>173.45599999999999</v>
      </c>
      <c r="H13" s="25">
        <f>Calc!H103</f>
        <v>167.22200000000001</v>
      </c>
      <c r="I13" s="25">
        <f>Calc!I103</f>
        <v>97.846000000000004</v>
      </c>
      <c r="J13" s="25">
        <f>Calc!J103</f>
        <v>77.507000000000005</v>
      </c>
      <c r="K13" s="25">
        <f>Calc!K103</f>
        <v>96.44</v>
      </c>
      <c r="L13" s="25">
        <f>Calc!L103</f>
        <v>83.593000000000004</v>
      </c>
      <c r="M13" s="25">
        <f>Calc!M103</f>
        <v>112.089</v>
      </c>
      <c r="N13" s="25">
        <f>Calc!N103</f>
        <v>74.322000000000003</v>
      </c>
      <c r="O13" s="25">
        <f>Calc!O103</f>
        <v>32.323999999999998</v>
      </c>
      <c r="P13" s="25">
        <f>Calc!P103</f>
        <v>111.27500000000001</v>
      </c>
      <c r="Q13" s="25">
        <f>Calc!Q103</f>
        <v>114.81838037836029</v>
      </c>
      <c r="R13" s="25">
        <f>Calc!R103</f>
        <v>117.18270037453301</v>
      </c>
      <c r="S13" s="25">
        <f>Calc!S103</f>
        <v>119.59570603432401</v>
      </c>
      <c r="T13" s="25">
        <f>Calc!T103</f>
        <v>122.05839988439888</v>
      </c>
      <c r="U13" s="25">
        <f>Calc!U103</f>
        <v>124.49956788208686</v>
      </c>
      <c r="V13" s="25">
        <f>Calc!V103</f>
        <v>126.98955923972861</v>
      </c>
      <c r="W13" s="25">
        <f>Calc!W103</f>
        <v>129.52935042452319</v>
      </c>
      <c r="X13" s="25">
        <f>Calc!X103</f>
        <v>132.11993743301366</v>
      </c>
      <c r="Y13" s="25">
        <f>Calc!Y103</f>
        <v>134.76233618167393</v>
      </c>
      <c r="Z13" s="25">
        <f>Calc!Z103</f>
        <v>137.45758290530742</v>
      </c>
    </row>
    <row r="14" spans="2:26" outlineLevel="1">
      <c r="D14" s="11"/>
      <c r="E14" s="11"/>
      <c r="F14" s="11"/>
    </row>
    <row r="15" spans="2:26" outlineLevel="1">
      <c r="D15" s="3" t="s">
        <v>793</v>
      </c>
      <c r="E15" s="15" t="s">
        <v>62</v>
      </c>
      <c r="G15" s="25">
        <f>Calc!G217</f>
        <v>22.553833000000022</v>
      </c>
      <c r="H15" s="25">
        <f>Calc!H217</f>
        <v>9.13246299999998</v>
      </c>
      <c r="I15" s="25">
        <f>Calc!I217</f>
        <v>51.842328999999992</v>
      </c>
      <c r="J15" s="25">
        <f>Calc!J217</f>
        <v>19.929503999999987</v>
      </c>
      <c r="K15" s="25">
        <f>Calc!K217</f>
        <v>75.995116000000039</v>
      </c>
      <c r="L15" s="25">
        <f>Calc!L217</f>
        <v>72.000886000000037</v>
      </c>
      <c r="M15" s="25">
        <f>Calc!M217</f>
        <v>52.217774000000013</v>
      </c>
      <c r="N15" s="25">
        <f>Calc!N217</f>
        <v>29.576863000000014</v>
      </c>
      <c r="O15" s="25">
        <f>Calc!O217</f>
        <v>97.742531000000014</v>
      </c>
      <c r="P15" s="25">
        <f>Calc!P217</f>
        <v>76.938461000000004</v>
      </c>
      <c r="Q15" s="25">
        <f>Calc!Q217</f>
        <v>61.963533979174287</v>
      </c>
      <c r="R15" s="25">
        <f>Calc!R217</f>
        <v>75.127946196280448</v>
      </c>
      <c r="S15" s="25">
        <f>Calc!S217</f>
        <v>83.780800818721985</v>
      </c>
      <c r="T15" s="25">
        <f>Calc!T217</f>
        <v>80.687365681450899</v>
      </c>
      <c r="U15" s="25">
        <f>Calc!U217</f>
        <v>80.673187555547528</v>
      </c>
      <c r="V15" s="25">
        <f>Calc!V217</f>
        <v>81.036673578222789</v>
      </c>
      <c r="W15" s="25">
        <f>Calc!W217</f>
        <v>81.390006394236735</v>
      </c>
      <c r="X15" s="25">
        <f>Calc!X217</f>
        <v>81.768519124372759</v>
      </c>
      <c r="Y15" s="25">
        <f>Calc!Y217</f>
        <v>82.106425597386448</v>
      </c>
      <c r="Z15" s="25">
        <f>Calc!Z217</f>
        <v>82.435550818722874</v>
      </c>
    </row>
    <row r="16" spans="2:26" outlineLevel="1">
      <c r="D16" s="11"/>
      <c r="E16" s="11"/>
      <c r="F16" s="11"/>
    </row>
    <row r="17" spans="1:26" s="5" customFormat="1" outlineLevel="1">
      <c r="A17" s="3"/>
      <c r="D17" s="5" t="s">
        <v>7</v>
      </c>
      <c r="E17" s="9" t="s">
        <v>62</v>
      </c>
      <c r="F17" s="9"/>
      <c r="G17" s="19">
        <f>G8-SUM(G10:G13)+G15</f>
        <v>681.08083299999964</v>
      </c>
      <c r="H17" s="19">
        <f t="shared" ref="H17:Z17" si="0">H8-SUM(H10:H13)+H15</f>
        <v>806.710463</v>
      </c>
      <c r="I17" s="19">
        <f t="shared" si="0"/>
        <v>419.54532899999998</v>
      </c>
      <c r="J17" s="19">
        <f t="shared" si="0"/>
        <v>243.92950400000021</v>
      </c>
      <c r="K17" s="19">
        <f t="shared" si="0"/>
        <v>784.68811599999981</v>
      </c>
      <c r="L17" s="19">
        <f t="shared" si="0"/>
        <v>1146.9278860000002</v>
      </c>
      <c r="M17" s="19">
        <f t="shared" si="0"/>
        <v>535.79477400000019</v>
      </c>
      <c r="N17" s="19">
        <f t="shared" si="0"/>
        <v>324.41686300000015</v>
      </c>
      <c r="O17" s="19">
        <f t="shared" si="0"/>
        <v>1172.7915310000001</v>
      </c>
      <c r="P17" s="19">
        <f t="shared" si="0"/>
        <v>942.02546099999995</v>
      </c>
      <c r="Q17" s="19">
        <f>Q8-SUM(Q10:Q13)+Q15</f>
        <v>599.72192434150963</v>
      </c>
      <c r="R17" s="19">
        <f t="shared" si="0"/>
        <v>949.48262352982965</v>
      </c>
      <c r="S17" s="19">
        <f t="shared" si="0"/>
        <v>1083.967022892364</v>
      </c>
      <c r="T17" s="19">
        <f t="shared" si="0"/>
        <v>1026.9141033240594</v>
      </c>
      <c r="U17" s="19">
        <f t="shared" si="0"/>
        <v>1018.1779285789163</v>
      </c>
      <c r="V17" s="19">
        <f t="shared" si="0"/>
        <v>1016.3787899311466</v>
      </c>
      <c r="W17" s="19">
        <f t="shared" si="0"/>
        <v>1014.4425947053439</v>
      </c>
      <c r="X17" s="19">
        <f t="shared" si="0"/>
        <v>1012.4018033513527</v>
      </c>
      <c r="Y17" s="19">
        <f t="shared" si="0"/>
        <v>1010.1876982351536</v>
      </c>
      <c r="Z17" s="19">
        <f t="shared" si="0"/>
        <v>1007.829112926399</v>
      </c>
    </row>
    <row r="18" spans="1:26" s="12" customFormat="1" outlineLevel="1">
      <c r="A18" s="3"/>
      <c r="D18" s="12" t="s">
        <v>10</v>
      </c>
      <c r="E18" s="23" t="s">
        <v>3</v>
      </c>
      <c r="F18" s="23"/>
      <c r="G18" s="31">
        <f t="shared" ref="G18:Z18" si="1">IFERROR(G17/G$8,"-")</f>
        <v>0.22522164271917719</v>
      </c>
      <c r="H18" s="31">
        <f t="shared" si="1"/>
        <v>0.25026702030992753</v>
      </c>
      <c r="I18" s="31">
        <f t="shared" si="1"/>
        <v>0.18850869517550758</v>
      </c>
      <c r="J18" s="31">
        <f t="shared" si="1"/>
        <v>0.12206063062535631</v>
      </c>
      <c r="K18" s="31">
        <f t="shared" si="1"/>
        <v>0.25638023525783149</v>
      </c>
      <c r="L18" s="31">
        <f t="shared" si="1"/>
        <v>0.29170206419527517</v>
      </c>
      <c r="M18" s="31">
        <f t="shared" si="1"/>
        <v>0.16317724669363376</v>
      </c>
      <c r="N18" s="31">
        <f t="shared" si="1"/>
        <v>0.12242316704044552</v>
      </c>
      <c r="O18" s="31">
        <f t="shared" si="1"/>
        <v>0.26566448222800965</v>
      </c>
      <c r="P18" s="31">
        <f t="shared" si="1"/>
        <v>0.21850716345471363</v>
      </c>
      <c r="Q18" s="31">
        <f t="shared" si="1"/>
        <v>0.18927093380915655</v>
      </c>
      <c r="R18" s="31">
        <f t="shared" si="1"/>
        <v>0.2154069833611495</v>
      </c>
      <c r="S18" s="31">
        <f t="shared" si="1"/>
        <v>0.22178332187932673</v>
      </c>
      <c r="T18" s="31">
        <f t="shared" si="1"/>
        <v>0.21760067555762347</v>
      </c>
      <c r="U18" s="31">
        <f t="shared" si="1"/>
        <v>0.21599315720539897</v>
      </c>
      <c r="V18" s="31">
        <f t="shared" si="1"/>
        <v>0.21475248349158194</v>
      </c>
      <c r="W18" s="31">
        <f t="shared" si="1"/>
        <v>0.21348942366160484</v>
      </c>
      <c r="X18" s="31">
        <f t="shared" si="1"/>
        <v>0.21221109478305275</v>
      </c>
      <c r="Y18" s="31">
        <f t="shared" si="1"/>
        <v>0.21090337929655159</v>
      </c>
      <c r="Z18" s="31">
        <f t="shared" si="1"/>
        <v>0.20957267159416434</v>
      </c>
    </row>
    <row r="19" spans="1:26" outlineLevel="1"/>
    <row r="20" spans="1:26" outlineLevel="1">
      <c r="D20" s="3" t="s">
        <v>71</v>
      </c>
      <c r="E20" s="15" t="s">
        <v>62</v>
      </c>
      <c r="G20" s="25">
        <f>Calc!G122</f>
        <v>0</v>
      </c>
      <c r="H20" s="25">
        <f>Calc!H122</f>
        <v>142.738</v>
      </c>
      <c r="I20" s="25">
        <f>Calc!I122</f>
        <v>194.84899999999999</v>
      </c>
      <c r="J20" s="25">
        <f>Calc!J122</f>
        <v>228.054</v>
      </c>
      <c r="K20" s="25">
        <f>Calc!K122</f>
        <v>232.22499999999999</v>
      </c>
      <c r="L20" s="25">
        <f>Calc!L122</f>
        <v>245.303</v>
      </c>
      <c r="M20" s="25">
        <f>Calc!M122</f>
        <v>344.12700000000001</v>
      </c>
      <c r="N20" s="25">
        <f>Calc!N122</f>
        <v>357.12900000000002</v>
      </c>
      <c r="O20" s="25">
        <f>Calc!O122</f>
        <v>363.084</v>
      </c>
      <c r="P20" s="25">
        <f>Calc!P122</f>
        <v>372.42</v>
      </c>
      <c r="Q20" s="25">
        <f>Calc!Q122</f>
        <v>358.28536519964297</v>
      </c>
      <c r="R20" s="25">
        <f>Calc!R122</f>
        <v>378.29411137562732</v>
      </c>
      <c r="S20" s="25">
        <f>Calc!S122</f>
        <v>361.26797306213933</v>
      </c>
      <c r="T20" s="25">
        <f>Calc!T122</f>
        <v>346.03096348980819</v>
      </c>
      <c r="U20" s="25">
        <f>Calc!U122</f>
        <v>332.43542805180795</v>
      </c>
      <c r="V20" s="25">
        <f>Calc!V122</f>
        <v>320.33696803234028</v>
      </c>
      <c r="W20" s="25">
        <f>Calc!W122</f>
        <v>309.61299577614261</v>
      </c>
      <c r="X20" s="25">
        <f>Calc!X122</f>
        <v>300.15162355840147</v>
      </c>
      <c r="Y20" s="25">
        <f>Calc!Y122</f>
        <v>291.85074359182744</v>
      </c>
      <c r="Z20" s="25">
        <f>Calc!Z122</f>
        <v>284.61718741122354</v>
      </c>
    </row>
    <row r="21" spans="1:26" outlineLevel="1"/>
    <row r="22" spans="1:26" outlineLevel="1">
      <c r="D22" s="5" t="s">
        <v>11</v>
      </c>
      <c r="E22" s="9" t="s">
        <v>62</v>
      </c>
      <c r="F22" s="9"/>
      <c r="G22" s="27">
        <f>G17-G20</f>
        <v>681.08083299999964</v>
      </c>
      <c r="H22" s="27">
        <f t="shared" ref="H22:Z22" si="2">H17-H20</f>
        <v>663.97246300000006</v>
      </c>
      <c r="I22" s="27">
        <f t="shared" si="2"/>
        <v>224.69632899999999</v>
      </c>
      <c r="J22" s="27">
        <f t="shared" si="2"/>
        <v>15.875504000000205</v>
      </c>
      <c r="K22" s="27">
        <f t="shared" si="2"/>
        <v>552.46311599999979</v>
      </c>
      <c r="L22" s="27">
        <f t="shared" si="2"/>
        <v>901.62488600000017</v>
      </c>
      <c r="M22" s="27">
        <f t="shared" si="2"/>
        <v>191.66777400000018</v>
      </c>
      <c r="N22" s="27">
        <f t="shared" si="2"/>
        <v>-32.712136999999871</v>
      </c>
      <c r="O22" s="27">
        <f t="shared" si="2"/>
        <v>809.70753100000002</v>
      </c>
      <c r="P22" s="27">
        <f t="shared" si="2"/>
        <v>569.60546099999988</v>
      </c>
      <c r="Q22" s="27">
        <f>Q17-Q20</f>
        <v>241.43655914186667</v>
      </c>
      <c r="R22" s="27">
        <f t="shared" si="2"/>
        <v>571.18851215420227</v>
      </c>
      <c r="S22" s="27">
        <f t="shared" si="2"/>
        <v>722.69904983022457</v>
      </c>
      <c r="T22" s="27">
        <f t="shared" si="2"/>
        <v>680.88313983425121</v>
      </c>
      <c r="U22" s="27">
        <f t="shared" si="2"/>
        <v>685.7425005271084</v>
      </c>
      <c r="V22" s="27">
        <f t="shared" si="2"/>
        <v>696.04182189880635</v>
      </c>
      <c r="W22" s="27">
        <f t="shared" si="2"/>
        <v>704.82959892920132</v>
      </c>
      <c r="X22" s="27">
        <f t="shared" si="2"/>
        <v>712.25017979295126</v>
      </c>
      <c r="Y22" s="27">
        <f t="shared" si="2"/>
        <v>718.33695464332618</v>
      </c>
      <c r="Z22" s="27">
        <f t="shared" si="2"/>
        <v>723.21192551517549</v>
      </c>
    </row>
    <row r="23" spans="1:26" outlineLevel="1">
      <c r="D23" s="12" t="s">
        <v>12</v>
      </c>
      <c r="E23" s="23" t="s">
        <v>3</v>
      </c>
      <c r="F23" s="23"/>
      <c r="G23" s="31">
        <f>IFERROR(G22/G$8,"-")</f>
        <v>0.22522164271917719</v>
      </c>
      <c r="H23" s="31">
        <f t="shared" ref="H23:Z23" si="3">IFERROR(H22/H$8,"-")</f>
        <v>0.20598519233889448</v>
      </c>
      <c r="I23" s="31">
        <f t="shared" si="3"/>
        <v>0.10095979829277651</v>
      </c>
      <c r="J23" s="31">
        <f t="shared" si="3"/>
        <v>7.9439920057205963E-3</v>
      </c>
      <c r="K23" s="31">
        <f t="shared" si="3"/>
        <v>0.18050563117149926</v>
      </c>
      <c r="L23" s="31">
        <f t="shared" si="3"/>
        <v>0.229313319160181</v>
      </c>
      <c r="M23" s="31">
        <f t="shared" si="3"/>
        <v>5.8372759793319039E-2</v>
      </c>
      <c r="N23" s="31">
        <f t="shared" si="3"/>
        <v>-1.234437499693387E-2</v>
      </c>
      <c r="O23" s="31">
        <f t="shared" si="3"/>
        <v>0.18341753525097296</v>
      </c>
      <c r="P23" s="31">
        <f t="shared" si="3"/>
        <v>0.13212262165324265</v>
      </c>
      <c r="Q23" s="31">
        <f t="shared" si="3"/>
        <v>7.6196852490636638E-2</v>
      </c>
      <c r="R23" s="31">
        <f t="shared" si="3"/>
        <v>0.12958425071147658</v>
      </c>
      <c r="S23" s="31">
        <f t="shared" si="3"/>
        <v>0.14786667177632032</v>
      </c>
      <c r="T23" s="31">
        <f t="shared" si="3"/>
        <v>0.14427753083158737</v>
      </c>
      <c r="U23" s="31">
        <f t="shared" si="3"/>
        <v>0.14547132044543731</v>
      </c>
      <c r="V23" s="31">
        <f t="shared" si="3"/>
        <v>0.14706791537523145</v>
      </c>
      <c r="W23" s="31">
        <f t="shared" si="3"/>
        <v>0.14833137492490842</v>
      </c>
      <c r="X23" s="31">
        <f t="shared" si="3"/>
        <v>0.14929585260807052</v>
      </c>
      <c r="Y23" s="31">
        <f t="shared" si="3"/>
        <v>0.14997182352601249</v>
      </c>
      <c r="Z23" s="31">
        <f t="shared" si="3"/>
        <v>0.15038805033015934</v>
      </c>
    </row>
    <row r="24" spans="1:26" outlineLevel="1"/>
    <row r="25" spans="1:26" outlineLevel="1">
      <c r="D25" s="3" t="s">
        <v>791</v>
      </c>
      <c r="E25" s="15" t="s">
        <v>62</v>
      </c>
      <c r="G25" s="30">
        <f>-33.867-24.798</f>
        <v>-58.664999999999992</v>
      </c>
      <c r="H25" s="30">
        <f>42-7.285</f>
        <v>34.715000000000003</v>
      </c>
      <c r="I25" s="30">
        <f>65-6.487</f>
        <v>58.512999999999998</v>
      </c>
      <c r="J25" s="30">
        <v>32.5</v>
      </c>
      <c r="K25" s="30">
        <v>0</v>
      </c>
      <c r="L25" s="30">
        <v>0</v>
      </c>
      <c r="M25" s="30">
        <v>50</v>
      </c>
      <c r="N25" s="30">
        <v>9.8390000000000004</v>
      </c>
      <c r="O25" s="30">
        <v>0</v>
      </c>
      <c r="P25" s="30">
        <v>117.946</v>
      </c>
      <c r="Q25" s="219"/>
      <c r="R25" s="219"/>
      <c r="S25" s="219"/>
      <c r="T25" s="219"/>
      <c r="U25" s="219"/>
      <c r="V25" s="219"/>
      <c r="W25" s="219"/>
      <c r="X25" s="219"/>
      <c r="Y25" s="219"/>
      <c r="Z25" s="219"/>
    </row>
    <row r="26" spans="1:26" outlineLevel="1">
      <c r="D26" s="3" t="s">
        <v>787</v>
      </c>
      <c r="E26" s="15" t="s">
        <v>62</v>
      </c>
      <c r="G26" s="30">
        <v>56.406999999999996</v>
      </c>
      <c r="H26" s="30">
        <v>37.042000000000002</v>
      </c>
      <c r="I26" s="30">
        <v>69.858999999999995</v>
      </c>
      <c r="J26" s="30">
        <v>90.06</v>
      </c>
      <c r="K26" s="30">
        <v>94.954999999999998</v>
      </c>
      <c r="L26" s="30">
        <v>94.415999999999997</v>
      </c>
      <c r="M26" s="30">
        <v>124.426</v>
      </c>
      <c r="N26" s="30">
        <v>164.83699999999999</v>
      </c>
      <c r="O26" s="30">
        <v>144.40600000000001</v>
      </c>
      <c r="P26" s="30">
        <v>130.75200000000001</v>
      </c>
      <c r="Q26" s="25">
        <f>-CFS!Q22</f>
        <v>159.47333135</v>
      </c>
      <c r="R26" s="25">
        <f>-CFS!R22</f>
        <v>153.21145217191781</v>
      </c>
      <c r="S26" s="25">
        <f>-CFS!S22</f>
        <v>136.34080134999999</v>
      </c>
      <c r="T26" s="25">
        <f>-CFS!T22</f>
        <v>131.39380134999999</v>
      </c>
      <c r="U26" s="25">
        <f>-CFS!U22</f>
        <v>118.83691949383561</v>
      </c>
      <c r="V26" s="25">
        <f>-CFS!V22</f>
        <v>90.884290100000001</v>
      </c>
      <c r="W26" s="25">
        <f>-CFS!W22</f>
        <v>89.184180298630125</v>
      </c>
      <c r="X26" s="25">
        <f>-CFS!X22</f>
        <v>54.381932599999999</v>
      </c>
      <c r="Y26" s="25">
        <f>-CFS!Y22</f>
        <v>52.629058917808223</v>
      </c>
      <c r="Z26" s="25">
        <f>-CFS!Z22</f>
        <v>50.923560199999997</v>
      </c>
    </row>
    <row r="27" spans="1:26" outlineLevel="1">
      <c r="D27" s="3" t="s">
        <v>792</v>
      </c>
      <c r="E27" s="15" t="s">
        <v>62</v>
      </c>
      <c r="G27" s="30">
        <v>4.4459999999999997</v>
      </c>
      <c r="H27" s="30">
        <v>0</v>
      </c>
      <c r="I27" s="30">
        <v>0</v>
      </c>
      <c r="J27" s="30">
        <v>4.18</v>
      </c>
      <c r="K27" s="30">
        <v>13.377000000000001</v>
      </c>
      <c r="L27" s="30">
        <v>4.266</v>
      </c>
      <c r="M27" s="30">
        <v>3.5979999999999999</v>
      </c>
      <c r="N27" s="30">
        <v>0.27800000000000002</v>
      </c>
      <c r="O27" s="30">
        <v>1.036</v>
      </c>
      <c r="P27" s="30">
        <v>25.347999999999999</v>
      </c>
      <c r="Q27" s="219"/>
      <c r="R27" s="219"/>
      <c r="S27" s="219"/>
      <c r="T27" s="219"/>
      <c r="U27" s="219"/>
      <c r="V27" s="219"/>
      <c r="W27" s="219"/>
      <c r="X27" s="219"/>
      <c r="Y27" s="219"/>
      <c r="Z27" s="219"/>
    </row>
    <row r="28" spans="1:26" outlineLevel="1"/>
    <row r="29" spans="1:26" outlineLevel="1">
      <c r="D29" s="5" t="s">
        <v>788</v>
      </c>
      <c r="E29" s="9" t="s">
        <v>62</v>
      </c>
      <c r="G29" s="27">
        <f>G22+G25-G26+G27</f>
        <v>570.45483299999967</v>
      </c>
      <c r="H29" s="27">
        <f t="shared" ref="H29:Z29" si="4">H22+H25-H26+H27</f>
        <v>661.64546300000006</v>
      </c>
      <c r="I29" s="27">
        <f t="shared" si="4"/>
        <v>213.35032899999999</v>
      </c>
      <c r="J29" s="27">
        <f t="shared" si="4"/>
        <v>-37.504495999999797</v>
      </c>
      <c r="K29" s="27">
        <f t="shared" si="4"/>
        <v>470.88511599999981</v>
      </c>
      <c r="L29" s="27">
        <f t="shared" si="4"/>
        <v>811.47488600000008</v>
      </c>
      <c r="M29" s="27">
        <f t="shared" si="4"/>
        <v>120.83977400000018</v>
      </c>
      <c r="N29" s="27">
        <f t="shared" si="4"/>
        <v>-187.43213699999987</v>
      </c>
      <c r="O29" s="27">
        <f t="shared" si="4"/>
        <v>666.33753100000001</v>
      </c>
      <c r="P29" s="27">
        <f t="shared" si="4"/>
        <v>582.14746099999979</v>
      </c>
      <c r="Q29" s="27">
        <f>Q22+Q25-Q26+Q27</f>
        <v>81.963227791866672</v>
      </c>
      <c r="R29" s="27">
        <f t="shared" si="4"/>
        <v>417.97705998228446</v>
      </c>
      <c r="S29" s="27">
        <f t="shared" si="4"/>
        <v>586.35824848022457</v>
      </c>
      <c r="T29" s="27">
        <f t="shared" si="4"/>
        <v>549.48933848425122</v>
      </c>
      <c r="U29" s="27">
        <f t="shared" si="4"/>
        <v>566.90558103327282</v>
      </c>
      <c r="V29" s="27">
        <f t="shared" si="4"/>
        <v>605.1575317988063</v>
      </c>
      <c r="W29" s="27">
        <f t="shared" si="4"/>
        <v>615.64541863057116</v>
      </c>
      <c r="X29" s="27">
        <f t="shared" si="4"/>
        <v>657.86824719295123</v>
      </c>
      <c r="Y29" s="27">
        <f t="shared" si="4"/>
        <v>665.70789572551791</v>
      </c>
      <c r="Z29" s="27">
        <f t="shared" si="4"/>
        <v>672.2883653151755</v>
      </c>
    </row>
    <row r="30" spans="1:26" outlineLevel="1"/>
    <row r="31" spans="1:26" outlineLevel="2">
      <c r="D31" s="3" t="s">
        <v>15</v>
      </c>
      <c r="E31" s="15" t="s">
        <v>62</v>
      </c>
      <c r="P31" s="219"/>
      <c r="Q31" s="25">
        <f>SUM(P31:P33)</f>
        <v>0</v>
      </c>
      <c r="R31" s="25">
        <f t="shared" ref="R31:Z31" si="5">SUM(Q31:Q33)</f>
        <v>0</v>
      </c>
      <c r="S31" s="25">
        <f t="shared" si="5"/>
        <v>0</v>
      </c>
      <c r="T31" s="25">
        <f t="shared" si="5"/>
        <v>0</v>
      </c>
      <c r="U31" s="25">
        <f t="shared" si="5"/>
        <v>0</v>
      </c>
      <c r="V31" s="25">
        <f t="shared" si="5"/>
        <v>0</v>
      </c>
      <c r="W31" s="25">
        <f t="shared" si="5"/>
        <v>0</v>
      </c>
      <c r="X31" s="25">
        <f t="shared" si="5"/>
        <v>0</v>
      </c>
      <c r="Y31" s="25">
        <f t="shared" si="5"/>
        <v>0</v>
      </c>
      <c r="Z31" s="25">
        <f t="shared" si="5"/>
        <v>0</v>
      </c>
    </row>
    <row r="32" spans="1:26" outlineLevel="2">
      <c r="D32" s="3" t="s">
        <v>14</v>
      </c>
      <c r="E32" s="15" t="s">
        <v>62</v>
      </c>
      <c r="P32" s="219"/>
      <c r="Q32" s="25">
        <f t="shared" ref="Q32:Z32" si="6">-IF(Q29&lt;0,Q29,)</f>
        <v>0</v>
      </c>
      <c r="R32" s="25">
        <f t="shared" si="6"/>
        <v>0</v>
      </c>
      <c r="S32" s="25">
        <f t="shared" si="6"/>
        <v>0</v>
      </c>
      <c r="T32" s="25">
        <f t="shared" si="6"/>
        <v>0</v>
      </c>
      <c r="U32" s="25">
        <f t="shared" si="6"/>
        <v>0</v>
      </c>
      <c r="V32" s="25">
        <f t="shared" si="6"/>
        <v>0</v>
      </c>
      <c r="W32" s="25">
        <f t="shared" si="6"/>
        <v>0</v>
      </c>
      <c r="X32" s="25">
        <f t="shared" si="6"/>
        <v>0</v>
      </c>
      <c r="Y32" s="25">
        <f t="shared" si="6"/>
        <v>0</v>
      </c>
      <c r="Z32" s="25">
        <f t="shared" si="6"/>
        <v>0</v>
      </c>
    </row>
    <row r="33" spans="2:26" outlineLevel="2">
      <c r="D33" s="3" t="s">
        <v>16</v>
      </c>
      <c r="E33" s="15" t="s">
        <v>62</v>
      </c>
      <c r="P33" s="219"/>
      <c r="Q33" s="25">
        <f t="shared" ref="Q33:Z33" si="7">-IF(AND(Q29&gt;0,Q31&gt;0,Q31&gt;Q29),Q29,Q31)</f>
        <v>0</v>
      </c>
      <c r="R33" s="25">
        <f t="shared" si="7"/>
        <v>0</v>
      </c>
      <c r="S33" s="25">
        <f t="shared" si="7"/>
        <v>0</v>
      </c>
      <c r="T33" s="25">
        <f t="shared" si="7"/>
        <v>0</v>
      </c>
      <c r="U33" s="25">
        <f t="shared" si="7"/>
        <v>0</v>
      </c>
      <c r="V33" s="25">
        <f t="shared" si="7"/>
        <v>0</v>
      </c>
      <c r="W33" s="25">
        <f t="shared" si="7"/>
        <v>0</v>
      </c>
      <c r="X33" s="25">
        <f t="shared" si="7"/>
        <v>0</v>
      </c>
      <c r="Y33" s="25">
        <f t="shared" si="7"/>
        <v>0</v>
      </c>
      <c r="Z33" s="25">
        <f t="shared" si="7"/>
        <v>0</v>
      </c>
    </row>
    <row r="34" spans="2:26" outlineLevel="2">
      <c r="D34" s="3" t="s">
        <v>17</v>
      </c>
      <c r="E34" s="15" t="s">
        <v>62</v>
      </c>
      <c r="Q34" s="25">
        <f t="shared" ref="Q34:Z34" si="8">MAX(Q29+Q33,0)</f>
        <v>81.963227791866672</v>
      </c>
      <c r="R34" s="25">
        <f t="shared" si="8"/>
        <v>417.97705998228446</v>
      </c>
      <c r="S34" s="25">
        <f t="shared" si="8"/>
        <v>586.35824848022457</v>
      </c>
      <c r="T34" s="25">
        <f t="shared" si="8"/>
        <v>549.48933848425122</v>
      </c>
      <c r="U34" s="25">
        <f t="shared" si="8"/>
        <v>566.90558103327282</v>
      </c>
      <c r="V34" s="25">
        <f t="shared" si="8"/>
        <v>605.1575317988063</v>
      </c>
      <c r="W34" s="25">
        <f t="shared" si="8"/>
        <v>615.64541863057116</v>
      </c>
      <c r="X34" s="25">
        <f t="shared" si="8"/>
        <v>657.86824719295123</v>
      </c>
      <c r="Y34" s="25">
        <f t="shared" si="8"/>
        <v>665.70789572551791</v>
      </c>
      <c r="Z34" s="25">
        <f t="shared" si="8"/>
        <v>672.2883653151755</v>
      </c>
    </row>
    <row r="35" spans="2:26" outlineLevel="2"/>
    <row r="36" spans="2:26" outlineLevel="2">
      <c r="D36" s="3" t="s">
        <v>790</v>
      </c>
      <c r="E36" s="4" t="s">
        <v>3</v>
      </c>
      <c r="G36" s="28">
        <f t="shared" ref="G36:O36" si="9">G37/G29</f>
        <v>0.12291945995310735</v>
      </c>
      <c r="H36" s="28">
        <f t="shared" si="9"/>
        <v>0.23477377037496586</v>
      </c>
      <c r="I36" s="28">
        <f t="shared" si="9"/>
        <v>5.1544331108109048E-2</v>
      </c>
      <c r="J36" s="28">
        <f t="shared" si="9"/>
        <v>0.24741033714997931</v>
      </c>
      <c r="K36" s="28">
        <f t="shared" si="9"/>
        <v>0.20342116738300142</v>
      </c>
      <c r="L36" s="28">
        <f t="shared" si="9"/>
        <v>0.18915064735595527</v>
      </c>
      <c r="M36" s="28">
        <f t="shared" si="9"/>
        <v>3.702423342830808E-2</v>
      </c>
      <c r="N36" s="28">
        <f>N37/N29</f>
        <v>0.33134659292712454</v>
      </c>
      <c r="O36" s="28">
        <f t="shared" si="9"/>
        <v>0.16572231768827081</v>
      </c>
      <c r="P36" s="28">
        <f>P37/P29</f>
        <v>0.20589113245312263</v>
      </c>
      <c r="Q36" s="199">
        <f>AVERAGE($O36:$P36)</f>
        <v>0.18580672507069673</v>
      </c>
      <c r="R36" s="199">
        <f t="shared" ref="R36:Z36" si="10">AVERAGE($O36:$P36)</f>
        <v>0.18580672507069673</v>
      </c>
      <c r="S36" s="199">
        <f t="shared" si="10"/>
        <v>0.18580672507069673</v>
      </c>
      <c r="T36" s="199">
        <f t="shared" si="10"/>
        <v>0.18580672507069673</v>
      </c>
      <c r="U36" s="199">
        <f t="shared" si="10"/>
        <v>0.18580672507069673</v>
      </c>
      <c r="V36" s="199">
        <f t="shared" si="10"/>
        <v>0.18580672507069673</v>
      </c>
      <c r="W36" s="199">
        <f t="shared" si="10"/>
        <v>0.18580672507069673</v>
      </c>
      <c r="X36" s="199">
        <f t="shared" si="10"/>
        <v>0.18580672507069673</v>
      </c>
      <c r="Y36" s="199">
        <f t="shared" si="10"/>
        <v>0.18580672507069673</v>
      </c>
      <c r="Z36" s="199">
        <f t="shared" si="10"/>
        <v>0.18580672507069673</v>
      </c>
    </row>
    <row r="37" spans="2:26" outlineLevel="1">
      <c r="D37" s="14" t="s">
        <v>789</v>
      </c>
      <c r="E37" s="15" t="s">
        <v>62</v>
      </c>
      <c r="F37" s="15"/>
      <c r="G37" s="30">
        <v>70.12</v>
      </c>
      <c r="H37" s="30">
        <v>155.33699999999999</v>
      </c>
      <c r="I37" s="30">
        <v>10.997</v>
      </c>
      <c r="J37" s="30">
        <v>-9.2789999999999999</v>
      </c>
      <c r="K37" s="30">
        <v>95.787999999999997</v>
      </c>
      <c r="L37" s="30">
        <v>153.49100000000001</v>
      </c>
      <c r="M37" s="30">
        <v>4.4740000000000002</v>
      </c>
      <c r="N37" s="30">
        <v>-62.104999999999997</v>
      </c>
      <c r="O37" s="30">
        <v>110.42700000000001</v>
      </c>
      <c r="P37" s="30">
        <v>119.85899999999999</v>
      </c>
      <c r="Q37" s="25">
        <f t="shared" ref="Q37:Z37" si="11">Q34*Q36</f>
        <v>15.22931893223026</v>
      </c>
      <c r="R37" s="25">
        <f t="shared" si="11"/>
        <v>77.662948669986449</v>
      </c>
      <c r="S37" s="25">
        <f t="shared" si="11"/>
        <v>108.94930586830037</v>
      </c>
      <c r="T37" s="25">
        <f t="shared" si="11"/>
        <v>102.09881444502228</v>
      </c>
      <c r="U37" s="25">
        <f t="shared" si="11"/>
        <v>105.33486943609292</v>
      </c>
      <c r="V37" s="25">
        <f t="shared" si="11"/>
        <v>112.44233913540222</v>
      </c>
      <c r="W37" s="25">
        <f t="shared" si="11"/>
        <v>114.39105904052452</v>
      </c>
      <c r="X37" s="25">
        <f t="shared" si="11"/>
        <v>122.23634453892184</v>
      </c>
      <c r="Y37" s="25">
        <f t="shared" si="11"/>
        <v>123.69300395846335</v>
      </c>
      <c r="Z37" s="25">
        <f t="shared" si="11"/>
        <v>124.91569946234495</v>
      </c>
    </row>
    <row r="38" spans="2:26" outlineLevel="1"/>
    <row r="39" spans="2:26" outlineLevel="1">
      <c r="D39" s="5" t="s">
        <v>72</v>
      </c>
      <c r="E39" s="9" t="s">
        <v>62</v>
      </c>
      <c r="F39" s="9"/>
      <c r="G39" s="27">
        <f t="shared" ref="G39" si="12">G29-G37</f>
        <v>500.33483299999966</v>
      </c>
      <c r="H39" s="27">
        <f t="shared" ref="H39:Z39" si="13">H29-H37</f>
        <v>506.30846300000007</v>
      </c>
      <c r="I39" s="27">
        <f t="shared" si="13"/>
        <v>202.35332899999997</v>
      </c>
      <c r="J39" s="27">
        <f t="shared" si="13"/>
        <v>-28.225495999999797</v>
      </c>
      <c r="K39" s="27">
        <f t="shared" si="13"/>
        <v>375.0971159999998</v>
      </c>
      <c r="L39" s="27">
        <f t="shared" si="13"/>
        <v>657.9838860000001</v>
      </c>
      <c r="M39" s="27">
        <f t="shared" si="13"/>
        <v>116.36577400000017</v>
      </c>
      <c r="N39" s="27">
        <f t="shared" si="13"/>
        <v>-125.32713699999988</v>
      </c>
      <c r="O39" s="27">
        <f t="shared" si="13"/>
        <v>555.91053099999999</v>
      </c>
      <c r="P39" s="27">
        <f t="shared" si="13"/>
        <v>462.28846099999981</v>
      </c>
      <c r="Q39" s="27">
        <f>Q29-Q37</f>
        <v>66.733908859636415</v>
      </c>
      <c r="R39" s="27">
        <f t="shared" si="13"/>
        <v>340.314111312298</v>
      </c>
      <c r="S39" s="27">
        <f t="shared" si="13"/>
        <v>477.4089426119242</v>
      </c>
      <c r="T39" s="27">
        <f t="shared" si="13"/>
        <v>447.39052403922892</v>
      </c>
      <c r="U39" s="27">
        <f t="shared" si="13"/>
        <v>461.57071159717992</v>
      </c>
      <c r="V39" s="27">
        <f t="shared" si="13"/>
        <v>492.71519266340408</v>
      </c>
      <c r="W39" s="27">
        <f t="shared" si="13"/>
        <v>501.25435959004665</v>
      </c>
      <c r="X39" s="27">
        <f t="shared" si="13"/>
        <v>535.63190265402943</v>
      </c>
      <c r="Y39" s="27">
        <f t="shared" si="13"/>
        <v>542.01489176705456</v>
      </c>
      <c r="Z39" s="27">
        <f t="shared" si="13"/>
        <v>547.37266585283055</v>
      </c>
    </row>
    <row r="40" spans="2:26" outlineLevel="1">
      <c r="D40" s="12" t="s">
        <v>13</v>
      </c>
      <c r="E40" s="23" t="s">
        <v>3</v>
      </c>
      <c r="F40" s="23"/>
      <c r="G40" s="31">
        <f>IFERROR(G39/G$8,"-")</f>
        <v>0.16545206903199575</v>
      </c>
      <c r="H40" s="31">
        <f t="shared" ref="H40:Z40" si="14">IFERROR(H39/H$8,"-")</f>
        <v>0.15707284856761453</v>
      </c>
      <c r="I40" s="31">
        <f t="shared" si="14"/>
        <v>9.092071673192241E-2</v>
      </c>
      <c r="J40" s="31">
        <f t="shared" si="14"/>
        <v>-1.4123842278109353E-2</v>
      </c>
      <c r="K40" s="31">
        <f t="shared" si="14"/>
        <v>0.12255504433383578</v>
      </c>
      <c r="L40" s="31">
        <f t="shared" si="14"/>
        <v>0.16734727622921239</v>
      </c>
      <c r="M40" s="31">
        <f t="shared" si="14"/>
        <v>3.5439402420699338E-2</v>
      </c>
      <c r="N40" s="31">
        <f t="shared" si="14"/>
        <v>-4.7293919575480819E-2</v>
      </c>
      <c r="O40" s="31">
        <f t="shared" si="14"/>
        <v>0.12592662845824462</v>
      </c>
      <c r="P40" s="31">
        <f t="shared" si="14"/>
        <v>0.10722994705867613</v>
      </c>
      <c r="Q40" s="31">
        <f t="shared" si="14"/>
        <v>2.1061076365462287E-2</v>
      </c>
      <c r="R40" s="31">
        <f t="shared" si="14"/>
        <v>7.7206295614434192E-2</v>
      </c>
      <c r="S40" s="31">
        <f t="shared" si="14"/>
        <v>9.7679485585128581E-2</v>
      </c>
      <c r="T40" s="31">
        <f t="shared" si="14"/>
        <v>9.4800996455196448E-2</v>
      </c>
      <c r="U40" s="31">
        <f t="shared" si="14"/>
        <v>9.7916201552870688E-2</v>
      </c>
      <c r="V40" s="31">
        <f t="shared" si="14"/>
        <v>0.10410667000013588</v>
      </c>
      <c r="W40" s="31">
        <f t="shared" si="14"/>
        <v>0.10548896989861595</v>
      </c>
      <c r="X40" s="31">
        <f t="shared" si="14"/>
        <v>0.11227462464672551</v>
      </c>
      <c r="Y40" s="31">
        <f t="shared" si="14"/>
        <v>0.11315993305247765</v>
      </c>
      <c r="Z40" s="31">
        <f t="shared" si="14"/>
        <v>0.11382321711991963</v>
      </c>
    </row>
    <row r="41" spans="2:26" outlineLevel="1">
      <c r="D41" s="12"/>
      <c r="E41" s="23"/>
      <c r="F41" s="23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2:26" outlineLevel="1">
      <c r="D42" s="12"/>
      <c r="E42" s="23"/>
      <c r="F42" s="23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2:26" outlineLevel="1">
      <c r="D43" s="5" t="s">
        <v>794</v>
      </c>
      <c r="E43" s="9" t="s">
        <v>62</v>
      </c>
      <c r="F43" s="23"/>
      <c r="G43" s="88">
        <v>377</v>
      </c>
      <c r="H43" s="88">
        <v>506.30799999999999</v>
      </c>
      <c r="I43" s="88">
        <v>202.35300000000001</v>
      </c>
      <c r="J43" s="88">
        <v>-28.225000000000001</v>
      </c>
      <c r="K43" s="88">
        <v>375.09699999999998</v>
      </c>
      <c r="L43" s="88">
        <v>657.98400000000004</v>
      </c>
      <c r="M43" s="88">
        <v>116.366</v>
      </c>
      <c r="N43" s="88">
        <v>-125.327</v>
      </c>
      <c r="O43" s="88">
        <v>555.91099999999994</v>
      </c>
      <c r="P43" s="88">
        <v>462.28800000000001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2:26" s="12" customFormat="1" outlineLevel="1">
      <c r="D44" s="12" t="s">
        <v>8</v>
      </c>
      <c r="E44" s="23" t="s">
        <v>62</v>
      </c>
      <c r="F44" s="23"/>
      <c r="G44" s="218">
        <f>G39-G43</f>
        <v>123.33483299999966</v>
      </c>
      <c r="H44" s="218">
        <f t="shared" ref="H44:P44" si="15">H39-H43</f>
        <v>4.6300000008159259E-4</v>
      </c>
      <c r="I44" s="218">
        <f t="shared" si="15"/>
        <v>3.2899999996516271E-4</v>
      </c>
      <c r="J44" s="218">
        <f t="shared" si="15"/>
        <v>-4.9599999979577092E-4</v>
      </c>
      <c r="K44" s="218">
        <f t="shared" si="15"/>
        <v>1.1599999982081499E-4</v>
      </c>
      <c r="L44" s="218">
        <f t="shared" si="15"/>
        <v>-1.1399999993955134E-4</v>
      </c>
      <c r="M44" s="218">
        <f t="shared" si="15"/>
        <v>-2.2599999982730878E-4</v>
      </c>
      <c r="N44" s="218">
        <f t="shared" si="15"/>
        <v>-1.3699999988148193E-4</v>
      </c>
      <c r="O44" s="218">
        <f t="shared" si="15"/>
        <v>-4.6899999995275721E-4</v>
      </c>
      <c r="P44" s="218">
        <f t="shared" si="15"/>
        <v>4.6099999980242501E-4</v>
      </c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2:26" outlineLevel="1">
      <c r="D45" s="5"/>
      <c r="E45" s="23"/>
      <c r="F45" s="23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2:26" outlineLevel="1">
      <c r="D46" s="12"/>
      <c r="E46" s="23"/>
      <c r="F46" s="23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8" spans="2:26">
      <c r="B48" s="20" t="s">
        <v>6</v>
      </c>
      <c r="C48" s="20" t="s">
        <v>6</v>
      </c>
      <c r="D48" s="20" t="s">
        <v>6</v>
      </c>
      <c r="E48" s="21" t="s">
        <v>6</v>
      </c>
      <c r="F48" s="20" t="s">
        <v>6</v>
      </c>
      <c r="G48" s="20" t="s">
        <v>6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 t="s">
        <v>6</v>
      </c>
      <c r="W48" s="20" t="s">
        <v>6</v>
      </c>
      <c r="X48" s="20" t="s">
        <v>6</v>
      </c>
      <c r="Y48" s="20" t="s">
        <v>6</v>
      </c>
      <c r="Z48" s="20" t="s">
        <v>6</v>
      </c>
    </row>
  </sheetData>
  <mergeCells count="3">
    <mergeCell ref="E2:E3"/>
    <mergeCell ref="F2:F3"/>
    <mergeCell ref="B2:D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E73"/>
  </sheetPr>
  <dimension ref="A1:BQ40"/>
  <sheetViews>
    <sheetView showGridLines="0" zoomScale="70" zoomScaleNormal="70" workbookViewId="0">
      <pane xSplit="6" ySplit="3" topLeftCell="G4" activePane="bottomRight" state="frozen"/>
      <selection activeCell="B2" sqref="B2:D3"/>
      <selection pane="topRight" activeCell="B2" sqref="B2:D3"/>
      <selection pane="bottomLeft" activeCell="B2" sqref="B2:D3"/>
      <selection pane="bottomRight" activeCell="R22" sqref="R22"/>
    </sheetView>
  </sheetViews>
  <sheetFormatPr baseColWidth="10" defaultColWidth="0" defaultRowHeight="16" outlineLevelRow="1"/>
  <cols>
    <col min="1" max="3" width="3.1640625" style="3" customWidth="1"/>
    <col min="4" max="4" width="40.6640625" style="3" customWidth="1"/>
    <col min="5" max="5" width="10.6640625" style="4" customWidth="1"/>
    <col min="6" max="6" width="9.1640625" style="4" customWidth="1"/>
    <col min="7" max="26" width="9.1640625" style="11" customWidth="1"/>
    <col min="27" max="27" width="3.6640625" style="3" customWidth="1"/>
    <col min="28" max="69" width="0" style="3" hidden="1" customWidth="1"/>
    <col min="70" max="16384" width="8.6640625" style="3" hidden="1"/>
  </cols>
  <sheetData>
    <row r="1" spans="2:26"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2:26" s="5" customFormat="1">
      <c r="B2" s="399" t="s">
        <v>39</v>
      </c>
      <c r="C2" s="399"/>
      <c r="D2" s="399"/>
      <c r="E2" s="400" t="s">
        <v>38</v>
      </c>
      <c r="F2" s="400" t="s">
        <v>47</v>
      </c>
      <c r="G2" s="85">
        <f>Calc!G2</f>
        <v>2013</v>
      </c>
      <c r="H2" s="85">
        <f>Calc!H2</f>
        <v>2014</v>
      </c>
      <c r="I2" s="85">
        <f>Calc!I2</f>
        <v>2015</v>
      </c>
      <c r="J2" s="85">
        <f>Calc!J2</f>
        <v>2016</v>
      </c>
      <c r="K2" s="85">
        <f>Calc!K2</f>
        <v>2017</v>
      </c>
      <c r="L2" s="85">
        <f>Calc!L2</f>
        <v>2018</v>
      </c>
      <c r="M2" s="85">
        <f>Calc!M2</f>
        <v>2019</v>
      </c>
      <c r="N2" s="85">
        <f>Calc!N2</f>
        <v>2020</v>
      </c>
      <c r="O2" s="85">
        <f>Calc!O2</f>
        <v>2021</v>
      </c>
      <c r="P2" s="85">
        <f>Calc!P2</f>
        <v>2022</v>
      </c>
      <c r="Q2" s="22">
        <f>Calc!Q2</f>
        <v>2023</v>
      </c>
      <c r="R2" s="22">
        <f>Calc!R2</f>
        <v>2024</v>
      </c>
      <c r="S2" s="22">
        <f>Calc!S2</f>
        <v>2025</v>
      </c>
      <c r="T2" s="22">
        <f>Calc!T2</f>
        <v>2026</v>
      </c>
      <c r="U2" s="22">
        <f>Calc!U2</f>
        <v>2027</v>
      </c>
      <c r="V2" s="22">
        <f>Calc!V2</f>
        <v>2028</v>
      </c>
      <c r="W2" s="22">
        <f>Calc!W2</f>
        <v>2029</v>
      </c>
      <c r="X2" s="22">
        <f>Calc!X2</f>
        <v>2030</v>
      </c>
      <c r="Y2" s="22">
        <f>Calc!Y2</f>
        <v>2031</v>
      </c>
      <c r="Z2" s="22">
        <f>Calc!Z2</f>
        <v>2032</v>
      </c>
    </row>
    <row r="3" spans="2:26" s="5" customFormat="1">
      <c r="B3" s="399"/>
      <c r="C3" s="399"/>
      <c r="D3" s="399"/>
      <c r="E3" s="400"/>
      <c r="F3" s="400"/>
      <c r="G3" s="85" t="str">
        <f>Calc!G3</f>
        <v>fact</v>
      </c>
      <c r="H3" s="85" t="str">
        <f>Calc!H3</f>
        <v>fact</v>
      </c>
      <c r="I3" s="85" t="str">
        <f>Calc!I3</f>
        <v>fact</v>
      </c>
      <c r="J3" s="85" t="str">
        <f>Calc!J3</f>
        <v>fact</v>
      </c>
      <c r="K3" s="85" t="str">
        <f>Calc!K3</f>
        <v>fact</v>
      </c>
      <c r="L3" s="85" t="str">
        <f>Calc!L3</f>
        <v>fact</v>
      </c>
      <c r="M3" s="85" t="str">
        <f>Calc!M3</f>
        <v>fact</v>
      </c>
      <c r="N3" s="85" t="str">
        <f>Calc!N3</f>
        <v>fact</v>
      </c>
      <c r="O3" s="85" t="str">
        <f>Calc!O3</f>
        <v>fact</v>
      </c>
      <c r="P3" s="85" t="str">
        <f>Calc!P3</f>
        <v>fact</v>
      </c>
      <c r="Q3" s="22" t="str">
        <f>Calc!Q3</f>
        <v>forecast</v>
      </c>
      <c r="R3" s="22" t="str">
        <f>Calc!R3</f>
        <v>forecast</v>
      </c>
      <c r="S3" s="22" t="str">
        <f>Calc!S3</f>
        <v>forecast</v>
      </c>
      <c r="T3" s="22" t="str">
        <f>Calc!T3</f>
        <v>forecast</v>
      </c>
      <c r="U3" s="22" t="str">
        <f>Calc!U3</f>
        <v>forecast</v>
      </c>
      <c r="V3" s="22" t="str">
        <f>Calc!V3</f>
        <v>forecast</v>
      </c>
      <c r="W3" s="22" t="str">
        <f>Calc!W3</f>
        <v>forecast</v>
      </c>
      <c r="X3" s="22" t="str">
        <f>Calc!X3</f>
        <v>forecast</v>
      </c>
      <c r="Y3" s="22" t="str">
        <f>Calc!Y3</f>
        <v>forecast</v>
      </c>
      <c r="Z3" s="22" t="str">
        <f>Calc!Z3</f>
        <v>forecast</v>
      </c>
    </row>
    <row r="4" spans="2:26" ht="5" customHeight="1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2:26" ht="5" customHeight="1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2:26">
      <c r="B6" s="1" t="s">
        <v>18</v>
      </c>
      <c r="C6" s="1"/>
      <c r="D6" s="1"/>
      <c r="E6" s="2"/>
      <c r="F6" s="2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2:26" outlineLevel="1"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2:26" s="5" customFormat="1" outlineLevel="1">
      <c r="D8" s="14" t="s">
        <v>7</v>
      </c>
      <c r="E8" s="15" t="s">
        <v>62</v>
      </c>
      <c r="F8" s="15"/>
      <c r="G8" s="25">
        <f>'P&amp;L'!G17</f>
        <v>681.08083299999964</v>
      </c>
      <c r="H8" s="25">
        <f>'P&amp;L'!H17</f>
        <v>806.710463</v>
      </c>
      <c r="I8" s="25">
        <f>'P&amp;L'!I17</f>
        <v>419.54532899999998</v>
      </c>
      <c r="J8" s="25">
        <f>'P&amp;L'!J17</f>
        <v>243.92950400000021</v>
      </c>
      <c r="K8" s="25">
        <f>'P&amp;L'!K17</f>
        <v>784.68811599999981</v>
      </c>
      <c r="L8" s="25">
        <f>'P&amp;L'!L17</f>
        <v>1146.9278860000002</v>
      </c>
      <c r="M8" s="25">
        <f>'P&amp;L'!M17</f>
        <v>535.79477400000019</v>
      </c>
      <c r="N8" s="25">
        <f>'P&amp;L'!N17</f>
        <v>324.41686300000015</v>
      </c>
      <c r="O8" s="25">
        <f>'P&amp;L'!O17</f>
        <v>1172.7915310000001</v>
      </c>
      <c r="P8" s="25">
        <f>'P&amp;L'!P17</f>
        <v>942.02546099999995</v>
      </c>
      <c r="Q8" s="25">
        <f>'P&amp;L'!Q17</f>
        <v>599.72192434150963</v>
      </c>
      <c r="R8" s="25">
        <f>'P&amp;L'!R17</f>
        <v>949.48262352982965</v>
      </c>
      <c r="S8" s="25">
        <f>'P&amp;L'!S17</f>
        <v>1083.967022892364</v>
      </c>
      <c r="T8" s="25">
        <f>'P&amp;L'!T17</f>
        <v>1026.9141033240594</v>
      </c>
      <c r="U8" s="25">
        <f>'P&amp;L'!U17</f>
        <v>1018.1779285789163</v>
      </c>
      <c r="V8" s="25">
        <f>'P&amp;L'!V17</f>
        <v>1016.3787899311466</v>
      </c>
      <c r="W8" s="25">
        <f>'P&amp;L'!W17</f>
        <v>1014.4425947053439</v>
      </c>
      <c r="X8" s="25">
        <f>'P&amp;L'!X17</f>
        <v>1012.4018033513527</v>
      </c>
      <c r="Y8" s="25">
        <f>'P&amp;L'!Y17</f>
        <v>1010.1876982351536</v>
      </c>
      <c r="Z8" s="25">
        <f>'P&amp;L'!Z17</f>
        <v>1007.829112926399</v>
      </c>
    </row>
    <row r="9" spans="2:26" outlineLevel="1">
      <c r="D9" s="3" t="s">
        <v>760</v>
      </c>
      <c r="E9" s="15" t="s">
        <v>62</v>
      </c>
      <c r="G9" s="25">
        <f>-'P&amp;L'!G37</f>
        <v>-70.12</v>
      </c>
      <c r="H9" s="25">
        <f>-'P&amp;L'!H37</f>
        <v>-155.33699999999999</v>
      </c>
      <c r="I9" s="25">
        <f>-'P&amp;L'!I37</f>
        <v>-10.997</v>
      </c>
      <c r="J9" s="25">
        <f>-'P&amp;L'!J37</f>
        <v>9.2789999999999999</v>
      </c>
      <c r="K9" s="25">
        <f>-'P&amp;L'!K37</f>
        <v>-95.787999999999997</v>
      </c>
      <c r="L9" s="25">
        <f>-'P&amp;L'!L37</f>
        <v>-153.49100000000001</v>
      </c>
      <c r="M9" s="25">
        <f>-'P&amp;L'!M37</f>
        <v>-4.4740000000000002</v>
      </c>
      <c r="N9" s="25">
        <f>-'P&amp;L'!N37</f>
        <v>62.104999999999997</v>
      </c>
      <c r="O9" s="25">
        <f>-'P&amp;L'!O37</f>
        <v>-110.42700000000001</v>
      </c>
      <c r="P9" s="25">
        <f>-'P&amp;L'!P37</f>
        <v>-119.85899999999999</v>
      </c>
      <c r="Q9" s="25">
        <f>-'P&amp;L'!Q37</f>
        <v>-15.22931893223026</v>
      </c>
      <c r="R9" s="25">
        <f>-'P&amp;L'!R37</f>
        <v>-77.662948669986449</v>
      </c>
      <c r="S9" s="25">
        <f>-'P&amp;L'!S37</f>
        <v>-108.94930586830037</v>
      </c>
      <c r="T9" s="25">
        <f>-'P&amp;L'!T37</f>
        <v>-102.09881444502228</v>
      </c>
      <c r="U9" s="25">
        <f>-'P&amp;L'!U37</f>
        <v>-105.33486943609292</v>
      </c>
      <c r="V9" s="25">
        <f>-'P&amp;L'!V37</f>
        <v>-112.44233913540222</v>
      </c>
      <c r="W9" s="25">
        <f>-'P&amp;L'!W37</f>
        <v>-114.39105904052452</v>
      </c>
      <c r="X9" s="25">
        <f>-'P&amp;L'!X37</f>
        <v>-122.23634453892184</v>
      </c>
      <c r="Y9" s="25">
        <f>-'P&amp;L'!Y37</f>
        <v>-123.69300395846335</v>
      </c>
      <c r="Z9" s="25">
        <f>-'P&amp;L'!Z37</f>
        <v>-124.91569946234495</v>
      </c>
    </row>
    <row r="10" spans="2:26" outlineLevel="1">
      <c r="D10" s="14" t="s">
        <v>761</v>
      </c>
      <c r="E10" s="15" t="s">
        <v>62</v>
      </c>
      <c r="G10" s="25">
        <f>-(Calc!G202-Calc!F202)</f>
        <v>-271.44999999999993</v>
      </c>
      <c r="H10" s="25">
        <f>-(Calc!H202-Calc!G202)</f>
        <v>104.029</v>
      </c>
      <c r="I10" s="25">
        <f>-(Calc!I202-Calc!H202)</f>
        <v>-101.08400000000006</v>
      </c>
      <c r="J10" s="25">
        <f>-(Calc!J202-Calc!I202)</f>
        <v>-10.05600000000004</v>
      </c>
      <c r="K10" s="25">
        <f>-(Calc!K202-Calc!J202)</f>
        <v>37.730000000000132</v>
      </c>
      <c r="L10" s="25">
        <f>-(Calc!L202-Calc!K202)</f>
        <v>-76.823000000000093</v>
      </c>
      <c r="M10" s="25">
        <f>-(Calc!M202-Calc!L202)</f>
        <v>3.8300000000000409</v>
      </c>
      <c r="N10" s="25">
        <f>-(Calc!N202-Calc!M202)</f>
        <v>160.33499999999992</v>
      </c>
      <c r="O10" s="25">
        <f>-(Calc!O202-Calc!N202)</f>
        <v>-57.445999999999913</v>
      </c>
      <c r="P10" s="25">
        <f>-(Calc!P202-Calc!O202)</f>
        <v>20.853999999999928</v>
      </c>
      <c r="Q10" s="25">
        <f>-(Calc!Q202-Calc!P202)</f>
        <v>21.309817179685524</v>
      </c>
      <c r="R10" s="25">
        <f>-(Calc!R202-Calc!Q202)</f>
        <v>-93.410545908621202</v>
      </c>
      <c r="S10" s="25">
        <f>-(Calc!S202-Calc!R202)</f>
        <v>-35.189168287230927</v>
      </c>
      <c r="T10" s="25">
        <f>-(Calc!T202-Calc!S202)</f>
        <v>14.474636127894541</v>
      </c>
      <c r="U10" s="25">
        <f>-(Calc!U202-Calc!T202)</f>
        <v>1.9802400741214115</v>
      </c>
      <c r="V10" s="25">
        <f>-(Calc!V202-Calc!U202)</f>
        <v>0.15943180964995918</v>
      </c>
      <c r="W10" s="25">
        <f>-(Calc!W202-Calc!V202)</f>
        <v>0.18573145474658759</v>
      </c>
      <c r="X10" s="25">
        <f>-(Calc!X202-Calc!W202)</f>
        <v>0.21264953678110032</v>
      </c>
      <c r="Y10" s="25">
        <f>-(Calc!Y202-Calc!X202)</f>
        <v>0.24019879426805346</v>
      </c>
      <c r="Z10" s="25">
        <f>-(Calc!Z202-Calc!Y202)</f>
        <v>0.26839222197111212</v>
      </c>
    </row>
    <row r="11" spans="2:26" outlineLevel="1"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2:26" s="5" customFormat="1" outlineLevel="1">
      <c r="D12" s="5" t="s">
        <v>762</v>
      </c>
      <c r="E12" s="9" t="s">
        <v>62</v>
      </c>
      <c r="F12" s="9"/>
      <c r="G12" s="88">
        <v>585.79700000000003</v>
      </c>
      <c r="H12" s="88">
        <v>801.01700000000005</v>
      </c>
      <c r="I12" s="88">
        <v>296.95100000000002</v>
      </c>
      <c r="J12" s="88">
        <v>249.93</v>
      </c>
      <c r="K12" s="88">
        <v>780.22</v>
      </c>
      <c r="L12" s="88">
        <v>980.20600000000002</v>
      </c>
      <c r="M12" s="88">
        <v>515.43100000000004</v>
      </c>
      <c r="N12" s="88">
        <v>461.08199999999999</v>
      </c>
      <c r="O12" s="88">
        <v>994.36900000000003</v>
      </c>
      <c r="P12" s="88">
        <v>987.34900000000005</v>
      </c>
      <c r="Q12" s="27">
        <f t="shared" ref="Q12:Z12" si="0">Q8+SUM(Q9:Q10)</f>
        <v>605.80242258896487</v>
      </c>
      <c r="R12" s="27">
        <f t="shared" si="0"/>
        <v>778.40912895122199</v>
      </c>
      <c r="S12" s="27">
        <f t="shared" si="0"/>
        <v>939.82854873683266</v>
      </c>
      <c r="T12" s="27">
        <f t="shared" si="0"/>
        <v>939.28992500693164</v>
      </c>
      <c r="U12" s="27">
        <f t="shared" si="0"/>
        <v>914.82329921694475</v>
      </c>
      <c r="V12" s="27">
        <f t="shared" si="0"/>
        <v>904.09588260539431</v>
      </c>
      <c r="W12" s="27">
        <f t="shared" si="0"/>
        <v>900.23726711956601</v>
      </c>
      <c r="X12" s="27">
        <f t="shared" si="0"/>
        <v>890.37810834921197</v>
      </c>
      <c r="Y12" s="27">
        <f t="shared" si="0"/>
        <v>886.73489307095826</v>
      </c>
      <c r="Z12" s="27">
        <f t="shared" si="0"/>
        <v>883.1818056860252</v>
      </c>
    </row>
    <row r="13" spans="2:26" outlineLevel="1"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2:26" outlineLevel="1"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2:26" outlineLevel="1">
      <c r="D15" s="3" t="s">
        <v>729</v>
      </c>
      <c r="E15" s="15" t="s">
        <v>62</v>
      </c>
      <c r="G15" s="25">
        <f>-Calc!G109</f>
        <v>-269.36700000000002</v>
      </c>
      <c r="H15" s="25">
        <f>-Calc!H109</f>
        <v>-84.168000000000006</v>
      </c>
      <c r="I15" s="25">
        <f>-Calc!I109</f>
        <v>-96.909000000000006</v>
      </c>
      <c r="J15" s="25">
        <f>-Calc!J109</f>
        <v>-99.881</v>
      </c>
      <c r="K15" s="25">
        <f>-Calc!K109</f>
        <v>-103.17</v>
      </c>
      <c r="L15" s="25">
        <f>-Calc!L109</f>
        <v>-244.476</v>
      </c>
      <c r="M15" s="25">
        <f>-Calc!M109</f>
        <v>-208.46700000000001</v>
      </c>
      <c r="N15" s="25">
        <f>-Calc!N109</f>
        <v>-128.786</v>
      </c>
      <c r="O15" s="25">
        <f>-Calc!O109</f>
        <v>-103.485</v>
      </c>
      <c r="P15" s="25">
        <f>-Calc!P109</f>
        <v>-145.70099999999999</v>
      </c>
      <c r="Q15" s="25">
        <f>-Calc!Q109-Calc!Q114</f>
        <v>-150.340623136441</v>
      </c>
      <c r="R15" s="25">
        <f>-Calc!R109-Calc!R114</f>
        <v>-180.83021817344971</v>
      </c>
      <c r="S15" s="25">
        <f>-Calc!S109-Calc!S114</f>
        <v>-184.55384238179408</v>
      </c>
      <c r="T15" s="25">
        <f>-Calc!T109-Calc!T114</f>
        <v>-188.35414280822317</v>
      </c>
      <c r="U15" s="25">
        <f>-Calc!U109-Calc!U114</f>
        <v>-192.12122566438765</v>
      </c>
      <c r="V15" s="25">
        <f>-Calc!V109-Calc!V114</f>
        <v>-195.96365017767542</v>
      </c>
      <c r="W15" s="25">
        <f>-Calc!W109-Calc!W114</f>
        <v>-199.88292318122893</v>
      </c>
      <c r="X15" s="25">
        <f>-Calc!X109-Calc!X114</f>
        <v>-203.88058164485349</v>
      </c>
      <c r="Y15" s="25">
        <f>-Calc!Y109-Calc!Y114</f>
        <v>-207.95819327775058</v>
      </c>
      <c r="Z15" s="25">
        <f>-Calc!Z109-Calc!Z114</f>
        <v>-212.11735714330558</v>
      </c>
    </row>
    <row r="16" spans="2:26" outlineLevel="1">
      <c r="D16" s="3" t="s">
        <v>751</v>
      </c>
      <c r="E16" s="15" t="s">
        <v>62</v>
      </c>
      <c r="G16" s="25">
        <f>-Calc!G112</f>
        <v>-309.46899999999999</v>
      </c>
      <c r="H16" s="25">
        <f>-Calc!H112</f>
        <v>-573.84400000000005</v>
      </c>
      <c r="I16" s="25">
        <f>-Calc!I112</f>
        <v>-328.11200000000002</v>
      </c>
      <c r="J16" s="25">
        <f>-Calc!J112</f>
        <v>0</v>
      </c>
      <c r="K16" s="25">
        <f>-Calc!K112</f>
        <v>0</v>
      </c>
      <c r="L16" s="25">
        <f>-Calc!L112</f>
        <v>0</v>
      </c>
      <c r="M16" s="25">
        <f>-Calc!M112</f>
        <v>-115.393</v>
      </c>
      <c r="N16" s="25">
        <f>-Calc!N112</f>
        <v>-213.03</v>
      </c>
      <c r="O16" s="25">
        <f>-Calc!O112</f>
        <v>-141.952</v>
      </c>
      <c r="P16" s="25">
        <f>-Calc!P112</f>
        <v>-431.68</v>
      </c>
      <c r="Q16" s="25">
        <f>-Calc!Q112</f>
        <v>-440</v>
      </c>
      <c r="R16" s="25">
        <f>-Calc!R112</f>
        <v>0</v>
      </c>
      <c r="S16" s="25">
        <f>-Calc!S112</f>
        <v>0</v>
      </c>
      <c r="T16" s="25">
        <f>-Calc!T112</f>
        <v>0</v>
      </c>
      <c r="U16" s="25">
        <f>-Calc!U112</f>
        <v>0</v>
      </c>
      <c r="V16" s="25">
        <f>-Calc!V112</f>
        <v>0</v>
      </c>
      <c r="W16" s="25">
        <f>-Calc!W112</f>
        <v>0</v>
      </c>
      <c r="X16" s="25">
        <f>-Calc!X112</f>
        <v>0</v>
      </c>
      <c r="Y16" s="25">
        <f>-Calc!Y112</f>
        <v>0</v>
      </c>
      <c r="Z16" s="25">
        <f>-Calc!Z112</f>
        <v>0</v>
      </c>
    </row>
    <row r="17" spans="1:26" outlineLevel="1"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s="5" customFormat="1" outlineLevel="1">
      <c r="A18" s="3"/>
      <c r="D18" s="5" t="s">
        <v>763</v>
      </c>
      <c r="E18" s="9" t="s">
        <v>62</v>
      </c>
      <c r="F18" s="9"/>
      <c r="G18" s="88">
        <v>-526.42899999999997</v>
      </c>
      <c r="H18" s="88">
        <v>-681.02200000000005</v>
      </c>
      <c r="I18" s="88">
        <v>-426.255</v>
      </c>
      <c r="J18" s="88">
        <v>-88.209000000000003</v>
      </c>
      <c r="K18" s="88">
        <v>-105.517</v>
      </c>
      <c r="L18" s="88">
        <v>-306.351</v>
      </c>
      <c r="M18" s="88">
        <v>-250.69200000000001</v>
      </c>
      <c r="N18" s="88">
        <v>-278.06299999999999</v>
      </c>
      <c r="O18" s="88">
        <v>-253.048</v>
      </c>
      <c r="P18" s="88">
        <v>-553.13699999999994</v>
      </c>
      <c r="Q18" s="27">
        <f t="shared" ref="Q18:Z18" si="1">SUM(Q15:Q16)</f>
        <v>-590.34062313644097</v>
      </c>
      <c r="R18" s="27">
        <f t="shared" si="1"/>
        <v>-180.83021817344971</v>
      </c>
      <c r="S18" s="27">
        <f t="shared" si="1"/>
        <v>-184.55384238179408</v>
      </c>
      <c r="T18" s="27">
        <f t="shared" si="1"/>
        <v>-188.35414280822317</v>
      </c>
      <c r="U18" s="27">
        <f t="shared" si="1"/>
        <v>-192.12122566438765</v>
      </c>
      <c r="V18" s="27">
        <f t="shared" si="1"/>
        <v>-195.96365017767542</v>
      </c>
      <c r="W18" s="27">
        <f t="shared" si="1"/>
        <v>-199.88292318122893</v>
      </c>
      <c r="X18" s="27">
        <f t="shared" si="1"/>
        <v>-203.88058164485349</v>
      </c>
      <c r="Y18" s="27">
        <f t="shared" si="1"/>
        <v>-207.95819327775058</v>
      </c>
      <c r="Z18" s="27">
        <f t="shared" si="1"/>
        <v>-212.11735714330558</v>
      </c>
    </row>
    <row r="19" spans="1:26" outlineLevel="1"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outlineLevel="1"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outlineLevel="1">
      <c r="D21" s="3" t="s">
        <v>818</v>
      </c>
      <c r="E21" s="15" t="s">
        <v>62</v>
      </c>
      <c r="G21" s="30">
        <v>-39.491</v>
      </c>
      <c r="H21" s="30">
        <v>-41.503999999999998</v>
      </c>
      <c r="I21" s="30">
        <v>-193.99600000000001</v>
      </c>
      <c r="J21" s="30">
        <v>-48.417000000000002</v>
      </c>
      <c r="K21" s="30">
        <v>-56.997</v>
      </c>
      <c r="L21" s="30">
        <v>-213.62200000000001</v>
      </c>
      <c r="M21" s="30">
        <v>-101.812</v>
      </c>
      <c r="N21" s="30">
        <f>-106.834</f>
        <v>-106.834</v>
      </c>
      <c r="O21" s="30">
        <f>-62.381-101.054</f>
        <v>-163.435</v>
      </c>
      <c r="P21" s="30">
        <f>-9.151-105.863</f>
        <v>-115.014</v>
      </c>
      <c r="Q21" s="25">
        <f>-(Calc!Q134+Calc!Q140+Calc!Q146+Calc!Q152+Calc!Q161+Calc!Q167+Calc!Q173+Calc!Q181)</f>
        <v>-107.82899999999999</v>
      </c>
      <c r="R21" s="25">
        <f>-(Calc!R134+Calc!R140+Calc!R146+Calc!R152+Calc!R161+Calc!R167+Calc!R173+Calc!R181)</f>
        <v>-395.53800000000001</v>
      </c>
      <c r="S21" s="25">
        <f>-(Calc!S134+Calc!S140+Calc!S146+Calc!S152+Calc!S161+Calc!S167+Calc!S173+Calc!S181)</f>
        <v>-85.927999999999997</v>
      </c>
      <c r="T21" s="25">
        <f>-(Calc!T134+Calc!T140+Calc!T146+Calc!T152+Calc!T161+Calc!T167+Calc!T173+Calc!T181)</f>
        <v>-74.988</v>
      </c>
      <c r="U21" s="25">
        <f>-(Calc!U134+Calc!U140+Calc!U146+Calc!U152+Calc!U161+Calc!U167+Calc!U173+Calc!U181)</f>
        <v>-763.13300000000004</v>
      </c>
      <c r="V21" s="25">
        <f>-(Calc!V134+Calc!V140+Calc!V146+Calc!V152+Calc!V161+Calc!V167+Calc!V173+Calc!V181)</f>
        <v>-69.483999999999995</v>
      </c>
      <c r="W21" s="25">
        <f>-(Calc!W134+Calc!W140+Calc!W146+Calc!W152+Calc!W161+Calc!W167+Calc!W173+Calc!W181)</f>
        <v>-764.76700000000005</v>
      </c>
      <c r="X21" s="25">
        <f>-(Calc!X134+Calc!X140+Calc!X146+Calc!X152+Calc!X161+Calc!X167+Calc!X173+Calc!X181)</f>
        <v>-69.483999999999995</v>
      </c>
      <c r="Y21" s="25">
        <f>-(Calc!Y134+Calc!Y140+Calc!Y146+Calc!Y152+Calc!Y161+Calc!Y167+Calc!Y173+Calc!Y181)</f>
        <v>-131.46199999999999</v>
      </c>
      <c r="Z21" s="25">
        <f>-(Calc!Z134+Calc!Z140+Calc!Z146+Calc!Z152+Calc!Z161+Calc!Z167+Calc!Z173+Calc!Z181)</f>
        <v>-69.483999999999995</v>
      </c>
    </row>
    <row r="22" spans="1:26" outlineLevel="1">
      <c r="D22" s="3" t="s">
        <v>817</v>
      </c>
      <c r="E22" s="15" t="s">
        <v>62</v>
      </c>
      <c r="G22" s="30">
        <v>-55.445999999999998</v>
      </c>
      <c r="H22" s="30">
        <v>-52.994999999999997</v>
      </c>
      <c r="I22" s="30">
        <v>-82.275000000000006</v>
      </c>
      <c r="J22" s="30">
        <v>-82.965000000000003</v>
      </c>
      <c r="K22" s="30">
        <v>-86.040999999999997</v>
      </c>
      <c r="L22" s="30">
        <v>-90.007999999999996</v>
      </c>
      <c r="M22" s="30">
        <v>-115.283</v>
      </c>
      <c r="N22" s="30">
        <v>-165.45</v>
      </c>
      <c r="O22" s="30">
        <v>-165.059</v>
      </c>
      <c r="P22" s="30">
        <v>-161.816</v>
      </c>
      <c r="Q22" s="25">
        <f>-(Calc!Q136+Calc!Q142+Calc!Q148+Calc!Q154+Calc!Q163+Calc!Q169+Calc!Q175+Calc!Q183)</f>
        <v>-159.47333135</v>
      </c>
      <c r="R22" s="25">
        <f>-(Calc!R136+Calc!R142+Calc!R148+Calc!R154+Calc!R163+Calc!R169+Calc!R175+Calc!R183)</f>
        <v>-153.21145217191781</v>
      </c>
      <c r="S22" s="25">
        <f>-(Calc!S136+Calc!S142+Calc!S148+Calc!S154+Calc!S163+Calc!S169+Calc!S175+Calc!S183)</f>
        <v>-136.34080134999999</v>
      </c>
      <c r="T22" s="25">
        <f>-(Calc!T136+Calc!T142+Calc!T148+Calc!T154+Calc!T163+Calc!T169+Calc!T175+Calc!T183)</f>
        <v>-131.39380134999999</v>
      </c>
      <c r="U22" s="25">
        <f>-(Calc!U136+Calc!U142+Calc!U148+Calc!U154+Calc!U163+Calc!U169+Calc!U175+Calc!U183)</f>
        <v>-118.83691949383561</v>
      </c>
      <c r="V22" s="25">
        <f>-(Calc!V136+Calc!V142+Calc!V148+Calc!V154+Calc!V163+Calc!V169+Calc!V175+Calc!V183)</f>
        <v>-90.884290100000001</v>
      </c>
      <c r="W22" s="25">
        <f>-(Calc!W136+Calc!W142+Calc!W148+Calc!W154+Calc!W163+Calc!W169+Calc!W175+Calc!W183)</f>
        <v>-89.184180298630125</v>
      </c>
      <c r="X22" s="25">
        <f>-(Calc!X136+Calc!X142+Calc!X148+Calc!X154+Calc!X163+Calc!X169+Calc!X175+Calc!X183)</f>
        <v>-54.381932599999999</v>
      </c>
      <c r="Y22" s="25">
        <f>-(Calc!Y136+Calc!Y142+Calc!Y148+Calc!Y154+Calc!Y163+Calc!Y169+Calc!Y175+Calc!Y183)</f>
        <v>-52.629058917808223</v>
      </c>
      <c r="Z22" s="25">
        <f>-(Calc!Z136+Calc!Z142+Calc!Z148+Calc!Z154+Calc!Z163+Calc!Z169+Calc!Z175+Calc!Z183)</f>
        <v>-50.923560199999997</v>
      </c>
    </row>
    <row r="23" spans="1:26" outlineLevel="1">
      <c r="D23" s="3" t="s">
        <v>819</v>
      </c>
      <c r="E23" s="15" t="s">
        <v>62</v>
      </c>
      <c r="F23" s="221">
        <v>0.25</v>
      </c>
      <c r="G23" s="30">
        <v>-74.936999999999998</v>
      </c>
      <c r="H23" s="30">
        <v>-89.912999999999997</v>
      </c>
      <c r="I23" s="30">
        <v>-97.221000000000004</v>
      </c>
      <c r="J23" s="30">
        <v>-98.796999999999997</v>
      </c>
      <c r="K23" s="30">
        <v>-101.497</v>
      </c>
      <c r="L23" s="30">
        <v>-105.676</v>
      </c>
      <c r="M23" s="30">
        <v>-107.876</v>
      </c>
      <c r="N23" s="30">
        <v>-36.003999999999998</v>
      </c>
      <c r="O23" s="30">
        <v>-24.634</v>
      </c>
      <c r="P23" s="30">
        <v>-43.954999999999998</v>
      </c>
      <c r="Q23" s="25">
        <f>-MAX($F23*'P&amp;L'!Q39,0)</f>
        <v>-16.683477214909104</v>
      </c>
      <c r="R23" s="25">
        <f>-MAX($F23*'P&amp;L'!R39,0)</f>
        <v>-85.078527828074499</v>
      </c>
      <c r="S23" s="25">
        <f>-MAX($F23*'P&amp;L'!S39,0)</f>
        <v>-119.35223565298105</v>
      </c>
      <c r="T23" s="25">
        <f>-MAX($F23*'P&amp;L'!T39,0)</f>
        <v>-111.84763100980723</v>
      </c>
      <c r="U23" s="25">
        <f>-MAX($F23*'P&amp;L'!U39,0)</f>
        <v>-115.39267789929498</v>
      </c>
      <c r="V23" s="25">
        <f>-MAX($F23*'P&amp;L'!V39,0)</f>
        <v>-123.17879816585102</v>
      </c>
      <c r="W23" s="25">
        <f>-MAX($F23*'P&amp;L'!W39,0)</f>
        <v>-125.31358989751166</v>
      </c>
      <c r="X23" s="25">
        <f>-MAX($F23*'P&amp;L'!X39,0)</f>
        <v>-133.90797566350736</v>
      </c>
      <c r="Y23" s="25">
        <f>-MAX($F23*'P&amp;L'!Y39,0)</f>
        <v>-135.50372294176364</v>
      </c>
      <c r="Z23" s="25">
        <f>-MAX($F23*'P&amp;L'!Z39,0)</f>
        <v>-136.84316646320764</v>
      </c>
    </row>
    <row r="24" spans="1:26" outlineLevel="1">
      <c r="D24" s="3" t="s">
        <v>832</v>
      </c>
      <c r="E24" s="15" t="s">
        <v>62</v>
      </c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5">
        <f>-MIN(SUM(P32,Q21:Q23,Q18,Q12,Q25:Q26),0)</f>
        <v>0</v>
      </c>
      <c r="R24" s="25">
        <f t="shared" ref="R24:Z24" si="2">-MIN(SUM(Q32,R21:R23,R18,R12,R25:R26),0)</f>
        <v>0</v>
      </c>
      <c r="S24" s="25">
        <f t="shared" si="2"/>
        <v>0</v>
      </c>
      <c r="T24" s="25">
        <f t="shared" si="2"/>
        <v>0</v>
      </c>
      <c r="U24" s="25">
        <f t="shared" si="2"/>
        <v>0</v>
      </c>
      <c r="V24" s="25">
        <f t="shared" si="2"/>
        <v>0</v>
      </c>
      <c r="W24" s="25">
        <f t="shared" si="2"/>
        <v>0</v>
      </c>
      <c r="X24" s="25">
        <f t="shared" si="2"/>
        <v>0</v>
      </c>
      <c r="Y24" s="25">
        <f t="shared" si="2"/>
        <v>0</v>
      </c>
      <c r="Z24" s="25">
        <f t="shared" si="2"/>
        <v>0</v>
      </c>
    </row>
    <row r="25" spans="1:26" outlineLevel="1">
      <c r="D25" s="3" t="s">
        <v>833</v>
      </c>
      <c r="E25" s="15" t="s">
        <v>62</v>
      </c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5">
        <f>-P24</f>
        <v>0</v>
      </c>
      <c r="R25" s="25">
        <f t="shared" ref="R25:Z25" si="3">-Q24</f>
        <v>0</v>
      </c>
      <c r="S25" s="25">
        <f t="shared" si="3"/>
        <v>0</v>
      </c>
      <c r="T25" s="25">
        <f t="shared" si="3"/>
        <v>0</v>
      </c>
      <c r="U25" s="25">
        <f t="shared" si="3"/>
        <v>0</v>
      </c>
      <c r="V25" s="25">
        <f t="shared" si="3"/>
        <v>0</v>
      </c>
      <c r="W25" s="25">
        <f t="shared" si="3"/>
        <v>0</v>
      </c>
      <c r="X25" s="25">
        <f t="shared" si="3"/>
        <v>0</v>
      </c>
      <c r="Y25" s="25">
        <f t="shared" si="3"/>
        <v>0</v>
      </c>
      <c r="Z25" s="25">
        <f t="shared" si="3"/>
        <v>0</v>
      </c>
    </row>
    <row r="26" spans="1:26" outlineLevel="1">
      <c r="D26" s="3" t="s">
        <v>834</v>
      </c>
      <c r="E26" s="15" t="s">
        <v>62</v>
      </c>
      <c r="F26" s="221">
        <v>0.08</v>
      </c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5">
        <f>-P24*$F26</f>
        <v>0</v>
      </c>
      <c r="R26" s="25">
        <f t="shared" ref="R26:Z26" si="4">-Q24*$F26</f>
        <v>0</v>
      </c>
      <c r="S26" s="25">
        <f t="shared" si="4"/>
        <v>0</v>
      </c>
      <c r="T26" s="25">
        <f t="shared" si="4"/>
        <v>0</v>
      </c>
      <c r="U26" s="25">
        <f t="shared" si="4"/>
        <v>0</v>
      </c>
      <c r="V26" s="25">
        <f t="shared" si="4"/>
        <v>0</v>
      </c>
      <c r="W26" s="25">
        <f t="shared" si="4"/>
        <v>0</v>
      </c>
      <c r="X26" s="25">
        <f t="shared" si="4"/>
        <v>0</v>
      </c>
      <c r="Y26" s="25">
        <f t="shared" si="4"/>
        <v>0</v>
      </c>
      <c r="Z26" s="25">
        <f t="shared" si="4"/>
        <v>0</v>
      </c>
    </row>
    <row r="27" spans="1:26" outlineLevel="1"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s="5" customFormat="1" outlineLevel="1">
      <c r="A28" s="3"/>
      <c r="D28" s="5" t="s">
        <v>820</v>
      </c>
      <c r="E28" s="9" t="s">
        <v>62</v>
      </c>
      <c r="F28" s="9"/>
      <c r="G28" s="88">
        <v>-54.017000000000003</v>
      </c>
      <c r="H28" s="88">
        <v>98.869</v>
      </c>
      <c r="I28" s="88">
        <v>-567.36199999999997</v>
      </c>
      <c r="J28" s="88">
        <v>-192.76499999999999</v>
      </c>
      <c r="K28" s="88">
        <v>-523.11400000000003</v>
      </c>
      <c r="L28" s="88">
        <v>-793.25699999999995</v>
      </c>
      <c r="M28" s="88">
        <v>-104.053</v>
      </c>
      <c r="N28" s="88">
        <v>234.059</v>
      </c>
      <c r="O28" s="88">
        <v>-643.09299999999996</v>
      </c>
      <c r="P28" s="88">
        <v>-508.53399999999999</v>
      </c>
      <c r="Q28" s="27">
        <f>SUM(Q21:Q26)</f>
        <v>-283.98580856490906</v>
      </c>
      <c r="R28" s="27">
        <f t="shared" ref="R28:Z28" si="5">SUM(R21:R26)</f>
        <v>-633.82797999999229</v>
      </c>
      <c r="S28" s="27">
        <f t="shared" si="5"/>
        <v>-341.62103700298104</v>
      </c>
      <c r="T28" s="27">
        <f t="shared" si="5"/>
        <v>-318.22943235980722</v>
      </c>
      <c r="U28" s="27">
        <f t="shared" si="5"/>
        <v>-997.36259739313061</v>
      </c>
      <c r="V28" s="27">
        <f t="shared" si="5"/>
        <v>-283.54708826585102</v>
      </c>
      <c r="W28" s="27">
        <f t="shared" si="5"/>
        <v>-979.26477019614185</v>
      </c>
      <c r="X28" s="27">
        <f t="shared" si="5"/>
        <v>-257.77390826350734</v>
      </c>
      <c r="Y28" s="27">
        <f t="shared" si="5"/>
        <v>-319.59478185957187</v>
      </c>
      <c r="Z28" s="27">
        <f t="shared" si="5"/>
        <v>-257.25072666320762</v>
      </c>
    </row>
    <row r="29" spans="1:26" outlineLevel="1"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outlineLevel="1"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outlineLevel="1">
      <c r="D31" s="3" t="s">
        <v>821</v>
      </c>
      <c r="E31" s="15" t="s">
        <v>62</v>
      </c>
      <c r="G31" s="25">
        <f t="shared" ref="G31:P31" si="6">G12+G18+G28</f>
        <v>5.3510000000000488</v>
      </c>
      <c r="H31" s="25">
        <f t="shared" si="6"/>
        <v>218.864</v>
      </c>
      <c r="I31" s="25">
        <f t="shared" si="6"/>
        <v>-696.66599999999994</v>
      </c>
      <c r="J31" s="25">
        <f t="shared" si="6"/>
        <v>-31.043999999999983</v>
      </c>
      <c r="K31" s="25">
        <f t="shared" si="6"/>
        <v>151.58899999999994</v>
      </c>
      <c r="L31" s="25">
        <f t="shared" si="6"/>
        <v>-119.40199999999993</v>
      </c>
      <c r="M31" s="25">
        <f t="shared" si="6"/>
        <v>160.68600000000004</v>
      </c>
      <c r="N31" s="25">
        <f t="shared" si="6"/>
        <v>417.07799999999997</v>
      </c>
      <c r="O31" s="25">
        <f t="shared" si="6"/>
        <v>98.228000000000065</v>
      </c>
      <c r="P31" s="25">
        <f t="shared" si="6"/>
        <v>-74.321999999999889</v>
      </c>
      <c r="Q31" s="25">
        <f>Q12+Q18+Q28</f>
        <v>-268.52400911238516</v>
      </c>
      <c r="R31" s="25">
        <f t="shared" ref="R31:Z31" si="7">R12+R18+R28</f>
        <v>-36.249069222219987</v>
      </c>
      <c r="S31" s="25">
        <f t="shared" si="7"/>
        <v>413.65366935205753</v>
      </c>
      <c r="T31" s="25">
        <f t="shared" si="7"/>
        <v>432.70634983890125</v>
      </c>
      <c r="U31" s="25">
        <f t="shared" si="7"/>
        <v>-274.66052384057355</v>
      </c>
      <c r="V31" s="25">
        <f t="shared" si="7"/>
        <v>424.5851441618679</v>
      </c>
      <c r="W31" s="25">
        <f t="shared" si="7"/>
        <v>-278.91042625780483</v>
      </c>
      <c r="X31" s="25">
        <f t="shared" si="7"/>
        <v>428.72361844085117</v>
      </c>
      <c r="Y31" s="25">
        <f t="shared" si="7"/>
        <v>359.18191793363576</v>
      </c>
      <c r="Z31" s="25">
        <f t="shared" si="7"/>
        <v>413.81372187951206</v>
      </c>
    </row>
    <row r="32" spans="1:26" outlineLevel="1">
      <c r="D32" s="3" t="s">
        <v>822</v>
      </c>
      <c r="E32" s="15" t="s">
        <v>62</v>
      </c>
      <c r="G32" s="25">
        <f>BS!G11</f>
        <v>732.73599999999999</v>
      </c>
      <c r="H32" s="25">
        <f>BS!H11</f>
        <v>951.6</v>
      </c>
      <c r="I32" s="25">
        <f>BS!I11</f>
        <v>254.934</v>
      </c>
      <c r="J32" s="25">
        <f>BS!J11</f>
        <v>223.89</v>
      </c>
      <c r="K32" s="25">
        <f>BS!K11</f>
        <v>375.47899999999998</v>
      </c>
      <c r="L32" s="25">
        <f>BS!L11</f>
        <v>256.077</v>
      </c>
      <c r="M32" s="25">
        <f>BS!M11</f>
        <v>416.76299999999998</v>
      </c>
      <c r="N32" s="25">
        <f>BS!N11</f>
        <v>833.84100000000001</v>
      </c>
      <c r="O32" s="25">
        <f>BS!O11</f>
        <v>932.06899999999996</v>
      </c>
      <c r="P32" s="25">
        <f>BS!P11</f>
        <v>857.74699999999996</v>
      </c>
      <c r="Q32" s="34">
        <f>P32+Q31</f>
        <v>589.22299088761474</v>
      </c>
      <c r="R32" s="34">
        <f t="shared" ref="R32:Z32" si="8">Q32+R31</f>
        <v>552.97392166539476</v>
      </c>
      <c r="S32" s="34">
        <f t="shared" si="8"/>
        <v>966.62759101745223</v>
      </c>
      <c r="T32" s="34">
        <f t="shared" si="8"/>
        <v>1399.3339408563534</v>
      </c>
      <c r="U32" s="34">
        <f t="shared" si="8"/>
        <v>1124.6734170157797</v>
      </c>
      <c r="V32" s="34">
        <f t="shared" si="8"/>
        <v>1549.2585611776476</v>
      </c>
      <c r="W32" s="34">
        <f t="shared" si="8"/>
        <v>1270.3481349198428</v>
      </c>
      <c r="X32" s="34">
        <f t="shared" si="8"/>
        <v>1699.0717533606939</v>
      </c>
      <c r="Y32" s="34">
        <f t="shared" si="8"/>
        <v>2058.2536712943297</v>
      </c>
      <c r="Z32" s="34">
        <f t="shared" si="8"/>
        <v>2472.067393173842</v>
      </c>
    </row>
    <row r="33" spans="2:26" outlineLevel="1"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2:26" outlineLevel="1">
      <c r="D34" s="12"/>
      <c r="E34" s="23"/>
      <c r="F34" s="23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2:26" outlineLevel="1">
      <c r="D35" s="5" t="s">
        <v>836</v>
      </c>
      <c r="E35" s="9" t="s">
        <v>62</v>
      </c>
      <c r="F35" s="23"/>
      <c r="G35" s="88">
        <v>5.351</v>
      </c>
      <c r="H35" s="88">
        <v>218.864</v>
      </c>
      <c r="I35" s="88">
        <v>-696.66600000000005</v>
      </c>
      <c r="J35" s="88">
        <v>-31.044</v>
      </c>
      <c r="K35" s="88">
        <v>151.589</v>
      </c>
      <c r="L35" s="88">
        <v>-119.402</v>
      </c>
      <c r="M35" s="88">
        <v>160.68600000000001</v>
      </c>
      <c r="N35" s="88">
        <v>417.07799999999997</v>
      </c>
      <c r="O35" s="88">
        <v>98.227999999999994</v>
      </c>
      <c r="P35" s="88">
        <v>-74.322000000000003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2:26" s="12" customFormat="1" outlineLevel="1">
      <c r="D36" s="12" t="s">
        <v>8</v>
      </c>
      <c r="E36" s="23" t="s">
        <v>62</v>
      </c>
      <c r="F36" s="23"/>
      <c r="G36" s="218">
        <f t="shared" ref="G36:O36" si="9">G35-G31</f>
        <v>-4.8849813083506888E-14</v>
      </c>
      <c r="H36" s="218">
        <f t="shared" si="9"/>
        <v>0</v>
      </c>
      <c r="I36" s="218">
        <f t="shared" si="9"/>
        <v>0</v>
      </c>
      <c r="J36" s="218">
        <f t="shared" si="9"/>
        <v>0</v>
      </c>
      <c r="K36" s="218">
        <f t="shared" si="9"/>
        <v>0</v>
      </c>
      <c r="L36" s="218">
        <f t="shared" si="9"/>
        <v>0</v>
      </c>
      <c r="M36" s="218">
        <f t="shared" si="9"/>
        <v>0</v>
      </c>
      <c r="N36" s="218">
        <f t="shared" si="9"/>
        <v>0</v>
      </c>
      <c r="O36" s="218">
        <f t="shared" si="9"/>
        <v>0</v>
      </c>
      <c r="P36" s="218">
        <f>P35-P31</f>
        <v>-1.1368683772161603E-13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2:26" s="12" customFormat="1" outlineLevel="1">
      <c r="E37" s="23"/>
      <c r="F37" s="23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2:26" outlineLevel="1"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40" spans="2:26">
      <c r="B40" s="20" t="s">
        <v>6</v>
      </c>
      <c r="C40" s="20" t="s">
        <v>6</v>
      </c>
      <c r="D40" s="20" t="s">
        <v>6</v>
      </c>
      <c r="E40" s="21" t="s">
        <v>6</v>
      </c>
      <c r="F40" s="20" t="s">
        <v>6</v>
      </c>
      <c r="G40" s="20" t="s">
        <v>6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 t="s">
        <v>6</v>
      </c>
      <c r="W40" s="20" t="s">
        <v>6</v>
      </c>
      <c r="X40" s="20" t="s">
        <v>6</v>
      </c>
      <c r="Y40" s="20" t="s">
        <v>6</v>
      </c>
      <c r="Z40" s="20" t="s">
        <v>6</v>
      </c>
    </row>
  </sheetData>
  <mergeCells count="3">
    <mergeCell ref="B2:D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E73"/>
  </sheetPr>
  <dimension ref="A1:BQ69"/>
  <sheetViews>
    <sheetView showGridLines="0" zoomScale="70" zoomScaleNormal="70" workbookViewId="0">
      <pane xSplit="6" ySplit="3" topLeftCell="G4" activePane="bottomRight" state="frozen"/>
      <selection activeCell="B2" sqref="B2:D3"/>
      <selection pane="topRight" activeCell="B2" sqref="B2:D3"/>
      <selection pane="bottomLeft" activeCell="B2" sqref="B2:D3"/>
      <selection pane="bottomRight" activeCell="O58" sqref="O58"/>
    </sheetView>
  </sheetViews>
  <sheetFormatPr baseColWidth="10" defaultColWidth="0" defaultRowHeight="16" outlineLevelRow="1"/>
  <cols>
    <col min="1" max="3" width="3.1640625" style="3" customWidth="1"/>
    <col min="4" max="4" width="40.6640625" style="3" customWidth="1"/>
    <col min="5" max="5" width="10.6640625" style="4" customWidth="1"/>
    <col min="6" max="6" width="9.1640625" style="4" customWidth="1"/>
    <col min="7" max="26" width="9.1640625" style="11" customWidth="1"/>
    <col min="27" max="27" width="3.6640625" style="3" customWidth="1"/>
    <col min="28" max="69" width="0" style="3" hidden="1" customWidth="1"/>
    <col min="70" max="16384" width="8.6640625" style="3" hidden="1"/>
  </cols>
  <sheetData>
    <row r="1" spans="2:26"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2:26" s="5" customFormat="1">
      <c r="B2" s="399" t="s">
        <v>39</v>
      </c>
      <c r="C2" s="399"/>
      <c r="D2" s="399"/>
      <c r="E2" s="400" t="s">
        <v>38</v>
      </c>
      <c r="F2" s="400" t="s">
        <v>47</v>
      </c>
      <c r="G2" s="85">
        <f>Calc!G2</f>
        <v>2013</v>
      </c>
      <c r="H2" s="85">
        <f>Calc!H2</f>
        <v>2014</v>
      </c>
      <c r="I2" s="85">
        <f>Calc!I2</f>
        <v>2015</v>
      </c>
      <c r="J2" s="85">
        <f>Calc!J2</f>
        <v>2016</v>
      </c>
      <c r="K2" s="85">
        <f>Calc!K2</f>
        <v>2017</v>
      </c>
      <c r="L2" s="85">
        <f>Calc!L2</f>
        <v>2018</v>
      </c>
      <c r="M2" s="85">
        <f>Calc!M2</f>
        <v>2019</v>
      </c>
      <c r="N2" s="85">
        <f>Calc!N2</f>
        <v>2020</v>
      </c>
      <c r="O2" s="85">
        <f>Calc!O2</f>
        <v>2021</v>
      </c>
      <c r="P2" s="85">
        <f>Calc!P2</f>
        <v>2022</v>
      </c>
      <c r="Q2" s="22">
        <f>Calc!Q2</f>
        <v>2023</v>
      </c>
      <c r="R2" s="22">
        <f>Calc!R2</f>
        <v>2024</v>
      </c>
      <c r="S2" s="22">
        <f>Calc!S2</f>
        <v>2025</v>
      </c>
      <c r="T2" s="22">
        <f>Calc!T2</f>
        <v>2026</v>
      </c>
      <c r="U2" s="22">
        <f>Calc!U2</f>
        <v>2027</v>
      </c>
      <c r="V2" s="22">
        <f>Calc!V2</f>
        <v>2028</v>
      </c>
      <c r="W2" s="22">
        <f>Calc!W2</f>
        <v>2029</v>
      </c>
      <c r="X2" s="22">
        <f>Calc!X2</f>
        <v>2030</v>
      </c>
      <c r="Y2" s="22">
        <f>Calc!Y2</f>
        <v>2031</v>
      </c>
      <c r="Z2" s="22">
        <f>Calc!Z2</f>
        <v>2032</v>
      </c>
    </row>
    <row r="3" spans="2:26" s="5" customFormat="1">
      <c r="B3" s="399"/>
      <c r="C3" s="399"/>
      <c r="D3" s="399"/>
      <c r="E3" s="400"/>
      <c r="F3" s="400"/>
      <c r="G3" s="85" t="str">
        <f>Calc!G3</f>
        <v>fact</v>
      </c>
      <c r="H3" s="85" t="str">
        <f>Calc!H3</f>
        <v>fact</v>
      </c>
      <c r="I3" s="85" t="str">
        <f>Calc!I3</f>
        <v>fact</v>
      </c>
      <c r="J3" s="85" t="str">
        <f>Calc!J3</f>
        <v>fact</v>
      </c>
      <c r="K3" s="85" t="str">
        <f>Calc!K3</f>
        <v>fact</v>
      </c>
      <c r="L3" s="85" t="str">
        <f>Calc!L3</f>
        <v>fact</v>
      </c>
      <c r="M3" s="85" t="str">
        <f>Calc!M3</f>
        <v>fact</v>
      </c>
      <c r="N3" s="85" t="str">
        <f>Calc!N3</f>
        <v>fact</v>
      </c>
      <c r="O3" s="85" t="str">
        <f>Calc!O3</f>
        <v>fact</v>
      </c>
      <c r="P3" s="85" t="str">
        <f>Calc!P3</f>
        <v>fact</v>
      </c>
      <c r="Q3" s="22" t="str">
        <f>Calc!Q3</f>
        <v>forecast</v>
      </c>
      <c r="R3" s="22" t="str">
        <f>Calc!R3</f>
        <v>forecast</v>
      </c>
      <c r="S3" s="22" t="str">
        <f>Calc!S3</f>
        <v>forecast</v>
      </c>
      <c r="T3" s="22" t="str">
        <f>Calc!T3</f>
        <v>forecast</v>
      </c>
      <c r="U3" s="22" t="str">
        <f>Calc!U3</f>
        <v>forecast</v>
      </c>
      <c r="V3" s="22" t="str">
        <f>Calc!V3</f>
        <v>forecast</v>
      </c>
      <c r="W3" s="22" t="str">
        <f>Calc!W3</f>
        <v>forecast</v>
      </c>
      <c r="X3" s="22" t="str">
        <f>Calc!X3</f>
        <v>forecast</v>
      </c>
      <c r="Y3" s="22" t="str">
        <f>Calc!Y3</f>
        <v>forecast</v>
      </c>
      <c r="Z3" s="22" t="str">
        <f>Calc!Z3</f>
        <v>forecast</v>
      </c>
    </row>
    <row r="4" spans="2:26" ht="5" customHeight="1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2:26" ht="5" customHeight="1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2:26">
      <c r="B6" s="1" t="s">
        <v>720</v>
      </c>
      <c r="C6" s="1"/>
      <c r="D6" s="1"/>
      <c r="E6" s="2"/>
      <c r="F6" s="2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2:26" outlineLevel="1"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2:26" outlineLevel="1">
      <c r="C8" s="5" t="s">
        <v>721</v>
      </c>
      <c r="E8" s="9" t="s">
        <v>62</v>
      </c>
      <c r="G8" s="27">
        <f t="shared" ref="G8:O8" si="0">G10+G17</f>
        <v>4120.9000000000005</v>
      </c>
      <c r="H8" s="27">
        <f t="shared" si="0"/>
        <v>4775.34</v>
      </c>
      <c r="I8" s="27">
        <f t="shared" si="0"/>
        <v>4555.924</v>
      </c>
      <c r="J8" s="27">
        <f t="shared" si="0"/>
        <v>4556.6630000000005</v>
      </c>
      <c r="K8" s="27">
        <f t="shared" si="0"/>
        <v>4610.7420000000002</v>
      </c>
      <c r="L8" s="27">
        <f t="shared" si="0"/>
        <v>4608.9989999999998</v>
      </c>
      <c r="M8" s="27">
        <f t="shared" si="0"/>
        <v>5196.6150000000007</v>
      </c>
      <c r="N8" s="27">
        <f t="shared" si="0"/>
        <v>5696.0509999999995</v>
      </c>
      <c r="O8" s="27">
        <f t="shared" si="0"/>
        <v>6089.619999999999</v>
      </c>
      <c r="P8" s="27">
        <f>P10+P17</f>
        <v>6631.48</v>
      </c>
      <c r="Q8" s="27">
        <f>Q10+Q17</f>
        <v>6383.7463325952558</v>
      </c>
      <c r="R8" s="27">
        <f t="shared" ref="R8:Z8" si="1">R10+R17</f>
        <v>6449.0517341041923</v>
      </c>
      <c r="S8" s="27">
        <f t="shared" si="1"/>
        <v>6801.7724811901371</v>
      </c>
      <c r="T8" s="27">
        <f t="shared" si="1"/>
        <v>7036.2956834467441</v>
      </c>
      <c r="U8" s="27">
        <f t="shared" si="1"/>
        <v>6620.1147784852801</v>
      </c>
      <c r="V8" s="27">
        <f t="shared" si="1"/>
        <v>6924.9546903293794</v>
      </c>
      <c r="W8" s="27">
        <f t="shared" si="1"/>
        <v>6540.9620628144057</v>
      </c>
      <c r="X8" s="27">
        <f t="shared" si="1"/>
        <v>6878.0824010926763</v>
      </c>
      <c r="Y8" s="27">
        <f t="shared" si="1"/>
        <v>7158.0595264166377</v>
      </c>
      <c r="Z8" s="27">
        <f t="shared" si="1"/>
        <v>7504.0812781680124</v>
      </c>
    </row>
    <row r="9" spans="2:26" outlineLevel="1"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2:26" outlineLevel="1">
      <c r="D10" s="5" t="s">
        <v>722</v>
      </c>
      <c r="E10" s="9" t="s">
        <v>62</v>
      </c>
      <c r="G10" s="27">
        <f t="shared" ref="G10:O10" si="2">SUM(G11:G15)</f>
        <v>1622.367</v>
      </c>
      <c r="H10" s="27">
        <f t="shared" si="2"/>
        <v>1685.9019999999998</v>
      </c>
      <c r="I10" s="27">
        <f t="shared" si="2"/>
        <v>1032.078</v>
      </c>
      <c r="J10" s="27">
        <f t="shared" si="2"/>
        <v>1025.6669999999999</v>
      </c>
      <c r="K10" s="27">
        <f t="shared" si="2"/>
        <v>1243.127</v>
      </c>
      <c r="L10" s="27">
        <f t="shared" si="2"/>
        <v>1252.076</v>
      </c>
      <c r="M10" s="27">
        <f t="shared" si="2"/>
        <v>1232.5210000000002</v>
      </c>
      <c r="N10" s="27">
        <f t="shared" si="2"/>
        <v>1594.9169999999999</v>
      </c>
      <c r="O10" s="27">
        <f t="shared" si="2"/>
        <v>1988.797</v>
      </c>
      <c r="P10" s="27">
        <f>SUM(P11:P15)</f>
        <v>1876.374</v>
      </c>
      <c r="Q10" s="27">
        <f>SUM(Q11:Q15)</f>
        <v>1396.5850746584581</v>
      </c>
      <c r="R10" s="27">
        <f t="shared" ref="R10:Z10" si="3">SUM(R11:R15)</f>
        <v>1659.3543693695719</v>
      </c>
      <c r="S10" s="27">
        <f t="shared" si="3"/>
        <v>2188.7892471358623</v>
      </c>
      <c r="T10" s="27">
        <f t="shared" si="3"/>
        <v>2580.9892700740529</v>
      </c>
      <c r="U10" s="27">
        <f t="shared" si="3"/>
        <v>2305.1225675000082</v>
      </c>
      <c r="V10" s="27">
        <f t="shared" si="3"/>
        <v>2734.3357971987734</v>
      </c>
      <c r="W10" s="27">
        <f t="shared" si="3"/>
        <v>2460.0732422787128</v>
      </c>
      <c r="X10" s="27">
        <f t="shared" si="3"/>
        <v>2893.4646224705316</v>
      </c>
      <c r="Y10" s="27">
        <f t="shared" si="3"/>
        <v>3257.3342981085698</v>
      </c>
      <c r="Z10" s="27">
        <f t="shared" si="3"/>
        <v>3675.8558801278618</v>
      </c>
    </row>
    <row r="11" spans="2:26" outlineLevel="1">
      <c r="D11" s="3" t="s">
        <v>723</v>
      </c>
      <c r="E11" s="15" t="s">
        <v>62</v>
      </c>
      <c r="G11" s="30">
        <v>732.73599999999999</v>
      </c>
      <c r="H11" s="30">
        <v>951.6</v>
      </c>
      <c r="I11" s="30">
        <v>254.934</v>
      </c>
      <c r="J11" s="30">
        <v>223.89</v>
      </c>
      <c r="K11" s="30">
        <v>375.47899999999998</v>
      </c>
      <c r="L11" s="30">
        <v>256.077</v>
      </c>
      <c r="M11" s="30">
        <v>416.76299999999998</v>
      </c>
      <c r="N11" s="30">
        <v>833.84100000000001</v>
      </c>
      <c r="O11" s="30">
        <v>932.06899999999996</v>
      </c>
      <c r="P11" s="30">
        <v>857.74699999999996</v>
      </c>
      <c r="Q11" s="25">
        <f>CFS!Q32</f>
        <v>589.22299088761474</v>
      </c>
      <c r="R11" s="25">
        <f>CFS!R32</f>
        <v>552.97392166539476</v>
      </c>
      <c r="S11" s="25">
        <f>CFS!S32</f>
        <v>966.62759101745223</v>
      </c>
      <c r="T11" s="25">
        <f>CFS!T32</f>
        <v>1399.3339408563534</v>
      </c>
      <c r="U11" s="25">
        <f>CFS!U32</f>
        <v>1124.6734170157797</v>
      </c>
      <c r="V11" s="25">
        <f>CFS!V32</f>
        <v>1549.2585611776476</v>
      </c>
      <c r="W11" s="25">
        <f>CFS!W32</f>
        <v>1270.3481349198428</v>
      </c>
      <c r="X11" s="25">
        <f>CFS!X32</f>
        <v>1699.0717533606939</v>
      </c>
      <c r="Y11" s="25">
        <f>CFS!Y32</f>
        <v>2058.2536712943297</v>
      </c>
      <c r="Z11" s="25">
        <f>CFS!Z32</f>
        <v>2472.067393173842</v>
      </c>
    </row>
    <row r="12" spans="2:26" outlineLevel="1">
      <c r="D12" s="3" t="s">
        <v>724</v>
      </c>
      <c r="E12" s="15" t="s">
        <v>62</v>
      </c>
      <c r="G12" s="30">
        <v>534.13</v>
      </c>
      <c r="H12" s="30">
        <v>404.363</v>
      </c>
      <c r="I12" s="30">
        <v>504.35</v>
      </c>
      <c r="J12" s="30">
        <v>499.60300000000001</v>
      </c>
      <c r="K12" s="30">
        <v>536.63599999999997</v>
      </c>
      <c r="L12" s="30">
        <v>514.56799999999998</v>
      </c>
      <c r="M12" s="30">
        <v>488.721</v>
      </c>
      <c r="N12" s="30">
        <v>412</v>
      </c>
      <c r="O12" s="30">
        <v>551.36699999999996</v>
      </c>
      <c r="P12" s="30">
        <v>500.92500000000001</v>
      </c>
      <c r="Q12" s="25">
        <f>Calc!Q198</f>
        <v>395.74865272488717</v>
      </c>
      <c r="R12" s="25">
        <f>Calc!R198</f>
        <v>550.52961519777023</v>
      </c>
      <c r="S12" s="25">
        <f>Calc!S198</f>
        <v>610.4366916516185</v>
      </c>
      <c r="T12" s="25">
        <f>Calc!T198</f>
        <v>589.42333183037169</v>
      </c>
      <c r="U12" s="25">
        <f>Calc!U198</f>
        <v>588.75841815164495</v>
      </c>
      <c r="V12" s="25">
        <f>Calc!V198</f>
        <v>591.11345182425146</v>
      </c>
      <c r="W12" s="25">
        <f>Calc!W198</f>
        <v>593.47790563154854</v>
      </c>
      <c r="X12" s="25">
        <f>Calc!X198</f>
        <v>595.85181725407472</v>
      </c>
      <c r="Y12" s="25">
        <f>Calc!Y198</f>
        <v>598.23522452309101</v>
      </c>
      <c r="Z12" s="25">
        <f>Calc!Z198</f>
        <v>600.62816542118344</v>
      </c>
    </row>
    <row r="13" spans="2:26" outlineLevel="1">
      <c r="D13" s="3" t="s">
        <v>725</v>
      </c>
      <c r="E13" s="15" t="s">
        <v>62</v>
      </c>
      <c r="G13" s="30">
        <v>334.96800000000002</v>
      </c>
      <c r="H13" s="30">
        <v>306.80200000000002</v>
      </c>
      <c r="I13" s="30">
        <v>253.23400000000001</v>
      </c>
      <c r="J13" s="30">
        <v>281.32799999999997</v>
      </c>
      <c r="K13" s="30">
        <v>304.464</v>
      </c>
      <c r="L13" s="30">
        <v>387.959</v>
      </c>
      <c r="M13" s="30">
        <v>281.05200000000002</v>
      </c>
      <c r="N13" s="30">
        <v>308.69600000000003</v>
      </c>
      <c r="O13" s="30">
        <v>459.55599999999998</v>
      </c>
      <c r="P13" s="30">
        <v>439.77100000000002</v>
      </c>
      <c r="Q13" s="25">
        <f>Calc!Q199</f>
        <v>343.93615338795081</v>
      </c>
      <c r="R13" s="25">
        <f>Calc!R199</f>
        <v>478.4527676178808</v>
      </c>
      <c r="S13" s="25">
        <f>Calc!S199</f>
        <v>530.51664526948173</v>
      </c>
      <c r="T13" s="25">
        <f>Calc!T199</f>
        <v>512.25441216542947</v>
      </c>
      <c r="U13" s="25">
        <f>Calc!U199</f>
        <v>511.67655080968837</v>
      </c>
      <c r="V13" s="25">
        <f>Calc!V199</f>
        <v>513.72325701292709</v>
      </c>
      <c r="W13" s="25">
        <f>Calc!W199</f>
        <v>515.77815004097886</v>
      </c>
      <c r="X13" s="25">
        <f>Calc!X199</f>
        <v>517.84126264114275</v>
      </c>
      <c r="Y13" s="25">
        <f>Calc!Y199</f>
        <v>519.91262769170737</v>
      </c>
      <c r="Z13" s="25">
        <f>Calc!Z199</f>
        <v>521.99227820247427</v>
      </c>
    </row>
    <row r="14" spans="2:26" outlineLevel="1">
      <c r="D14" s="3" t="s">
        <v>726</v>
      </c>
      <c r="E14" s="15" t="s">
        <v>62</v>
      </c>
      <c r="G14" s="30">
        <v>20.533000000000001</v>
      </c>
      <c r="H14" s="30">
        <v>23.137</v>
      </c>
      <c r="I14" s="30">
        <v>19.559999999999999</v>
      </c>
      <c r="J14" s="30">
        <v>20.846</v>
      </c>
      <c r="K14" s="30">
        <v>26.547999999999998</v>
      </c>
      <c r="L14" s="30">
        <v>32.540999999999997</v>
      </c>
      <c r="M14" s="30">
        <v>37.805</v>
      </c>
      <c r="N14" s="30">
        <v>33.746000000000002</v>
      </c>
      <c r="O14" s="30">
        <v>35.963000000000001</v>
      </c>
      <c r="P14" s="30">
        <v>38.585000000000001</v>
      </c>
      <c r="Q14" s="25">
        <f>Calc!Q200</f>
        <v>28.331277658005295</v>
      </c>
      <c r="R14" s="25">
        <f>Calc!R200</f>
        <v>38.05206488852636</v>
      </c>
      <c r="S14" s="25">
        <f>Calc!S200</f>
        <v>41.862319197309702</v>
      </c>
      <c r="T14" s="25">
        <f>Calc!T200</f>
        <v>40.631585221898071</v>
      </c>
      <c r="U14" s="25">
        <f>Calc!U200</f>
        <v>40.668181522895402</v>
      </c>
      <c r="V14" s="25">
        <f>Calc!V200</f>
        <v>40.894527183947169</v>
      </c>
      <c r="W14" s="25">
        <f>Calc!W200</f>
        <v>41.123051686342336</v>
      </c>
      <c r="X14" s="25">
        <f>Calc!X200</f>
        <v>41.353789214620271</v>
      </c>
      <c r="Y14" s="25">
        <f>Calc!Y200</f>
        <v>41.586774599441981</v>
      </c>
      <c r="Z14" s="25">
        <f>Calc!Z200</f>
        <v>41.822043330362241</v>
      </c>
    </row>
    <row r="15" spans="2:26" outlineLevel="1">
      <c r="D15" s="3" t="s">
        <v>727</v>
      </c>
      <c r="E15" s="15" t="s">
        <v>62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60.930999999999997</v>
      </c>
      <c r="M15" s="30">
        <v>8.18</v>
      </c>
      <c r="N15" s="30">
        <v>6.6340000000000003</v>
      </c>
      <c r="O15" s="30">
        <v>9.8420000000000005</v>
      </c>
      <c r="P15" s="30">
        <v>39.345999999999997</v>
      </c>
      <c r="Q15" s="214">
        <f>P15</f>
        <v>39.345999999999997</v>
      </c>
      <c r="R15" s="214">
        <f t="shared" ref="R15" si="4">Q15</f>
        <v>39.345999999999997</v>
      </c>
      <c r="S15" s="214">
        <f t="shared" ref="S15" si="5">R15</f>
        <v>39.345999999999997</v>
      </c>
      <c r="T15" s="214">
        <f t="shared" ref="T15" si="6">S15</f>
        <v>39.345999999999997</v>
      </c>
      <c r="U15" s="214">
        <f t="shared" ref="U15" si="7">T15</f>
        <v>39.345999999999997</v>
      </c>
      <c r="V15" s="214">
        <f t="shared" ref="V15" si="8">U15</f>
        <v>39.345999999999997</v>
      </c>
      <c r="W15" s="214">
        <f t="shared" ref="W15" si="9">V15</f>
        <v>39.345999999999997</v>
      </c>
      <c r="X15" s="214">
        <f t="shared" ref="X15" si="10">W15</f>
        <v>39.345999999999997</v>
      </c>
      <c r="Y15" s="214">
        <f t="shared" ref="Y15" si="11">X15</f>
        <v>39.345999999999997</v>
      </c>
      <c r="Z15" s="214">
        <f t="shared" ref="Z15" si="12">Y15</f>
        <v>39.345999999999997</v>
      </c>
    </row>
    <row r="16" spans="2:26" outlineLevel="1"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3:26" outlineLevel="1">
      <c r="D17" s="84" t="s">
        <v>728</v>
      </c>
      <c r="E17" s="9" t="s">
        <v>62</v>
      </c>
      <c r="G17" s="27">
        <f>SUM(G18:G21)</f>
        <v>2498.5330000000004</v>
      </c>
      <c r="H17" s="27">
        <f t="shared" ref="H17:Q17" si="13">SUM(H18:H21)</f>
        <v>3089.4380000000001</v>
      </c>
      <c r="I17" s="27">
        <f t="shared" si="13"/>
        <v>3523.846</v>
      </c>
      <c r="J17" s="27">
        <f t="shared" si="13"/>
        <v>3530.9960000000001</v>
      </c>
      <c r="K17" s="27">
        <f t="shared" si="13"/>
        <v>3367.6149999999998</v>
      </c>
      <c r="L17" s="27">
        <f t="shared" si="13"/>
        <v>3356.9229999999998</v>
      </c>
      <c r="M17" s="27">
        <f t="shared" si="13"/>
        <v>3964.0940000000005</v>
      </c>
      <c r="N17" s="27">
        <f t="shared" si="13"/>
        <v>4101.134</v>
      </c>
      <c r="O17" s="27">
        <f t="shared" si="13"/>
        <v>4100.8229999999994</v>
      </c>
      <c r="P17" s="27">
        <f t="shared" si="13"/>
        <v>4755.1059999999998</v>
      </c>
      <c r="Q17" s="27">
        <f t="shared" si="13"/>
        <v>4987.1612579367975</v>
      </c>
      <c r="R17" s="27">
        <f t="shared" ref="R17" si="14">SUM(R18:R21)</f>
        <v>4789.6973647346204</v>
      </c>
      <c r="S17" s="27">
        <f t="shared" ref="S17" si="15">SUM(S18:S21)</f>
        <v>4612.9832340542753</v>
      </c>
      <c r="T17" s="27">
        <f t="shared" ref="T17" si="16">SUM(T18:T21)</f>
        <v>4455.3064133726912</v>
      </c>
      <c r="U17" s="27">
        <f t="shared" ref="U17" si="17">SUM(U18:U21)</f>
        <v>4314.9922109852714</v>
      </c>
      <c r="V17" s="27">
        <f t="shared" ref="V17" si="18">SUM(V18:V21)</f>
        <v>4190.618893130606</v>
      </c>
      <c r="W17" s="27">
        <f t="shared" ref="W17" si="19">SUM(W18:W21)</f>
        <v>4080.8888205356925</v>
      </c>
      <c r="X17" s="27">
        <f t="shared" ref="X17" si="20">SUM(X18:X21)</f>
        <v>3984.6177786221447</v>
      </c>
      <c r="Y17" s="27">
        <f t="shared" ref="Y17" si="21">SUM(Y18:Y21)</f>
        <v>3900.7252283080679</v>
      </c>
      <c r="Z17" s="27">
        <f t="shared" ref="Z17" si="22">SUM(Z18:Z21)</f>
        <v>3828.2253980401501</v>
      </c>
    </row>
    <row r="18" spans="3:26" outlineLevel="1">
      <c r="D18" s="3" t="s">
        <v>729</v>
      </c>
      <c r="E18" s="15" t="s">
        <v>62</v>
      </c>
      <c r="G18" s="30">
        <v>2230.9380000000001</v>
      </c>
      <c r="H18" s="30">
        <v>2778.078</v>
      </c>
      <c r="I18" s="30">
        <v>3158.7820000000002</v>
      </c>
      <c r="J18" s="30">
        <v>3117.4690000000001</v>
      </c>
      <c r="K18" s="30">
        <v>2998.326</v>
      </c>
      <c r="L18" s="30">
        <v>3025.0949999999998</v>
      </c>
      <c r="M18" s="30">
        <v>3576.1950000000002</v>
      </c>
      <c r="N18" s="30">
        <v>3677.056</v>
      </c>
      <c r="O18" s="30">
        <v>3686.1489999999999</v>
      </c>
      <c r="P18" s="30">
        <v>4155.2830000000004</v>
      </c>
      <c r="Q18" s="25">
        <f>Calc!Q123</f>
        <v>4387.3382579367981</v>
      </c>
      <c r="R18" s="25">
        <f>Calc!R123</f>
        <v>4189.8743647346209</v>
      </c>
      <c r="S18" s="25">
        <f>Calc!S123</f>
        <v>4013.1602340542759</v>
      </c>
      <c r="T18" s="25">
        <f>Calc!T123</f>
        <v>3855.4834133726913</v>
      </c>
      <c r="U18" s="25">
        <f>Calc!U123</f>
        <v>3715.1692109852711</v>
      </c>
      <c r="V18" s="25">
        <f>Calc!V123</f>
        <v>3590.7958931306061</v>
      </c>
      <c r="W18" s="25">
        <f>Calc!W123</f>
        <v>3481.0658205356922</v>
      </c>
      <c r="X18" s="25">
        <f>Calc!X123</f>
        <v>3384.7947786221443</v>
      </c>
      <c r="Y18" s="25">
        <f>Calc!Y123</f>
        <v>3300.9022283080676</v>
      </c>
      <c r="Z18" s="25">
        <f>Calc!Z123</f>
        <v>3228.4023980401498</v>
      </c>
    </row>
    <row r="19" spans="3:26" outlineLevel="1">
      <c r="D19" s="3" t="s">
        <v>730</v>
      </c>
      <c r="E19" s="15" t="s">
        <v>62</v>
      </c>
      <c r="G19" s="30">
        <v>202.34200000000001</v>
      </c>
      <c r="H19" s="30">
        <v>216.23500000000001</v>
      </c>
      <c r="I19" s="30">
        <v>224.16499999999999</v>
      </c>
      <c r="J19" s="30">
        <v>197.40199999999999</v>
      </c>
      <c r="K19" s="30">
        <v>188.922</v>
      </c>
      <c r="L19" s="30">
        <v>197.821</v>
      </c>
      <c r="M19" s="30">
        <v>193.47399999999999</v>
      </c>
      <c r="N19" s="30">
        <v>194.02500000000001</v>
      </c>
      <c r="O19" s="30">
        <v>217.31899999999999</v>
      </c>
      <c r="P19" s="30">
        <v>197.083</v>
      </c>
      <c r="Q19" s="214">
        <f>P19</f>
        <v>197.083</v>
      </c>
      <c r="R19" s="214">
        <f t="shared" ref="R19:R20" si="23">Q19</f>
        <v>197.083</v>
      </c>
      <c r="S19" s="214">
        <f t="shared" ref="S19:S20" si="24">R19</f>
        <v>197.083</v>
      </c>
      <c r="T19" s="214">
        <f t="shared" ref="T19:T20" si="25">S19</f>
        <v>197.083</v>
      </c>
      <c r="U19" s="214">
        <f t="shared" ref="U19:U20" si="26">T19</f>
        <v>197.083</v>
      </c>
      <c r="V19" s="214">
        <f t="shared" ref="V19:V20" si="27">U19</f>
        <v>197.083</v>
      </c>
      <c r="W19" s="214">
        <f t="shared" ref="W19:W20" si="28">V19</f>
        <v>197.083</v>
      </c>
      <c r="X19" s="214">
        <f t="shared" ref="X19:X20" si="29">W19</f>
        <v>197.083</v>
      </c>
      <c r="Y19" s="214">
        <f t="shared" ref="Y19:Y20" si="30">X19</f>
        <v>197.083</v>
      </c>
      <c r="Z19" s="214">
        <f t="shared" ref="Z19:Z20" si="31">Y19</f>
        <v>197.083</v>
      </c>
    </row>
    <row r="20" spans="3:26" outlineLevel="1">
      <c r="D20" s="3" t="s">
        <v>731</v>
      </c>
      <c r="E20" s="15" t="s">
        <v>62</v>
      </c>
      <c r="G20" s="30">
        <v>0</v>
      </c>
      <c r="H20" s="30">
        <v>0</v>
      </c>
      <c r="I20" s="30">
        <v>61.881</v>
      </c>
      <c r="J20" s="30">
        <v>137.34100000000001</v>
      </c>
      <c r="K20" s="30">
        <v>102.34099999999999</v>
      </c>
      <c r="L20" s="30">
        <v>59.531999999999996</v>
      </c>
      <c r="M20" s="30">
        <v>111.614</v>
      </c>
      <c r="N20" s="30">
        <v>137.524</v>
      </c>
      <c r="O20" s="30">
        <v>98.168999999999997</v>
      </c>
      <c r="P20" s="30">
        <v>46.353000000000002</v>
      </c>
      <c r="Q20" s="214">
        <f>P20</f>
        <v>46.353000000000002</v>
      </c>
      <c r="R20" s="214">
        <f t="shared" si="23"/>
        <v>46.353000000000002</v>
      </c>
      <c r="S20" s="214">
        <f t="shared" si="24"/>
        <v>46.353000000000002</v>
      </c>
      <c r="T20" s="214">
        <f t="shared" si="25"/>
        <v>46.353000000000002</v>
      </c>
      <c r="U20" s="214">
        <f t="shared" si="26"/>
        <v>46.353000000000002</v>
      </c>
      <c r="V20" s="214">
        <f t="shared" si="27"/>
        <v>46.353000000000002</v>
      </c>
      <c r="W20" s="214">
        <f t="shared" si="28"/>
        <v>46.353000000000002</v>
      </c>
      <c r="X20" s="214">
        <f t="shared" si="29"/>
        <v>46.353000000000002</v>
      </c>
      <c r="Y20" s="214">
        <f t="shared" si="30"/>
        <v>46.353000000000002</v>
      </c>
      <c r="Z20" s="214">
        <f t="shared" si="31"/>
        <v>46.353000000000002</v>
      </c>
    </row>
    <row r="21" spans="3:26" outlineLevel="1">
      <c r="D21" s="3" t="s">
        <v>727</v>
      </c>
      <c r="E21" s="15" t="s">
        <v>62</v>
      </c>
      <c r="G21" s="30">
        <v>65.253</v>
      </c>
      <c r="H21" s="30">
        <v>95.125</v>
      </c>
      <c r="I21" s="30">
        <v>79.018000000000001</v>
      </c>
      <c r="J21" s="30">
        <v>78.784000000000006</v>
      </c>
      <c r="K21" s="30">
        <v>78.025999999999996</v>
      </c>
      <c r="L21" s="30">
        <v>74.474999999999994</v>
      </c>
      <c r="M21" s="30">
        <v>82.811000000000007</v>
      </c>
      <c r="N21" s="30">
        <v>92.528999999999996</v>
      </c>
      <c r="O21" s="30">
        <v>99.186000000000007</v>
      </c>
      <c r="P21" s="30">
        <v>356.387</v>
      </c>
      <c r="Q21" s="214">
        <f>P21</f>
        <v>356.387</v>
      </c>
      <c r="R21" s="214">
        <f t="shared" ref="R21" si="32">Q21</f>
        <v>356.387</v>
      </c>
      <c r="S21" s="214">
        <f t="shared" ref="S21" si="33">R21</f>
        <v>356.387</v>
      </c>
      <c r="T21" s="214">
        <f t="shared" ref="T21" si="34">S21</f>
        <v>356.387</v>
      </c>
      <c r="U21" s="214">
        <f t="shared" ref="U21" si="35">T21</f>
        <v>356.387</v>
      </c>
      <c r="V21" s="214">
        <f t="shared" ref="V21" si="36">U21</f>
        <v>356.387</v>
      </c>
      <c r="W21" s="214">
        <f t="shared" ref="W21" si="37">V21</f>
        <v>356.387</v>
      </c>
      <c r="X21" s="214">
        <f t="shared" ref="X21" si="38">W21</f>
        <v>356.387</v>
      </c>
      <c r="Y21" s="214">
        <f t="shared" ref="Y21" si="39">X21</f>
        <v>356.387</v>
      </c>
      <c r="Z21" s="214">
        <f t="shared" ref="Z21" si="40">Y21</f>
        <v>356.387</v>
      </c>
    </row>
    <row r="22" spans="3:26" outlineLevel="1"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3:26" outlineLevel="1"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3:26" outlineLevel="1">
      <c r="C24" s="84" t="s">
        <v>732</v>
      </c>
      <c r="E24" s="9" t="s">
        <v>62</v>
      </c>
      <c r="G24" s="27">
        <f>G26+G32+G38</f>
        <v>4120.8999999999996</v>
      </c>
      <c r="H24" s="27">
        <f t="shared" ref="H24:Z24" si="41">H26+H32+H38</f>
        <v>4775.34</v>
      </c>
      <c r="I24" s="27">
        <f t="shared" si="41"/>
        <v>4555.924</v>
      </c>
      <c r="J24" s="27">
        <f t="shared" si="41"/>
        <v>4556.6630000000005</v>
      </c>
      <c r="K24" s="27">
        <f t="shared" si="41"/>
        <v>4610.7420000000002</v>
      </c>
      <c r="L24" s="27">
        <f t="shared" si="41"/>
        <v>4608.9989999999998</v>
      </c>
      <c r="M24" s="27">
        <f t="shared" si="41"/>
        <v>5196.6149999999998</v>
      </c>
      <c r="N24" s="27">
        <f t="shared" si="41"/>
        <v>5696.0509999999995</v>
      </c>
      <c r="O24" s="27">
        <f t="shared" si="41"/>
        <v>6089.619999999999</v>
      </c>
      <c r="P24" s="27">
        <f t="shared" si="41"/>
        <v>6631.48</v>
      </c>
      <c r="Q24" s="27">
        <f t="shared" si="41"/>
        <v>6383.7463325952558</v>
      </c>
      <c r="R24" s="27">
        <f t="shared" si="41"/>
        <v>6449.0517341041923</v>
      </c>
      <c r="S24" s="27">
        <f t="shared" si="41"/>
        <v>6801.7724811901371</v>
      </c>
      <c r="T24" s="27">
        <f t="shared" si="41"/>
        <v>7036.2956834467432</v>
      </c>
      <c r="U24" s="27">
        <f t="shared" si="41"/>
        <v>6620.1147784852792</v>
      </c>
      <c r="V24" s="27">
        <f t="shared" si="41"/>
        <v>6924.9546903293794</v>
      </c>
      <c r="W24" s="27">
        <f t="shared" si="41"/>
        <v>6540.9620628144057</v>
      </c>
      <c r="X24" s="27">
        <f t="shared" si="41"/>
        <v>6878.0824010926772</v>
      </c>
      <c r="Y24" s="27">
        <f t="shared" si="41"/>
        <v>7158.0595264166368</v>
      </c>
      <c r="Z24" s="27">
        <f t="shared" si="41"/>
        <v>7504.0812781680106</v>
      </c>
    </row>
    <row r="25" spans="3:26" outlineLevel="1"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3:26" outlineLevel="1">
      <c r="D26" s="5" t="s">
        <v>733</v>
      </c>
      <c r="E26" s="9" t="s">
        <v>62</v>
      </c>
      <c r="G26" s="27">
        <f t="shared" ref="G26:Z26" si="42">SUM(G27:G30)</f>
        <v>745.33300000000008</v>
      </c>
      <c r="H26" s="27">
        <f t="shared" si="42"/>
        <v>819.83</v>
      </c>
      <c r="I26" s="27">
        <f t="shared" si="42"/>
        <v>581.94200000000001</v>
      </c>
      <c r="J26" s="27">
        <f t="shared" si="42"/>
        <v>606.93299999999999</v>
      </c>
      <c r="K26" s="27">
        <f t="shared" si="42"/>
        <v>747.94799999999998</v>
      </c>
      <c r="L26" s="27">
        <f t="shared" si="42"/>
        <v>1047.3530000000001</v>
      </c>
      <c r="M26" s="27">
        <f t="shared" si="42"/>
        <v>648.24599999999987</v>
      </c>
      <c r="N26" s="27">
        <f t="shared" si="42"/>
        <v>765.39199999999994</v>
      </c>
      <c r="O26" s="27">
        <f t="shared" si="42"/>
        <v>963.21800000000007</v>
      </c>
      <c r="P26" s="27">
        <f t="shared" si="42"/>
        <v>942.61700000000008</v>
      </c>
      <c r="Q26" s="27">
        <f t="shared" si="42"/>
        <v>628.79290095052886</v>
      </c>
      <c r="R26" s="27">
        <f t="shared" si="42"/>
        <v>834.40071897524149</v>
      </c>
      <c r="S26" s="27">
        <f t="shared" si="42"/>
        <v>914.99275910224344</v>
      </c>
      <c r="T26" s="27">
        <f t="shared" si="42"/>
        <v>888.96106832942723</v>
      </c>
      <c r="U26" s="27">
        <f t="shared" si="42"/>
        <v>889.73512967007787</v>
      </c>
      <c r="V26" s="27">
        <f t="shared" si="42"/>
        <v>894.52264701662511</v>
      </c>
      <c r="W26" s="27">
        <f t="shared" si="42"/>
        <v>899.35624980911564</v>
      </c>
      <c r="X26" s="27">
        <f t="shared" si="42"/>
        <v>904.23666109686485</v>
      </c>
      <c r="Y26" s="27">
        <f t="shared" si="42"/>
        <v>909.16461759553533</v>
      </c>
      <c r="Z26" s="27">
        <f t="shared" si="42"/>
        <v>914.14086995728599</v>
      </c>
    </row>
    <row r="27" spans="3:26" outlineLevel="1">
      <c r="D27" s="3" t="s">
        <v>734</v>
      </c>
      <c r="E27" s="15" t="s">
        <v>62</v>
      </c>
      <c r="G27" s="30">
        <v>618.18100000000004</v>
      </c>
      <c r="H27" s="30">
        <v>566.88099999999997</v>
      </c>
      <c r="I27" s="30">
        <v>508.63900000000001</v>
      </c>
      <c r="J27" s="30">
        <v>523.21600000000001</v>
      </c>
      <c r="K27" s="30">
        <v>626.81700000000001</v>
      </c>
      <c r="L27" s="30">
        <v>617.41399999999999</v>
      </c>
      <c r="M27" s="30">
        <v>493.75400000000002</v>
      </c>
      <c r="N27" s="30">
        <v>600.95299999999997</v>
      </c>
      <c r="O27" s="30">
        <v>835.95100000000002</v>
      </c>
      <c r="P27" s="30">
        <v>789.2</v>
      </c>
      <c r="Q27" s="25">
        <f>Calc!Q201</f>
        <v>599.24490095052886</v>
      </c>
      <c r="R27" s="25">
        <f>Calc!R201</f>
        <v>804.85271897524149</v>
      </c>
      <c r="S27" s="25">
        <f>Calc!S201</f>
        <v>885.44475910224344</v>
      </c>
      <c r="T27" s="25">
        <f>Calc!T201</f>
        <v>859.41306832942723</v>
      </c>
      <c r="U27" s="25">
        <f>Calc!U201</f>
        <v>860.18712967007787</v>
      </c>
      <c r="V27" s="25">
        <f>Calc!V201</f>
        <v>864.97464701662511</v>
      </c>
      <c r="W27" s="25">
        <f>Calc!W201</f>
        <v>869.80824980911564</v>
      </c>
      <c r="X27" s="25">
        <f>Calc!X201</f>
        <v>874.68866109686485</v>
      </c>
      <c r="Y27" s="25">
        <f>Calc!Y201</f>
        <v>879.61661759553533</v>
      </c>
      <c r="Z27" s="25">
        <f>Calc!Z201</f>
        <v>884.59286995728598</v>
      </c>
    </row>
    <row r="28" spans="3:26" outlineLevel="1">
      <c r="D28" s="3" t="s">
        <v>735</v>
      </c>
      <c r="E28" s="15" t="s">
        <v>62</v>
      </c>
      <c r="G28" s="30">
        <v>41.503999999999998</v>
      </c>
      <c r="H28" s="30">
        <v>193.83099999999999</v>
      </c>
      <c r="I28" s="30">
        <v>47.863999999999997</v>
      </c>
      <c r="J28" s="30">
        <v>53.997</v>
      </c>
      <c r="K28" s="30">
        <v>55.905000000000001</v>
      </c>
      <c r="L28" s="30">
        <v>383.79300000000001</v>
      </c>
      <c r="M28" s="30">
        <v>38.42</v>
      </c>
      <c r="N28" s="30">
        <v>39.771000000000001</v>
      </c>
      <c r="O28" s="30">
        <v>11.775</v>
      </c>
      <c r="P28" s="30">
        <v>15.132999999999999</v>
      </c>
      <c r="Q28" s="219"/>
      <c r="R28" s="219"/>
      <c r="S28" s="219"/>
      <c r="T28" s="219"/>
      <c r="U28" s="219"/>
      <c r="V28" s="219"/>
      <c r="W28" s="219"/>
      <c r="X28" s="219"/>
      <c r="Y28" s="219"/>
      <c r="Z28" s="219"/>
    </row>
    <row r="29" spans="3:26" outlineLevel="1">
      <c r="D29" s="3" t="s">
        <v>736</v>
      </c>
      <c r="E29" s="15" t="s">
        <v>62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89.82</v>
      </c>
      <c r="N29" s="30">
        <v>97.516000000000005</v>
      </c>
      <c r="O29" s="30">
        <v>98.301000000000002</v>
      </c>
      <c r="P29" s="30">
        <v>108.736</v>
      </c>
      <c r="Q29" s="219"/>
      <c r="R29" s="219"/>
      <c r="S29" s="219"/>
      <c r="T29" s="219"/>
      <c r="U29" s="219"/>
      <c r="V29" s="219"/>
      <c r="W29" s="219"/>
      <c r="X29" s="219"/>
      <c r="Y29" s="219"/>
      <c r="Z29" s="219"/>
    </row>
    <row r="30" spans="3:26" outlineLevel="1">
      <c r="D30" s="3" t="s">
        <v>737</v>
      </c>
      <c r="E30" s="15" t="s">
        <v>62</v>
      </c>
      <c r="G30" s="30">
        <v>85.647999999999996</v>
      </c>
      <c r="H30" s="30">
        <v>59.118000000000002</v>
      </c>
      <c r="I30" s="30">
        <v>25.439</v>
      </c>
      <c r="J30" s="30">
        <v>29.72</v>
      </c>
      <c r="K30" s="30">
        <v>65.225999999999999</v>
      </c>
      <c r="L30" s="30">
        <v>46.146000000000001</v>
      </c>
      <c r="M30" s="30">
        <v>26.251999999999999</v>
      </c>
      <c r="N30" s="30">
        <v>27.152000000000001</v>
      </c>
      <c r="O30" s="30">
        <v>17.190999999999999</v>
      </c>
      <c r="P30" s="30">
        <v>29.547999999999998</v>
      </c>
      <c r="Q30" s="214">
        <f>P30</f>
        <v>29.547999999999998</v>
      </c>
      <c r="R30" s="214">
        <f t="shared" ref="R30" si="43">Q30</f>
        <v>29.547999999999998</v>
      </c>
      <c r="S30" s="214">
        <f t="shared" ref="S30" si="44">R30</f>
        <v>29.547999999999998</v>
      </c>
      <c r="T30" s="214">
        <f t="shared" ref="T30" si="45">S30</f>
        <v>29.547999999999998</v>
      </c>
      <c r="U30" s="214">
        <f t="shared" ref="U30" si="46">T30</f>
        <v>29.547999999999998</v>
      </c>
      <c r="V30" s="214">
        <f t="shared" ref="V30" si="47">U30</f>
        <v>29.547999999999998</v>
      </c>
      <c r="W30" s="214">
        <f t="shared" ref="W30" si="48">V30</f>
        <v>29.547999999999998</v>
      </c>
      <c r="X30" s="214">
        <f t="shared" ref="X30" si="49">W30</f>
        <v>29.547999999999998</v>
      </c>
      <c r="Y30" s="214">
        <f t="shared" ref="Y30" si="50">X30</f>
        <v>29.547999999999998</v>
      </c>
      <c r="Z30" s="214">
        <f t="shared" ref="Z30" si="51">Y30</f>
        <v>29.547999999999998</v>
      </c>
    </row>
    <row r="31" spans="3:26" outlineLevel="1"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3:26" outlineLevel="1">
      <c r="D32" s="84" t="s">
        <v>738</v>
      </c>
      <c r="E32" s="9" t="s">
        <v>62</v>
      </c>
      <c r="G32" s="27">
        <f>SUM(G33:G36)</f>
        <v>1470.2339999999999</v>
      </c>
      <c r="H32" s="27">
        <f t="shared" ref="H32" si="52">SUM(H33:H36)</f>
        <v>1902.2930000000001</v>
      </c>
      <c r="I32" s="27">
        <f t="shared" ref="I32" si="53">SUM(I33:I36)</f>
        <v>2005.4090000000001</v>
      </c>
      <c r="J32" s="27">
        <f t="shared" ref="J32" si="54">SUM(J33:J36)</f>
        <v>2144.38</v>
      </c>
      <c r="K32" s="27">
        <f t="shared" ref="K32" si="55">SUM(K33:K36)</f>
        <v>2117.683</v>
      </c>
      <c r="L32" s="27">
        <f t="shared" ref="L32" si="56">SUM(L33:L36)</f>
        <v>1753.8049999999998</v>
      </c>
      <c r="M32" s="27">
        <f t="shared" ref="M32" si="57">SUM(M33:M36)</f>
        <v>2918.009</v>
      </c>
      <c r="N32" s="27">
        <f t="shared" ref="N32" si="58">SUM(N33:N36)</f>
        <v>3489.2019999999998</v>
      </c>
      <c r="O32" s="27">
        <f t="shared" ref="O32" si="59">SUM(O33:O36)</f>
        <v>3171.6709999999994</v>
      </c>
      <c r="P32" s="27">
        <f t="shared" ref="P32:Q32" si="60">SUM(P33:P36)</f>
        <v>3259.4060000000004</v>
      </c>
      <c r="Q32" s="27">
        <f t="shared" si="60"/>
        <v>3275.4459999999999</v>
      </c>
      <c r="R32" s="27">
        <f t="shared" ref="R32" si="61">SUM(R33:R36)</f>
        <v>2879.9080000000004</v>
      </c>
      <c r="S32" s="27">
        <f t="shared" ref="S32" si="62">SUM(S33:S36)</f>
        <v>2793.98</v>
      </c>
      <c r="T32" s="27">
        <f t="shared" ref="T32" si="63">SUM(T33:T36)</f>
        <v>2718.9920000000002</v>
      </c>
      <c r="U32" s="27">
        <f t="shared" ref="U32" si="64">SUM(U33:U36)</f>
        <v>1955.8590000000004</v>
      </c>
      <c r="V32" s="27">
        <f t="shared" ref="V32" si="65">SUM(V33:V36)</f>
        <v>1886.3750000000002</v>
      </c>
      <c r="W32" s="27">
        <f t="shared" ref="W32" si="66">SUM(W33:W36)</f>
        <v>1121.6080000000002</v>
      </c>
      <c r="X32" s="27">
        <f t="shared" ref="X32" si="67">SUM(X33:X36)</f>
        <v>1052.1240000000003</v>
      </c>
      <c r="Y32" s="27">
        <f t="shared" ref="Y32" si="68">SUM(Y33:Y36)</f>
        <v>920.66200000000015</v>
      </c>
      <c r="Z32" s="27">
        <f t="shared" ref="Z32" si="69">SUM(Z33:Z36)</f>
        <v>851.17800000000022</v>
      </c>
    </row>
    <row r="33" spans="4:26" outlineLevel="1">
      <c r="D33" t="s">
        <v>739</v>
      </c>
      <c r="E33" s="15" t="s">
        <v>62</v>
      </c>
      <c r="G33" s="30">
        <v>1126.8019999999999</v>
      </c>
      <c r="H33" s="30">
        <v>1528.2070000000001</v>
      </c>
      <c r="I33" s="30">
        <v>1488.0260000000001</v>
      </c>
      <c r="J33" s="30">
        <v>1502.2090000000001</v>
      </c>
      <c r="K33" s="30">
        <v>1446.366</v>
      </c>
      <c r="L33" s="30">
        <v>1074.4929999999999</v>
      </c>
      <c r="M33" s="30">
        <v>1730.433</v>
      </c>
      <c r="N33" s="30">
        <v>2323.6010000000001</v>
      </c>
      <c r="O33" s="30">
        <v>2146.4169999999999</v>
      </c>
      <c r="P33" s="30">
        <v>2136.38</v>
      </c>
      <c r="Q33" s="225">
        <f>Calc!Q130+Calc!Q157</f>
        <v>2151.5129999999999</v>
      </c>
      <c r="R33" s="225">
        <f>Calc!R130+Calc!R157</f>
        <v>1852.6769999999999</v>
      </c>
      <c r="S33" s="225">
        <f>Calc!S130+Calc!S157</f>
        <v>1852.6769999999999</v>
      </c>
      <c r="T33" s="225">
        <f>Calc!T130+Calc!T157</f>
        <v>1852.6769999999999</v>
      </c>
      <c r="U33" s="225">
        <f>Calc!U130+Calc!U157</f>
        <v>1159.028</v>
      </c>
      <c r="V33" s="225">
        <f>Calc!V130+Calc!V157</f>
        <v>1159.028</v>
      </c>
      <c r="W33" s="225">
        <f>Calc!W130+Calc!W157</f>
        <v>463.745</v>
      </c>
      <c r="X33" s="225">
        <f>Calc!X130+Calc!X157</f>
        <v>463.745</v>
      </c>
      <c r="Y33" s="225">
        <f>Calc!Y130+Calc!Y157</f>
        <v>401.767</v>
      </c>
      <c r="Z33" s="225">
        <f>Calc!Z130+Calc!Z157</f>
        <v>401.767</v>
      </c>
    </row>
    <row r="34" spans="4:26" outlineLevel="1">
      <c r="D34" t="s">
        <v>740</v>
      </c>
      <c r="E34" s="15" t="s">
        <v>62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628.68499999999995</v>
      </c>
      <c r="N34" s="30">
        <v>624.71799999999996</v>
      </c>
      <c r="O34" s="30">
        <v>618.79999999999995</v>
      </c>
      <c r="P34" s="30">
        <v>761.42700000000002</v>
      </c>
      <c r="Q34" s="225">
        <f>Calc!Q178</f>
        <v>762.33400000000006</v>
      </c>
      <c r="R34" s="225">
        <f>Calc!R178</f>
        <v>665.63200000000006</v>
      </c>
      <c r="S34" s="225">
        <f>Calc!S178</f>
        <v>579.70400000000006</v>
      </c>
      <c r="T34" s="225">
        <f>Calc!T178</f>
        <v>504.71600000000007</v>
      </c>
      <c r="U34" s="225">
        <f>Calc!U178</f>
        <v>435.23200000000008</v>
      </c>
      <c r="V34" s="225">
        <f>Calc!V178</f>
        <v>365.7480000000001</v>
      </c>
      <c r="W34" s="225">
        <f>Calc!W178</f>
        <v>296.26400000000012</v>
      </c>
      <c r="X34" s="225">
        <f>Calc!X178</f>
        <v>226.78000000000014</v>
      </c>
      <c r="Y34" s="225">
        <f>Calc!Y178</f>
        <v>157.29600000000016</v>
      </c>
      <c r="Z34" s="225">
        <f>Calc!Z178</f>
        <v>87.812000000000168</v>
      </c>
    </row>
    <row r="35" spans="4:26" outlineLevel="1">
      <c r="D35" t="s">
        <v>741</v>
      </c>
      <c r="E35" s="15" t="s">
        <v>62</v>
      </c>
      <c r="G35" s="30">
        <v>188.52</v>
      </c>
      <c r="H35" s="30">
        <v>140.86099999999999</v>
      </c>
      <c r="I35" s="30">
        <v>231.745</v>
      </c>
      <c r="J35" s="30">
        <v>351.19099999999997</v>
      </c>
      <c r="K35" s="30">
        <v>404.88499999999999</v>
      </c>
      <c r="L35" s="30">
        <v>398.09800000000001</v>
      </c>
      <c r="M35" s="30">
        <v>286.07100000000003</v>
      </c>
      <c r="N35" s="30">
        <v>327.49099999999999</v>
      </c>
      <c r="O35" s="30">
        <v>193.749</v>
      </c>
      <c r="P35" s="30">
        <v>134.60300000000001</v>
      </c>
      <c r="Q35" s="214">
        <f>P35</f>
        <v>134.60300000000001</v>
      </c>
      <c r="R35" s="214">
        <f t="shared" ref="R35" si="70">Q35</f>
        <v>134.60300000000001</v>
      </c>
      <c r="S35" s="214">
        <f t="shared" ref="S35" si="71">R35</f>
        <v>134.60300000000001</v>
      </c>
      <c r="T35" s="214">
        <f t="shared" ref="T35" si="72">S35</f>
        <v>134.60300000000001</v>
      </c>
      <c r="U35" s="214">
        <f t="shared" ref="U35" si="73">T35</f>
        <v>134.60300000000001</v>
      </c>
      <c r="V35" s="214">
        <f t="shared" ref="V35" si="74">U35</f>
        <v>134.60300000000001</v>
      </c>
      <c r="W35" s="214">
        <f t="shared" ref="W35" si="75">V35</f>
        <v>134.60300000000001</v>
      </c>
      <c r="X35" s="214">
        <f t="shared" ref="X35" si="76">W35</f>
        <v>134.60300000000001</v>
      </c>
      <c r="Y35" s="214">
        <f t="shared" ref="Y35" si="77">X35</f>
        <v>134.60300000000001</v>
      </c>
      <c r="Z35" s="214">
        <f t="shared" ref="Z35" si="78">Y35</f>
        <v>134.60300000000001</v>
      </c>
    </row>
    <row r="36" spans="4:26" outlineLevel="1">
      <c r="D36" t="s">
        <v>742</v>
      </c>
      <c r="E36" s="15" t="s">
        <v>62</v>
      </c>
      <c r="G36" s="30">
        <v>154.91200000000001</v>
      </c>
      <c r="H36" s="30">
        <v>233.22499999999999</v>
      </c>
      <c r="I36" s="30">
        <v>285.63799999999998</v>
      </c>
      <c r="J36" s="30">
        <v>290.98</v>
      </c>
      <c r="K36" s="30">
        <v>266.43200000000002</v>
      </c>
      <c r="L36" s="30">
        <v>281.214</v>
      </c>
      <c r="M36" s="30">
        <v>272.82</v>
      </c>
      <c r="N36" s="30">
        <v>213.392</v>
      </c>
      <c r="O36" s="30">
        <v>212.70500000000001</v>
      </c>
      <c r="P36" s="30">
        <v>226.99600000000001</v>
      </c>
      <c r="Q36" s="214">
        <f>P36</f>
        <v>226.99600000000001</v>
      </c>
      <c r="R36" s="214">
        <f t="shared" ref="R36" si="79">Q36</f>
        <v>226.99600000000001</v>
      </c>
      <c r="S36" s="214">
        <f t="shared" ref="S36" si="80">R36</f>
        <v>226.99600000000001</v>
      </c>
      <c r="T36" s="214">
        <f t="shared" ref="T36" si="81">S36</f>
        <v>226.99600000000001</v>
      </c>
      <c r="U36" s="214">
        <f t="shared" ref="U36" si="82">T36</f>
        <v>226.99600000000001</v>
      </c>
      <c r="V36" s="214">
        <f t="shared" ref="V36" si="83">U36</f>
        <v>226.99600000000001</v>
      </c>
      <c r="W36" s="214">
        <f t="shared" ref="W36" si="84">V36</f>
        <v>226.99600000000001</v>
      </c>
      <c r="X36" s="214">
        <f t="shared" ref="X36" si="85">W36</f>
        <v>226.99600000000001</v>
      </c>
      <c r="Y36" s="214">
        <f t="shared" ref="Y36" si="86">X36</f>
        <v>226.99600000000001</v>
      </c>
      <c r="Z36" s="214">
        <f t="shared" ref="Z36" si="87">Y36</f>
        <v>226.99600000000001</v>
      </c>
    </row>
    <row r="37" spans="4:26" outlineLevel="1"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4:26" outlineLevel="1">
      <c r="D38" s="84" t="s">
        <v>743</v>
      </c>
      <c r="E38" s="9" t="s">
        <v>62</v>
      </c>
      <c r="G38" s="27">
        <f>SUM(G39:G43)</f>
        <v>1905.3330000000001</v>
      </c>
      <c r="H38" s="27">
        <f t="shared" ref="H38:Z38" si="88">SUM(H39:H43)</f>
        <v>2053.2170000000001</v>
      </c>
      <c r="I38" s="27">
        <f t="shared" si="88"/>
        <v>1968.5730000000001</v>
      </c>
      <c r="J38" s="27">
        <f t="shared" si="88"/>
        <v>1805.3500000000004</v>
      </c>
      <c r="K38" s="27">
        <f t="shared" si="88"/>
        <v>1745.1110000000001</v>
      </c>
      <c r="L38" s="27">
        <f t="shared" si="88"/>
        <v>1807.8410000000001</v>
      </c>
      <c r="M38" s="27">
        <f t="shared" si="88"/>
        <v>1630.36</v>
      </c>
      <c r="N38" s="27">
        <f t="shared" si="88"/>
        <v>1441.4569999999999</v>
      </c>
      <c r="O38" s="27">
        <f t="shared" si="88"/>
        <v>1954.731</v>
      </c>
      <c r="P38" s="27">
        <f t="shared" si="88"/>
        <v>2429.4569999999999</v>
      </c>
      <c r="Q38" s="27">
        <f t="shared" si="88"/>
        <v>2479.5074316447276</v>
      </c>
      <c r="R38" s="27">
        <f t="shared" si="88"/>
        <v>2734.7430151289509</v>
      </c>
      <c r="S38" s="27">
        <f t="shared" si="88"/>
        <v>3092.7997220878942</v>
      </c>
      <c r="T38" s="27">
        <f t="shared" si="88"/>
        <v>3428.3426151173157</v>
      </c>
      <c r="U38" s="27">
        <f t="shared" si="88"/>
        <v>3774.5206488152007</v>
      </c>
      <c r="V38" s="27">
        <f t="shared" si="88"/>
        <v>4144.0570433127541</v>
      </c>
      <c r="W38" s="27">
        <f t="shared" si="88"/>
        <v>4519.9978130052896</v>
      </c>
      <c r="X38" s="27">
        <f t="shared" si="88"/>
        <v>4921.7217399958117</v>
      </c>
      <c r="Y38" s="27">
        <f t="shared" si="88"/>
        <v>5328.2329088211018</v>
      </c>
      <c r="Z38" s="27">
        <f t="shared" si="88"/>
        <v>5738.7624082107241</v>
      </c>
    </row>
    <row r="39" spans="4:26" outlineLevel="1">
      <c r="D39" t="s">
        <v>744</v>
      </c>
      <c r="E39" s="15" t="s">
        <v>62</v>
      </c>
      <c r="G39" s="30">
        <v>531.57299999999998</v>
      </c>
      <c r="H39" s="30">
        <v>521.02200000000005</v>
      </c>
      <c r="I39" s="30">
        <v>509.464</v>
      </c>
      <c r="J39" s="30">
        <v>511.46499999999997</v>
      </c>
      <c r="K39" s="30">
        <v>480.33100000000002</v>
      </c>
      <c r="L39" s="30">
        <v>446.54399999999998</v>
      </c>
      <c r="M39" s="30">
        <v>440.47199999999998</v>
      </c>
      <c r="N39" s="30">
        <v>440.72300000000001</v>
      </c>
      <c r="O39" s="30">
        <v>432.72800000000001</v>
      </c>
      <c r="P39" s="30">
        <v>401.29500000000002</v>
      </c>
      <c r="Q39" s="214">
        <f>P39</f>
        <v>401.29500000000002</v>
      </c>
      <c r="R39" s="214">
        <f t="shared" ref="R39:R40" si="89">Q39</f>
        <v>401.29500000000002</v>
      </c>
      <c r="S39" s="214">
        <f t="shared" ref="S39:S40" si="90">R39</f>
        <v>401.29500000000002</v>
      </c>
      <c r="T39" s="214">
        <f t="shared" ref="T39:T40" si="91">S39</f>
        <v>401.29500000000002</v>
      </c>
      <c r="U39" s="214">
        <f t="shared" ref="U39:U40" si="92">T39</f>
        <v>401.29500000000002</v>
      </c>
      <c r="V39" s="214">
        <f t="shared" ref="V39:V40" si="93">U39</f>
        <v>401.29500000000002</v>
      </c>
      <c r="W39" s="214">
        <f t="shared" ref="W39:W40" si="94">V39</f>
        <v>401.29500000000002</v>
      </c>
      <c r="X39" s="214">
        <f t="shared" ref="X39:X40" si="95">W39</f>
        <v>401.29500000000002</v>
      </c>
      <c r="Y39" s="214">
        <f t="shared" ref="Y39:Y40" si="96">X39</f>
        <v>401.29500000000002</v>
      </c>
      <c r="Z39" s="214">
        <f t="shared" ref="Z39:Z40" si="97">Y39</f>
        <v>401.29500000000002</v>
      </c>
    </row>
    <row r="40" spans="4:26" outlineLevel="1">
      <c r="D40" t="s">
        <v>745</v>
      </c>
      <c r="E40" s="15" t="s">
        <v>62</v>
      </c>
      <c r="G40" s="30">
        <v>4.9939999999999998</v>
      </c>
      <c r="H40" s="30">
        <v>2.8029999999999999</v>
      </c>
      <c r="I40" s="30">
        <v>2.4260000000000002</v>
      </c>
      <c r="J40" s="30">
        <v>2.5680000000000001</v>
      </c>
      <c r="K40" s="30">
        <v>2.1240000000000001</v>
      </c>
      <c r="L40" s="30">
        <v>1.597</v>
      </c>
      <c r="M40" s="30">
        <v>1.7829999999999999</v>
      </c>
      <c r="N40" s="30">
        <v>1.873</v>
      </c>
      <c r="O40" s="30">
        <v>1.9279999999999999</v>
      </c>
      <c r="P40" s="30">
        <v>1.9039999999999999</v>
      </c>
      <c r="Q40" s="214">
        <f>P40</f>
        <v>1.9039999999999999</v>
      </c>
      <c r="R40" s="214">
        <f t="shared" si="89"/>
        <v>1.9039999999999999</v>
      </c>
      <c r="S40" s="214">
        <f t="shared" si="90"/>
        <v>1.9039999999999999</v>
      </c>
      <c r="T40" s="214">
        <f t="shared" si="91"/>
        <v>1.9039999999999999</v>
      </c>
      <c r="U40" s="214">
        <f t="shared" si="92"/>
        <v>1.9039999999999999</v>
      </c>
      <c r="V40" s="214">
        <f t="shared" si="93"/>
        <v>1.9039999999999999</v>
      </c>
      <c r="W40" s="214">
        <f t="shared" si="94"/>
        <v>1.9039999999999999</v>
      </c>
      <c r="X40" s="214">
        <f t="shared" si="95"/>
        <v>1.9039999999999999</v>
      </c>
      <c r="Y40" s="214">
        <f t="shared" si="96"/>
        <v>1.9039999999999999</v>
      </c>
      <c r="Z40" s="214">
        <f t="shared" si="97"/>
        <v>1.9039999999999999</v>
      </c>
    </row>
    <row r="41" spans="4:26" outlineLevel="1">
      <c r="D41" t="s">
        <v>746</v>
      </c>
      <c r="E41" s="15" t="s">
        <v>62</v>
      </c>
      <c r="G41" s="30">
        <v>1126.7</v>
      </c>
      <c r="H41" s="30">
        <v>1262.961</v>
      </c>
      <c r="I41" s="30">
        <v>1235.615</v>
      </c>
      <c r="J41" s="30">
        <v>1124.104</v>
      </c>
      <c r="K41" s="30">
        <v>1088.1500000000001</v>
      </c>
      <c r="L41" s="30">
        <v>1145.4760000000001</v>
      </c>
      <c r="M41" s="30">
        <v>1039.819</v>
      </c>
      <c r="N41" s="30">
        <v>843.60599999999999</v>
      </c>
      <c r="O41" s="30">
        <v>1251.6400000000001</v>
      </c>
      <c r="P41" s="30">
        <v>1466.8720000000001</v>
      </c>
      <c r="Q41" s="25">
        <f>P41+'P&amp;L'!Q39+CFS!Q23</f>
        <v>1516.9224316447273</v>
      </c>
      <c r="R41" s="25">
        <f>Q41+'P&amp;L'!R39+CFS!R23</f>
        <v>1772.1580151289509</v>
      </c>
      <c r="S41" s="25">
        <f>R41+'P&amp;L'!S39+CFS!S23</f>
        <v>2130.2147220878942</v>
      </c>
      <c r="T41" s="25">
        <f>S41+'P&amp;L'!T39+CFS!T23</f>
        <v>2465.7576151173157</v>
      </c>
      <c r="U41" s="25">
        <f>T41+'P&amp;L'!U39+CFS!U23</f>
        <v>2811.9356488152007</v>
      </c>
      <c r="V41" s="25">
        <f>U41+'P&amp;L'!V39+CFS!V23</f>
        <v>3181.4720433127541</v>
      </c>
      <c r="W41" s="25">
        <f>V41+'P&amp;L'!W39+CFS!W23</f>
        <v>3557.4128130052891</v>
      </c>
      <c r="X41" s="25">
        <f>W41+'P&amp;L'!X39+CFS!X23</f>
        <v>3959.1367399958112</v>
      </c>
      <c r="Y41" s="25">
        <f>X41+'P&amp;L'!Y39+CFS!Y23</f>
        <v>4365.6479088211017</v>
      </c>
      <c r="Z41" s="25">
        <f>Y41+'P&amp;L'!Z39+CFS!Z23</f>
        <v>4776.177408210724</v>
      </c>
    </row>
    <row r="42" spans="4:26" outlineLevel="1">
      <c r="D42" t="s">
        <v>747</v>
      </c>
      <c r="E42" s="15" t="s">
        <v>62</v>
      </c>
      <c r="G42" s="30">
        <v>-5.5439999999999996</v>
      </c>
      <c r="H42" s="30">
        <v>-0.41299999999999998</v>
      </c>
      <c r="I42" s="30">
        <v>-27.776</v>
      </c>
      <c r="J42" s="30">
        <v>-41.302</v>
      </c>
      <c r="K42" s="30">
        <v>-69.840999999999994</v>
      </c>
      <c r="L42" s="30">
        <v>-82.403999999999996</v>
      </c>
      <c r="M42" s="30">
        <v>-150.38900000000001</v>
      </c>
      <c r="N42" s="30">
        <v>-137.102</v>
      </c>
      <c r="O42" s="30">
        <v>-2.72</v>
      </c>
      <c r="P42" s="30">
        <v>241.94200000000001</v>
      </c>
      <c r="Q42" s="214">
        <f>P42</f>
        <v>241.94200000000001</v>
      </c>
      <c r="R42" s="214">
        <f t="shared" ref="R42:R43" si="98">Q42</f>
        <v>241.94200000000001</v>
      </c>
      <c r="S42" s="214">
        <f t="shared" ref="S42:S43" si="99">R42</f>
        <v>241.94200000000001</v>
      </c>
      <c r="T42" s="214">
        <f t="shared" ref="T42:T43" si="100">S42</f>
        <v>241.94200000000001</v>
      </c>
      <c r="U42" s="214">
        <f t="shared" ref="U42:U43" si="101">T42</f>
        <v>241.94200000000001</v>
      </c>
      <c r="V42" s="214">
        <f t="shared" ref="V42:V43" si="102">U42</f>
        <v>241.94200000000001</v>
      </c>
      <c r="W42" s="214">
        <f t="shared" ref="W42:W43" si="103">V42</f>
        <v>241.94200000000001</v>
      </c>
      <c r="X42" s="214">
        <f t="shared" ref="X42:X43" si="104">W42</f>
        <v>241.94200000000001</v>
      </c>
      <c r="Y42" s="214">
        <f t="shared" ref="Y42:Y43" si="105">X42</f>
        <v>241.94200000000001</v>
      </c>
      <c r="Z42" s="214">
        <f t="shared" ref="Z42:Z43" si="106">Y42</f>
        <v>241.94200000000001</v>
      </c>
    </row>
    <row r="43" spans="4:26" outlineLevel="1">
      <c r="D43" t="s">
        <v>748</v>
      </c>
      <c r="E43" s="15" t="s">
        <v>62</v>
      </c>
      <c r="G43" s="30">
        <v>247.61</v>
      </c>
      <c r="H43" s="30">
        <v>266.84399999999999</v>
      </c>
      <c r="I43" s="30">
        <v>248.84399999999999</v>
      </c>
      <c r="J43" s="30">
        <v>208.51499999999999</v>
      </c>
      <c r="K43" s="30">
        <v>244.34700000000001</v>
      </c>
      <c r="L43" s="30">
        <v>296.62799999999999</v>
      </c>
      <c r="M43" s="30">
        <v>298.67500000000001</v>
      </c>
      <c r="N43" s="30">
        <v>292.35700000000003</v>
      </c>
      <c r="O43" s="30">
        <v>271.15499999999997</v>
      </c>
      <c r="P43" s="30">
        <v>317.44400000000002</v>
      </c>
      <c r="Q43" s="214">
        <f>P43</f>
        <v>317.44400000000002</v>
      </c>
      <c r="R43" s="214">
        <f t="shared" si="98"/>
        <v>317.44400000000002</v>
      </c>
      <c r="S43" s="214">
        <f t="shared" si="99"/>
        <v>317.44400000000002</v>
      </c>
      <c r="T43" s="214">
        <f t="shared" si="100"/>
        <v>317.44400000000002</v>
      </c>
      <c r="U43" s="214">
        <f t="shared" si="101"/>
        <v>317.44400000000002</v>
      </c>
      <c r="V43" s="214">
        <f t="shared" si="102"/>
        <v>317.44400000000002</v>
      </c>
      <c r="W43" s="214">
        <f t="shared" si="103"/>
        <v>317.44400000000002</v>
      </c>
      <c r="X43" s="214">
        <f t="shared" si="104"/>
        <v>317.44400000000002</v>
      </c>
      <c r="Y43" s="214">
        <f t="shared" si="105"/>
        <v>317.44400000000002</v>
      </c>
      <c r="Z43" s="214">
        <f t="shared" si="106"/>
        <v>317.44400000000002</v>
      </c>
    </row>
    <row r="44" spans="4:26" outlineLevel="1"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4:26" s="32" customFormat="1" outlineLevel="1">
      <c r="D45" s="32" t="s">
        <v>8</v>
      </c>
      <c r="E45" s="33" t="s">
        <v>62</v>
      </c>
      <c r="F45" s="33"/>
      <c r="G45" s="196">
        <f t="shared" ref="G45:Z45" si="107">G8-G24</f>
        <v>0</v>
      </c>
      <c r="H45" s="196">
        <f t="shared" si="107"/>
        <v>0</v>
      </c>
      <c r="I45" s="196">
        <f t="shared" si="107"/>
        <v>0</v>
      </c>
      <c r="J45" s="196">
        <f t="shared" si="107"/>
        <v>0</v>
      </c>
      <c r="K45" s="196">
        <f t="shared" si="107"/>
        <v>0</v>
      </c>
      <c r="L45" s="196">
        <f t="shared" si="107"/>
        <v>0</v>
      </c>
      <c r="M45" s="196">
        <f t="shared" si="107"/>
        <v>0</v>
      </c>
      <c r="N45" s="196">
        <f t="shared" si="107"/>
        <v>0</v>
      </c>
      <c r="O45" s="196">
        <f t="shared" si="107"/>
        <v>0</v>
      </c>
      <c r="P45" s="196">
        <f t="shared" si="107"/>
        <v>0</v>
      </c>
      <c r="Q45" s="196">
        <f t="shared" si="107"/>
        <v>0</v>
      </c>
      <c r="R45" s="196">
        <f t="shared" si="107"/>
        <v>0</v>
      </c>
      <c r="S45" s="196">
        <f t="shared" si="107"/>
        <v>0</v>
      </c>
      <c r="T45" s="196">
        <f t="shared" si="107"/>
        <v>0</v>
      </c>
      <c r="U45" s="196">
        <f t="shared" si="107"/>
        <v>0</v>
      </c>
      <c r="V45" s="196">
        <f t="shared" si="107"/>
        <v>0</v>
      </c>
      <c r="W45" s="196">
        <f t="shared" si="107"/>
        <v>0</v>
      </c>
      <c r="X45" s="196">
        <f t="shared" si="107"/>
        <v>0</v>
      </c>
      <c r="Y45" s="196">
        <f t="shared" si="107"/>
        <v>0</v>
      </c>
      <c r="Z45" s="196">
        <f t="shared" si="107"/>
        <v>0</v>
      </c>
    </row>
    <row r="46" spans="4:26" outlineLevel="1"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4:26" outlineLevel="1"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4:26" outlineLevel="1"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2:26">
      <c r="B49" s="20" t="s">
        <v>6</v>
      </c>
      <c r="C49" s="20" t="s">
        <v>6</v>
      </c>
      <c r="D49" s="20" t="s">
        <v>6</v>
      </c>
      <c r="E49" s="21" t="s">
        <v>6</v>
      </c>
      <c r="F49" s="20" t="s">
        <v>6</v>
      </c>
      <c r="G49" s="20" t="s">
        <v>6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 t="s">
        <v>6</v>
      </c>
      <c r="W49" s="20" t="s">
        <v>6</v>
      </c>
      <c r="X49" s="20" t="s">
        <v>6</v>
      </c>
      <c r="Y49" s="20" t="s">
        <v>6</v>
      </c>
      <c r="Z49" s="20" t="s">
        <v>6</v>
      </c>
    </row>
    <row r="57" spans="2:26">
      <c r="O57" s="11" t="s">
        <v>861</v>
      </c>
      <c r="P57" s="10">
        <f>2131.206+12.885+109.283+752.494</f>
        <v>3005.8680000000004</v>
      </c>
    </row>
    <row r="58" spans="2:26">
      <c r="O58" s="11" t="s">
        <v>867</v>
      </c>
      <c r="P58" s="10">
        <f>2131.206+12.885</f>
        <v>2144.0910000000003</v>
      </c>
    </row>
    <row r="59" spans="2:26">
      <c r="O59" s="11" t="s">
        <v>862</v>
      </c>
      <c r="P59" s="11">
        <f>160+209+160+192</f>
        <v>721</v>
      </c>
    </row>
    <row r="61" spans="2:26">
      <c r="O61" s="11" t="s">
        <v>868</v>
      </c>
      <c r="P61" s="209">
        <f>P57/P59</f>
        <v>4.1690263522884887</v>
      </c>
    </row>
    <row r="62" spans="2:26">
      <c r="O62" s="11" t="s">
        <v>863</v>
      </c>
      <c r="P62" s="209">
        <f>P58/P59</f>
        <v>2.9737739251040227</v>
      </c>
    </row>
    <row r="64" spans="2:26">
      <c r="O64" s="11" t="s">
        <v>864</v>
      </c>
      <c r="P64" s="10">
        <v>645.73599999999999</v>
      </c>
    </row>
    <row r="65" spans="15:16">
      <c r="O65" s="11" t="s">
        <v>865</v>
      </c>
      <c r="P65" s="10">
        <f>P57-P64</f>
        <v>2360.1320000000005</v>
      </c>
    </row>
    <row r="66" spans="15:16">
      <c r="O66" s="11" t="s">
        <v>866</v>
      </c>
      <c r="P66" s="10">
        <f>P58-P64</f>
        <v>1498.3550000000005</v>
      </c>
    </row>
    <row r="68" spans="15:16">
      <c r="O68" s="11" t="s">
        <v>869</v>
      </c>
      <c r="P68" s="209">
        <f>P65/$P$59</f>
        <v>3.2734147018030519</v>
      </c>
    </row>
    <row r="69" spans="15:16">
      <c r="O69" s="11" t="s">
        <v>870</v>
      </c>
      <c r="P69" s="209">
        <f>P66/$P$59</f>
        <v>2.0781622746185859</v>
      </c>
    </row>
  </sheetData>
  <mergeCells count="3">
    <mergeCell ref="B2:D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E73"/>
  </sheetPr>
  <dimension ref="A1:BR52"/>
  <sheetViews>
    <sheetView showGridLines="0" zoomScale="70" zoomScaleNormal="70" workbookViewId="0">
      <pane xSplit="6" ySplit="3" topLeftCell="G4" activePane="bottomRight" state="frozen"/>
      <selection activeCell="B2" sqref="B2:D3"/>
      <selection pane="topRight" activeCell="B2" sqref="B2:D3"/>
      <selection pane="bottomLeft" activeCell="B2" sqref="B2:D3"/>
      <selection pane="bottomRight" activeCell="R29" sqref="R29"/>
    </sheetView>
  </sheetViews>
  <sheetFormatPr baseColWidth="10" defaultColWidth="0" defaultRowHeight="16" outlineLevelRow="1"/>
  <cols>
    <col min="1" max="3" width="3.1640625" style="3" customWidth="1"/>
    <col min="4" max="4" width="40.6640625" style="3" customWidth="1"/>
    <col min="5" max="5" width="10.6640625" style="4" customWidth="1"/>
    <col min="6" max="6" width="9.1640625" style="4" customWidth="1"/>
    <col min="7" max="27" width="9.1640625" style="11" customWidth="1"/>
    <col min="28" max="28" width="3.6640625" style="3" customWidth="1"/>
    <col min="29" max="70" width="0" style="3" hidden="1" customWidth="1"/>
    <col min="71" max="16384" width="8.6640625" style="3" hidden="1"/>
  </cols>
  <sheetData>
    <row r="1" spans="2:27"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</row>
    <row r="2" spans="2:27" s="5" customFormat="1">
      <c r="B2" s="399" t="s">
        <v>39</v>
      </c>
      <c r="C2" s="399"/>
      <c r="D2" s="399"/>
      <c r="E2" s="400" t="s">
        <v>38</v>
      </c>
      <c r="F2" s="400" t="s">
        <v>47</v>
      </c>
      <c r="G2" s="85">
        <v>2013</v>
      </c>
      <c r="H2" s="85">
        <v>2014</v>
      </c>
      <c r="I2" s="85">
        <v>2015</v>
      </c>
      <c r="J2" s="85">
        <v>2016</v>
      </c>
      <c r="K2" s="85">
        <v>2017</v>
      </c>
      <c r="L2" s="85">
        <v>2018</v>
      </c>
      <c r="M2" s="85">
        <v>2019</v>
      </c>
      <c r="N2" s="85">
        <v>2020</v>
      </c>
      <c r="O2" s="85">
        <v>2021</v>
      </c>
      <c r="P2" s="85">
        <v>2022</v>
      </c>
      <c r="Q2" s="85" t="s">
        <v>829</v>
      </c>
      <c r="R2" s="22" t="s">
        <v>828</v>
      </c>
      <c r="S2" s="22">
        <v>2024</v>
      </c>
      <c r="T2" s="22">
        <v>2025</v>
      </c>
      <c r="U2" s="22">
        <v>2026</v>
      </c>
      <c r="V2" s="22">
        <v>2027</v>
      </c>
      <c r="W2" s="22">
        <v>2028</v>
      </c>
      <c r="X2" s="22">
        <v>2029</v>
      </c>
      <c r="Y2" s="22">
        <v>2030</v>
      </c>
      <c r="Z2" s="22">
        <v>2031</v>
      </c>
      <c r="AA2" s="22">
        <v>2032</v>
      </c>
    </row>
    <row r="3" spans="2:27" s="5" customFormat="1">
      <c r="B3" s="399"/>
      <c r="C3" s="399"/>
      <c r="D3" s="399"/>
      <c r="E3" s="400"/>
      <c r="F3" s="400"/>
      <c r="G3" s="85" t="s">
        <v>44</v>
      </c>
      <c r="H3" s="85" t="s">
        <v>44</v>
      </c>
      <c r="I3" s="85" t="s">
        <v>44</v>
      </c>
      <c r="J3" s="85" t="s">
        <v>44</v>
      </c>
      <c r="K3" s="85" t="s">
        <v>44</v>
      </c>
      <c r="L3" s="85" t="s">
        <v>44</v>
      </c>
      <c r="M3" s="85" t="s">
        <v>44</v>
      </c>
      <c r="N3" s="85" t="s">
        <v>44</v>
      </c>
      <c r="O3" s="85" t="s">
        <v>44</v>
      </c>
      <c r="P3" s="85" t="s">
        <v>44</v>
      </c>
      <c r="Q3" s="85" t="s">
        <v>44</v>
      </c>
      <c r="R3" s="22" t="s">
        <v>45</v>
      </c>
      <c r="S3" s="22" t="s">
        <v>45</v>
      </c>
      <c r="T3" s="22" t="s">
        <v>45</v>
      </c>
      <c r="U3" s="22" t="s">
        <v>45</v>
      </c>
      <c r="V3" s="22" t="s">
        <v>45</v>
      </c>
      <c r="W3" s="22" t="s">
        <v>45</v>
      </c>
      <c r="X3" s="22" t="s">
        <v>45</v>
      </c>
      <c r="Y3" s="22" t="s">
        <v>45</v>
      </c>
      <c r="Z3" s="22" t="s">
        <v>45</v>
      </c>
      <c r="AA3" s="22" t="s">
        <v>45</v>
      </c>
    </row>
    <row r="4" spans="2:27" ht="5" customHeight="1"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5" customHeight="1"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>
      <c r="B6" s="1" t="s">
        <v>766</v>
      </c>
      <c r="C6" s="1"/>
      <c r="D6" s="1"/>
      <c r="E6" s="2"/>
      <c r="F6" s="2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2:27" outlineLevel="1"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2:27" outlineLevel="1">
      <c r="D8" s="5" t="s">
        <v>60</v>
      </c>
      <c r="E8" s="9" t="s">
        <v>62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88">
        <v>1978</v>
      </c>
      <c r="R8" s="234">
        <f>'P&amp;L'!Q8-Q8</f>
        <v>1190.5896628280716</v>
      </c>
      <c r="S8" s="27">
        <f>'P&amp;L'!R8</f>
        <v>4407.854419176073</v>
      </c>
      <c r="T8" s="27">
        <f>'P&amp;L'!S8</f>
        <v>4887.5046766688574</v>
      </c>
      <c r="U8" s="27">
        <f>'P&amp;L'!T8</f>
        <v>4719.2597205522889</v>
      </c>
      <c r="V8" s="27">
        <f>'P&amp;L'!U8</f>
        <v>4713.9360420139546</v>
      </c>
      <c r="W8" s="27">
        <f>'P&amp;L'!V8</f>
        <v>4732.7917861820097</v>
      </c>
      <c r="X8" s="27">
        <f>'P&amp;L'!W8</f>
        <v>4751.7229533267373</v>
      </c>
      <c r="Y8" s="27">
        <f>'P&amp;L'!X8</f>
        <v>4770.7298451400447</v>
      </c>
      <c r="Z8" s="27">
        <f>'P&amp;L'!Y8</f>
        <v>4789.812764520605</v>
      </c>
      <c r="AA8" s="27">
        <f>'P&amp;L'!Z8</f>
        <v>4808.9720155786881</v>
      </c>
    </row>
    <row r="9" spans="2:27" outlineLevel="1"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2:27" s="5" customFormat="1" outlineLevel="1">
      <c r="D10" s="5" t="s">
        <v>7</v>
      </c>
      <c r="E10" s="9" t="s">
        <v>62</v>
      </c>
      <c r="F10" s="9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88">
        <v>369</v>
      </c>
      <c r="R10" s="279">
        <f>'P&amp;L'!Q17-Q10</f>
        <v>230.72192434150963</v>
      </c>
      <c r="S10" s="27">
        <f>'P&amp;L'!R17</f>
        <v>949.48262352982965</v>
      </c>
      <c r="T10" s="27">
        <f>'P&amp;L'!S17</f>
        <v>1083.967022892364</v>
      </c>
      <c r="U10" s="27">
        <f>'P&amp;L'!T17</f>
        <v>1026.9141033240594</v>
      </c>
      <c r="V10" s="27">
        <f>'P&amp;L'!U17</f>
        <v>1018.1779285789163</v>
      </c>
      <c r="W10" s="27">
        <f>'P&amp;L'!V17</f>
        <v>1016.3787899311466</v>
      </c>
      <c r="X10" s="27">
        <f>'P&amp;L'!W17</f>
        <v>1014.4425947053439</v>
      </c>
      <c r="Y10" s="27">
        <f>'P&amp;L'!X17</f>
        <v>1012.4018033513527</v>
      </c>
      <c r="Z10" s="27">
        <f>'P&amp;L'!Y17</f>
        <v>1010.1876982351536</v>
      </c>
      <c r="AA10" s="27">
        <f>'P&amp;L'!Z17</f>
        <v>1007.829112926399</v>
      </c>
    </row>
    <row r="11" spans="2:27" outlineLevel="1"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2:27" outlineLevel="1">
      <c r="D12" s="3" t="s">
        <v>767</v>
      </c>
      <c r="E12" s="15" t="s">
        <v>62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30">
        <f>-33.458</f>
        <v>-33.457999999999998</v>
      </c>
      <c r="R12" s="215">
        <f>-R48-Q12</f>
        <v>-11.40253636648783</v>
      </c>
      <c r="S12" s="25">
        <f t="shared" ref="S12" si="0">-S48</f>
        <v>-106.13066684137618</v>
      </c>
      <c r="T12" s="25">
        <f t="shared" ref="T12:AA12" si="1">-T48</f>
        <v>-134.28234366065828</v>
      </c>
      <c r="U12" s="25">
        <f t="shared" si="1"/>
        <v>-126.51266636845547</v>
      </c>
      <c r="V12" s="25">
        <f t="shared" si="1"/>
        <v>-127.41556826473254</v>
      </c>
      <c r="W12" s="25">
        <f t="shared" si="1"/>
        <v>-129.32925143925837</v>
      </c>
      <c r="X12" s="25">
        <f t="shared" si="1"/>
        <v>-130.96207950992755</v>
      </c>
      <c r="Y12" s="25">
        <f t="shared" si="1"/>
        <v>-132.34087333834321</v>
      </c>
      <c r="Z12" s="25">
        <f t="shared" si="1"/>
        <v>-133.47183703953405</v>
      </c>
      <c r="AA12" s="25">
        <f t="shared" si="1"/>
        <v>-134.37763941204742</v>
      </c>
    </row>
    <row r="13" spans="2:27" outlineLevel="1">
      <c r="D13" s="3" t="s">
        <v>768</v>
      </c>
      <c r="E13" s="15" t="s">
        <v>62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30">
        <f>464.156+459.153+32.752-702.787</f>
        <v>253.27399999999989</v>
      </c>
      <c r="R13" s="215">
        <f>-(Calc!Q202-Q13)</f>
        <v>84.502817179685394</v>
      </c>
      <c r="S13" s="25">
        <f>CFS!R10</f>
        <v>-93.410545908621202</v>
      </c>
      <c r="T13" s="25">
        <f>CFS!S10</f>
        <v>-35.189168287230927</v>
      </c>
      <c r="U13" s="25">
        <f>CFS!T10</f>
        <v>14.474636127894541</v>
      </c>
      <c r="V13" s="25">
        <f>CFS!U10</f>
        <v>1.9802400741214115</v>
      </c>
      <c r="W13" s="25">
        <f>CFS!V10</f>
        <v>0.15943180964995918</v>
      </c>
      <c r="X13" s="25">
        <f>CFS!W10</f>
        <v>0.18573145474658759</v>
      </c>
      <c r="Y13" s="25">
        <f>CFS!X10</f>
        <v>0.21264953678110032</v>
      </c>
      <c r="Z13" s="25">
        <f>CFS!Y10</f>
        <v>0.24019879426805346</v>
      </c>
      <c r="AA13" s="25">
        <f>CFS!Z10</f>
        <v>0.26839222197111212</v>
      </c>
    </row>
    <row r="14" spans="2:27" outlineLevel="1">
      <c r="D14" s="3" t="s">
        <v>769</v>
      </c>
      <c r="E14" s="15" t="s">
        <v>62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30">
        <f>-80.915-157.163</f>
        <v>-238.07800000000003</v>
      </c>
      <c r="R14" s="215">
        <f>(CFS!Q15+CFS!Q16)-Q14</f>
        <v>-352.26262313644094</v>
      </c>
      <c r="S14" s="25">
        <f>(CFS!R15+CFS!R16)</f>
        <v>-180.83021817344971</v>
      </c>
      <c r="T14" s="25">
        <f>(CFS!S15+CFS!S16)</f>
        <v>-184.55384238179408</v>
      </c>
      <c r="U14" s="25">
        <f>(CFS!T15+CFS!T16)</f>
        <v>-188.35414280822317</v>
      </c>
      <c r="V14" s="25">
        <f>(CFS!U15+CFS!U16)</f>
        <v>-192.12122566438765</v>
      </c>
      <c r="W14" s="25">
        <f>(CFS!V15+CFS!V16)</f>
        <v>-195.96365017767542</v>
      </c>
      <c r="X14" s="25">
        <f>(CFS!W15+CFS!W16)</f>
        <v>-199.88292318122893</v>
      </c>
      <c r="Y14" s="25">
        <f>(CFS!X15+CFS!X16)</f>
        <v>-203.88058164485349</v>
      </c>
      <c r="Z14" s="25">
        <f>(CFS!Y15+CFS!Y16)</f>
        <v>-207.95819327775058</v>
      </c>
      <c r="AA14" s="25">
        <f>(CFS!Z15+CFS!Z16)</f>
        <v>-212.11735714330558</v>
      </c>
    </row>
    <row r="15" spans="2:27" outlineLevel="1"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2:27" s="5" customFormat="1" outlineLevel="1">
      <c r="D16" s="5" t="s">
        <v>770</v>
      </c>
      <c r="E16" s="9" t="s">
        <v>62</v>
      </c>
      <c r="F16" s="9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7">
        <f>SUM(R10,R12:R14)</f>
        <v>-48.440417981733731</v>
      </c>
      <c r="S16" s="27">
        <f t="shared" ref="S16:AA16" si="2">SUM(S10,S12:S14)</f>
        <v>569.11119260638259</v>
      </c>
      <c r="T16" s="27">
        <f t="shared" si="2"/>
        <v>729.94166856268066</v>
      </c>
      <c r="U16" s="27">
        <f t="shared" si="2"/>
        <v>726.52193027527528</v>
      </c>
      <c r="V16" s="27">
        <f t="shared" si="2"/>
        <v>700.62137472391748</v>
      </c>
      <c r="W16" s="27">
        <f t="shared" si="2"/>
        <v>691.24532012386271</v>
      </c>
      <c r="X16" s="27">
        <f t="shared" si="2"/>
        <v>683.78332346893399</v>
      </c>
      <c r="Y16" s="27">
        <f t="shared" si="2"/>
        <v>676.39299790493715</v>
      </c>
      <c r="Z16" s="27">
        <f t="shared" si="2"/>
        <v>668.99786671213701</v>
      </c>
      <c r="AA16" s="27">
        <f t="shared" si="2"/>
        <v>661.60250859301709</v>
      </c>
    </row>
    <row r="17" spans="4:27" outlineLevel="1"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4:27" outlineLevel="1">
      <c r="D18" s="3" t="s">
        <v>771</v>
      </c>
      <c r="E18" s="4" t="s">
        <v>1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13">
        <v>0.25</v>
      </c>
      <c r="S18" s="213">
        <f>R18*2+0.5</f>
        <v>1</v>
      </c>
      <c r="T18" s="208">
        <f>S18+1</f>
        <v>2</v>
      </c>
      <c r="U18" s="208">
        <f t="shared" ref="U18:AA18" si="3">T18+1</f>
        <v>3</v>
      </c>
      <c r="V18" s="208">
        <f t="shared" si="3"/>
        <v>4</v>
      </c>
      <c r="W18" s="208">
        <f t="shared" si="3"/>
        <v>5</v>
      </c>
      <c r="X18" s="208">
        <f t="shared" si="3"/>
        <v>6</v>
      </c>
      <c r="Y18" s="208">
        <f t="shared" si="3"/>
        <v>7</v>
      </c>
      <c r="Z18" s="208">
        <f t="shared" si="3"/>
        <v>8</v>
      </c>
      <c r="AA18" s="208">
        <f t="shared" si="3"/>
        <v>9</v>
      </c>
    </row>
    <row r="19" spans="4:27" outlineLevel="1">
      <c r="D19" s="3" t="s">
        <v>772</v>
      </c>
      <c r="E19" s="4" t="s">
        <v>3</v>
      </c>
      <c r="F19" s="212">
        <f>Scenario!J40</f>
        <v>0.11375701111242446</v>
      </c>
      <c r="G19" s="26"/>
      <c r="H19" s="81"/>
      <c r="I19" s="26"/>
      <c r="J19" s="26"/>
      <c r="K19" s="26"/>
      <c r="L19" s="26"/>
      <c r="M19" s="26"/>
      <c r="N19" s="26"/>
      <c r="O19" s="26"/>
      <c r="P19" s="26"/>
      <c r="Q19" s="26"/>
      <c r="R19" s="28">
        <f t="shared" ref="R19:AA19" si="4">$F19</f>
        <v>0.11375701111242446</v>
      </c>
      <c r="S19" s="28">
        <f t="shared" si="4"/>
        <v>0.11375701111242446</v>
      </c>
      <c r="T19" s="28">
        <f t="shared" si="4"/>
        <v>0.11375701111242446</v>
      </c>
      <c r="U19" s="28">
        <f t="shared" si="4"/>
        <v>0.11375701111242446</v>
      </c>
      <c r="V19" s="28">
        <f t="shared" si="4"/>
        <v>0.11375701111242446</v>
      </c>
      <c r="W19" s="28">
        <f t="shared" si="4"/>
        <v>0.11375701111242446</v>
      </c>
      <c r="X19" s="28">
        <f t="shared" si="4"/>
        <v>0.11375701111242446</v>
      </c>
      <c r="Y19" s="28">
        <f t="shared" si="4"/>
        <v>0.11375701111242446</v>
      </c>
      <c r="Z19" s="28">
        <f t="shared" si="4"/>
        <v>0.11375701111242446</v>
      </c>
      <c r="AA19" s="28">
        <f t="shared" si="4"/>
        <v>0.11375701111242446</v>
      </c>
    </row>
    <row r="20" spans="4:27" outlineLevel="1">
      <c r="D20" s="3" t="s">
        <v>773</v>
      </c>
      <c r="E20" s="4" t="s">
        <v>1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08">
        <f t="shared" ref="R20:AA20" si="5">1/(1+R19)^R18</f>
        <v>0.97342475667476303</v>
      </c>
      <c r="S20" s="208">
        <f t="shared" si="5"/>
        <v>0.89786191244820668</v>
      </c>
      <c r="T20" s="208">
        <f t="shared" si="5"/>
        <v>0.80615601382515123</v>
      </c>
      <c r="U20" s="208">
        <f t="shared" si="5"/>
        <v>0.72381678030467334</v>
      </c>
      <c r="V20" s="208">
        <f t="shared" si="5"/>
        <v>0.64988751862645744</v>
      </c>
      <c r="W20" s="208">
        <f t="shared" si="5"/>
        <v>0.58350925035017065</v>
      </c>
      <c r="X20" s="208">
        <f t="shared" si="5"/>
        <v>0.52391073145062361</v>
      </c>
      <c r="Y20" s="208">
        <f t="shared" si="5"/>
        <v>0.47039949129239578</v>
      </c>
      <c r="Z20" s="208">
        <f t="shared" si="5"/>
        <v>0.42235378686645408</v>
      </c>
      <c r="AA20" s="208">
        <f t="shared" si="5"/>
        <v>0.37921537880565676</v>
      </c>
    </row>
    <row r="21" spans="4:27" outlineLevel="1"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4:27" s="5" customFormat="1" outlineLevel="1">
      <c r="D22" s="5" t="s">
        <v>774</v>
      </c>
      <c r="E22" s="9" t="s">
        <v>62</v>
      </c>
      <c r="F22" s="9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7">
        <f t="shared" ref="R22:AA22" si="6">R16*R20</f>
        <v>-47.153102087092975</v>
      </c>
      <c r="S22" s="27">
        <f t="shared" si="6"/>
        <v>510.98326378924639</v>
      </c>
      <c r="T22" s="27">
        <f t="shared" si="6"/>
        <v>588.44686585337035</v>
      </c>
      <c r="U22" s="27">
        <f t="shared" si="6"/>
        <v>525.86876439258617</v>
      </c>
      <c r="V22" s="27">
        <f t="shared" si="6"/>
        <v>455.32508671598413</v>
      </c>
      <c r="W22" s="27">
        <f t="shared" si="6"/>
        <v>403.34803855353886</v>
      </c>
      <c r="X22" s="27">
        <f t="shared" si="6"/>
        <v>358.24142115234758</v>
      </c>
      <c r="Y22" s="27">
        <f t="shared" si="6"/>
        <v>318.17492212822094</v>
      </c>
      <c r="Z22" s="27">
        <f t="shared" si="6"/>
        <v>282.55378241145036</v>
      </c>
      <c r="AA22" s="27">
        <f t="shared" si="6"/>
        <v>250.88984591487375</v>
      </c>
    </row>
    <row r="23" spans="4:27" outlineLevel="1"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4:27" outlineLevel="1">
      <c r="D24" s="3" t="s">
        <v>775</v>
      </c>
      <c r="E24" s="4" t="s">
        <v>3</v>
      </c>
      <c r="F24" s="212">
        <f>Scenario!J41</f>
        <v>0.02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8">
        <f>$F24</f>
        <v>0.02</v>
      </c>
    </row>
    <row r="25" spans="4:27" outlineLevel="1">
      <c r="D25" s="3" t="s">
        <v>48</v>
      </c>
      <c r="E25" s="15" t="s">
        <v>62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5">
        <f>AA16*(1+AA24)/(AA19-AA24)*AA20</f>
        <v>2729.477399042843</v>
      </c>
    </row>
    <row r="26" spans="4:27" outlineLevel="1"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4:27" outlineLevel="1"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4:27" s="5" customFormat="1" outlineLevel="1">
      <c r="D28" s="5" t="s">
        <v>776</v>
      </c>
      <c r="E28" s="9" t="s">
        <v>62</v>
      </c>
      <c r="F28" s="9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7">
        <f>SUM(R22:AA22)+AA25</f>
        <v>6376.1562878673685</v>
      </c>
      <c r="S28" s="203"/>
      <c r="T28" s="203"/>
      <c r="U28" s="203"/>
      <c r="V28" s="203"/>
      <c r="W28" s="203"/>
      <c r="X28" s="203"/>
      <c r="Y28" s="203"/>
      <c r="Z28" s="203"/>
      <c r="AA28" s="203"/>
    </row>
    <row r="29" spans="4:27" outlineLevel="1">
      <c r="D29" s="3" t="s">
        <v>777</v>
      </c>
      <c r="E29" s="15" t="s">
        <v>62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5">
        <f>(BS!P28+BS!P29+BS!P33+BS!P34)-BS!P11</f>
        <v>2163.9290000000005</v>
      </c>
      <c r="S29" s="26"/>
      <c r="T29" s="26"/>
      <c r="U29" s="26"/>
      <c r="V29" s="26"/>
      <c r="W29" s="26"/>
      <c r="X29" s="26"/>
      <c r="Y29" s="26"/>
      <c r="Z29" s="26"/>
      <c r="AA29" s="26"/>
    </row>
    <row r="30" spans="4:27" outlineLevel="1">
      <c r="D30" s="3" t="s">
        <v>848</v>
      </c>
      <c r="E30" s="15" t="s">
        <v>62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5">
        <f>(BS!P15+BS!P20+BS!P21)-(BS!P30+BS!P35+BS!P36)</f>
        <v>50.938999999999965</v>
      </c>
      <c r="S30" s="26"/>
      <c r="T30" s="26"/>
      <c r="U30" s="26"/>
      <c r="V30" s="26"/>
      <c r="W30" s="26"/>
      <c r="X30" s="26"/>
      <c r="Y30" s="26"/>
      <c r="Z30" s="26"/>
      <c r="AA30" s="26"/>
    </row>
    <row r="31" spans="4:27" s="5" customFormat="1" outlineLevel="1">
      <c r="D31" s="5" t="s">
        <v>743</v>
      </c>
      <c r="E31" s="9" t="s">
        <v>62</v>
      </c>
      <c r="F31" s="9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7">
        <f>R28-R29-R30</f>
        <v>4161.2882878673681</v>
      </c>
      <c r="S31" s="203"/>
      <c r="T31" s="203"/>
      <c r="U31" s="203"/>
      <c r="V31" s="203"/>
      <c r="W31" s="203"/>
      <c r="X31" s="203"/>
      <c r="Y31" s="203"/>
      <c r="Z31" s="203"/>
      <c r="AA31" s="203"/>
    </row>
    <row r="32" spans="4:27" ht="16" customHeight="1" outlineLevel="1"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2:27" outlineLevel="1">
      <c r="D33" s="3" t="s">
        <v>823</v>
      </c>
      <c r="E33" s="4" t="s">
        <v>778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10">
        <f>71.677484</f>
        <v>71.677484000000007</v>
      </c>
      <c r="S33" s="26"/>
      <c r="T33" s="26"/>
      <c r="U33" s="26"/>
      <c r="V33" s="26"/>
      <c r="W33" s="26"/>
      <c r="X33" s="26"/>
      <c r="Y33" s="26"/>
      <c r="Z33" s="26"/>
      <c r="AA33" s="26"/>
    </row>
    <row r="34" spans="2:27" outlineLevel="1">
      <c r="D34" s="3" t="s">
        <v>780</v>
      </c>
      <c r="E34" s="4" t="s">
        <v>779</v>
      </c>
      <c r="R34" s="207">
        <f>R31/R33</f>
        <v>58.055724833580484</v>
      </c>
    </row>
    <row r="35" spans="2:27" outlineLevel="1">
      <c r="R35" s="10"/>
    </row>
    <row r="36" spans="2:27" outlineLevel="1">
      <c r="R36" s="209"/>
    </row>
    <row r="37" spans="2:27">
      <c r="R37" s="209"/>
    </row>
    <row r="38" spans="2:27">
      <c r="B38" s="204" t="s">
        <v>760</v>
      </c>
      <c r="C38" s="204"/>
      <c r="D38" s="204"/>
      <c r="E38" s="205"/>
      <c r="F38" s="205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06"/>
    </row>
    <row r="39" spans="2:27" outlineLevel="1"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2:27" s="5" customFormat="1" outlineLevel="1">
      <c r="D40" s="14" t="s">
        <v>7</v>
      </c>
      <c r="E40" s="15" t="s">
        <v>62</v>
      </c>
      <c r="F40" s="1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5">
        <f>'P&amp;L'!Q17</f>
        <v>599.72192434150963</v>
      </c>
      <c r="S40" s="25">
        <f>'P&amp;L'!R17</f>
        <v>949.48262352982965</v>
      </c>
      <c r="T40" s="25">
        <f>'P&amp;L'!S17</f>
        <v>1083.967022892364</v>
      </c>
      <c r="U40" s="25">
        <f>'P&amp;L'!T17</f>
        <v>1026.9141033240594</v>
      </c>
      <c r="V40" s="25">
        <f>'P&amp;L'!U17</f>
        <v>1018.1779285789163</v>
      </c>
      <c r="W40" s="25">
        <f>'P&amp;L'!V17</f>
        <v>1016.3787899311466</v>
      </c>
      <c r="X40" s="25">
        <f>'P&amp;L'!W17</f>
        <v>1014.4425947053439</v>
      </c>
      <c r="Y40" s="25">
        <f>'P&amp;L'!X17</f>
        <v>1012.4018033513527</v>
      </c>
      <c r="Z40" s="25">
        <f>'P&amp;L'!Y17</f>
        <v>1010.1876982351536</v>
      </c>
      <c r="AA40" s="25">
        <f>'P&amp;L'!Z17</f>
        <v>1007.829112926399</v>
      </c>
    </row>
    <row r="41" spans="2:27" outlineLevel="1"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2:27" outlineLevel="1">
      <c r="D42" s="3" t="s">
        <v>764</v>
      </c>
      <c r="E42" s="15" t="s">
        <v>62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5">
        <f>'P&amp;L'!Q20</f>
        <v>358.28536519964297</v>
      </c>
      <c r="S42" s="25">
        <f>'P&amp;L'!R20</f>
        <v>378.29411137562732</v>
      </c>
      <c r="T42" s="25">
        <f>'P&amp;L'!S20</f>
        <v>361.26797306213933</v>
      </c>
      <c r="U42" s="25">
        <f>'P&amp;L'!T20</f>
        <v>346.03096348980819</v>
      </c>
      <c r="V42" s="25">
        <f>'P&amp;L'!U20</f>
        <v>332.43542805180795</v>
      </c>
      <c r="W42" s="25">
        <f>'P&amp;L'!V20</f>
        <v>320.33696803234028</v>
      </c>
      <c r="X42" s="25">
        <f>'P&amp;L'!W20</f>
        <v>309.61299577614261</v>
      </c>
      <c r="Y42" s="25">
        <f>'P&amp;L'!X20</f>
        <v>300.15162355840147</v>
      </c>
      <c r="Z42" s="25">
        <f>'P&amp;L'!Y20</f>
        <v>291.85074359182744</v>
      </c>
      <c r="AA42" s="25">
        <f>'P&amp;L'!Z20</f>
        <v>284.61718741122354</v>
      </c>
    </row>
    <row r="43" spans="2:27" outlineLevel="1"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2:27" s="5" customFormat="1" outlineLevel="1">
      <c r="D44" s="14" t="s">
        <v>11</v>
      </c>
      <c r="E44" s="15" t="s">
        <v>62</v>
      </c>
      <c r="F44" s="1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5">
        <f t="shared" ref="R44:AA44" si="7">R40-R42</f>
        <v>241.43655914186667</v>
      </c>
      <c r="S44" s="25">
        <f t="shared" si="7"/>
        <v>571.18851215420227</v>
      </c>
      <c r="T44" s="25">
        <f t="shared" si="7"/>
        <v>722.69904983022457</v>
      </c>
      <c r="U44" s="25">
        <f t="shared" si="7"/>
        <v>680.88313983425121</v>
      </c>
      <c r="V44" s="25">
        <f t="shared" si="7"/>
        <v>685.7425005271084</v>
      </c>
      <c r="W44" s="25">
        <f t="shared" si="7"/>
        <v>696.04182189880635</v>
      </c>
      <c r="X44" s="25">
        <f t="shared" si="7"/>
        <v>704.82959892920132</v>
      </c>
      <c r="Y44" s="25">
        <f t="shared" si="7"/>
        <v>712.25017979295126</v>
      </c>
      <c r="Z44" s="25">
        <f t="shared" si="7"/>
        <v>718.33695464332618</v>
      </c>
      <c r="AA44" s="25">
        <f t="shared" si="7"/>
        <v>723.21192551517549</v>
      </c>
    </row>
    <row r="45" spans="2:27" outlineLevel="1"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2:27" outlineLevel="1">
      <c r="D46" s="3" t="s">
        <v>765</v>
      </c>
      <c r="E46" s="4" t="s">
        <v>3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8">
        <f>'P&amp;L'!Q36</f>
        <v>0.18580672507069673</v>
      </c>
      <c r="S46" s="28">
        <f>'P&amp;L'!R36</f>
        <v>0.18580672507069673</v>
      </c>
      <c r="T46" s="28">
        <f>'P&amp;L'!S36</f>
        <v>0.18580672507069673</v>
      </c>
      <c r="U46" s="28">
        <f>'P&amp;L'!T36</f>
        <v>0.18580672507069673</v>
      </c>
      <c r="V46" s="28">
        <f>'P&amp;L'!U36</f>
        <v>0.18580672507069673</v>
      </c>
      <c r="W46" s="28">
        <f>'P&amp;L'!V36</f>
        <v>0.18580672507069673</v>
      </c>
      <c r="X46" s="28">
        <f>'P&amp;L'!W36</f>
        <v>0.18580672507069673</v>
      </c>
      <c r="Y46" s="28">
        <f>'P&amp;L'!X36</f>
        <v>0.18580672507069673</v>
      </c>
      <c r="Z46" s="28">
        <f>'P&amp;L'!Y36</f>
        <v>0.18580672507069673</v>
      </c>
      <c r="AA46" s="28">
        <f>'P&amp;L'!Z36</f>
        <v>0.18580672507069673</v>
      </c>
    </row>
    <row r="47" spans="2:27" outlineLevel="1"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2:27" s="5" customFormat="1" outlineLevel="1">
      <c r="D48" s="14" t="s">
        <v>760</v>
      </c>
      <c r="E48" s="15" t="s">
        <v>62</v>
      </c>
      <c r="F48" s="1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5">
        <f>R44*R46</f>
        <v>44.860536366487828</v>
      </c>
      <c r="S48" s="25">
        <f t="shared" ref="S48:AA48" si="8">S44*S46</f>
        <v>106.13066684137618</v>
      </c>
      <c r="T48" s="25">
        <f t="shared" si="8"/>
        <v>134.28234366065828</v>
      </c>
      <c r="U48" s="25">
        <f t="shared" si="8"/>
        <v>126.51266636845547</v>
      </c>
      <c r="V48" s="25">
        <f t="shared" si="8"/>
        <v>127.41556826473254</v>
      </c>
      <c r="W48" s="25">
        <f t="shared" si="8"/>
        <v>129.32925143925837</v>
      </c>
      <c r="X48" s="25">
        <f t="shared" si="8"/>
        <v>130.96207950992755</v>
      </c>
      <c r="Y48" s="25">
        <f t="shared" si="8"/>
        <v>132.34087333834321</v>
      </c>
      <c r="Z48" s="25">
        <f t="shared" si="8"/>
        <v>133.47183703953405</v>
      </c>
      <c r="AA48" s="25">
        <f t="shared" si="8"/>
        <v>134.37763941204742</v>
      </c>
    </row>
    <row r="49" spans="2:27" outlineLevel="1"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2:27" outlineLevel="1"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2:27"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2:27">
      <c r="B52" s="20" t="s">
        <v>6</v>
      </c>
      <c r="C52" s="20" t="s">
        <v>6</v>
      </c>
      <c r="D52" s="20" t="s">
        <v>6</v>
      </c>
      <c r="E52" s="21" t="s">
        <v>6</v>
      </c>
      <c r="F52" s="20" t="s">
        <v>6</v>
      </c>
      <c r="G52" s="20" t="s">
        <v>6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 t="s">
        <v>6</v>
      </c>
      <c r="X52" s="20" t="s">
        <v>6</v>
      </c>
      <c r="Y52" s="20" t="s">
        <v>6</v>
      </c>
      <c r="Z52" s="20" t="s">
        <v>6</v>
      </c>
      <c r="AA52" s="20" t="s">
        <v>6</v>
      </c>
    </row>
  </sheetData>
  <mergeCells count="3">
    <mergeCell ref="B2:D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249977111117893"/>
    <pageSetUpPr fitToPage="1"/>
  </sheetPr>
  <dimension ref="A1:BG1091"/>
  <sheetViews>
    <sheetView showGridLines="0" zoomScale="70" zoomScaleNormal="70" zoomScaleSheetLayoutView="85" workbookViewId="0">
      <pane xSplit="7" ySplit="1" topLeftCell="H6" activePane="bottomRight" state="frozen"/>
      <selection activeCell="Q7" sqref="Q7"/>
      <selection pane="topRight" activeCell="Q7" sqref="Q7"/>
      <selection pane="bottomLeft" activeCell="Q7" sqref="Q7"/>
      <selection pane="bottomRight" activeCell="AH4" sqref="AH4"/>
    </sheetView>
  </sheetViews>
  <sheetFormatPr baseColWidth="10" defaultColWidth="8.1640625" defaultRowHeight="13" outlineLevelRow="1" outlineLevelCol="1"/>
  <cols>
    <col min="1" max="1" width="3.6640625" style="141" customWidth="1" outlineLevel="1"/>
    <col min="2" max="2" width="20.1640625" style="142" customWidth="1" outlineLevel="1"/>
    <col min="3" max="3" width="11.83203125" style="142" customWidth="1" outlineLevel="1"/>
    <col min="4" max="4" width="9.33203125" style="142" customWidth="1"/>
    <col min="5" max="5" width="20.6640625" style="109" hidden="1" customWidth="1"/>
    <col min="6" max="6" width="44.1640625" style="109" customWidth="1"/>
    <col min="7" max="7" width="9.6640625" style="109" customWidth="1"/>
    <col min="8" max="8" width="8.33203125" style="109" customWidth="1"/>
    <col min="9" max="9" width="18.33203125" style="109" customWidth="1"/>
    <col min="10" max="21" width="8.6640625" style="109" hidden="1" customWidth="1" outlineLevel="1"/>
    <col min="22" max="22" width="8.6640625" style="109" customWidth="1" collapsed="1"/>
    <col min="23" max="34" width="8.6640625" style="116" customWidth="1"/>
    <col min="35" max="59" width="8.6640625" style="109" customWidth="1"/>
    <col min="60" max="16384" width="8.1640625" style="109"/>
  </cols>
  <sheetData>
    <row r="1" spans="1:59" s="106" customFormat="1">
      <c r="A1" s="102" t="s">
        <v>77</v>
      </c>
      <c r="B1" s="102" t="s">
        <v>78</v>
      </c>
      <c r="C1" s="102" t="s">
        <v>79</v>
      </c>
      <c r="D1" s="102" t="s">
        <v>80</v>
      </c>
      <c r="E1" s="103" t="s">
        <v>81</v>
      </c>
      <c r="F1" s="103" t="s">
        <v>82</v>
      </c>
      <c r="G1" s="103" t="s">
        <v>83</v>
      </c>
      <c r="H1" s="103" t="s">
        <v>84</v>
      </c>
      <c r="I1" s="104" t="s">
        <v>85</v>
      </c>
      <c r="J1" s="105">
        <v>2001</v>
      </c>
      <c r="K1" s="105">
        <v>2002</v>
      </c>
      <c r="L1" s="105">
        <v>2003</v>
      </c>
      <c r="M1" s="105">
        <v>2004</v>
      </c>
      <c r="N1" s="105">
        <v>2005</v>
      </c>
      <c r="O1" s="105">
        <v>2006</v>
      </c>
      <c r="P1" s="105">
        <v>2007</v>
      </c>
      <c r="Q1" s="105">
        <v>2008</v>
      </c>
      <c r="R1" s="105">
        <v>2009</v>
      </c>
      <c r="S1" s="105">
        <v>2010</v>
      </c>
      <c r="T1" s="105">
        <v>2011</v>
      </c>
      <c r="U1" s="105">
        <v>2012</v>
      </c>
      <c r="V1" s="105">
        <v>2013</v>
      </c>
      <c r="W1" s="105">
        <v>2014</v>
      </c>
      <c r="X1" s="105">
        <v>2015</v>
      </c>
      <c r="Y1" s="105">
        <v>2016</v>
      </c>
      <c r="Z1" s="105">
        <v>2017</v>
      </c>
      <c r="AA1" s="105">
        <v>2018</v>
      </c>
      <c r="AB1" s="105">
        <v>2019</v>
      </c>
      <c r="AC1" s="105">
        <v>2020</v>
      </c>
      <c r="AD1" s="105">
        <v>2021</v>
      </c>
      <c r="AE1" s="105">
        <v>2022</v>
      </c>
      <c r="AF1" s="105">
        <v>2023</v>
      </c>
      <c r="AG1" s="105">
        <v>2024</v>
      </c>
      <c r="AH1" s="105">
        <v>2025</v>
      </c>
      <c r="AI1" s="105">
        <v>2026</v>
      </c>
      <c r="AJ1" s="105">
        <v>2027</v>
      </c>
      <c r="AK1" s="105">
        <v>2028</v>
      </c>
      <c r="AL1" s="105">
        <v>2029</v>
      </c>
      <c r="AM1" s="105">
        <v>2030</v>
      </c>
      <c r="AN1" s="105">
        <v>2031</v>
      </c>
      <c r="AO1" s="105">
        <v>2032</v>
      </c>
      <c r="AP1" s="105">
        <v>2033</v>
      </c>
      <c r="AQ1" s="105">
        <v>2034</v>
      </c>
      <c r="AR1" s="105">
        <v>2035</v>
      </c>
      <c r="AS1" s="105">
        <v>2036</v>
      </c>
      <c r="AT1" s="105">
        <v>2037</v>
      </c>
      <c r="AU1" s="105">
        <v>2038</v>
      </c>
      <c r="AV1" s="105">
        <v>2039</v>
      </c>
      <c r="AW1" s="105">
        <v>2040</v>
      </c>
      <c r="AX1" s="105">
        <v>2041</v>
      </c>
      <c r="AY1" s="105">
        <v>2042</v>
      </c>
      <c r="AZ1" s="105">
        <v>2043</v>
      </c>
      <c r="BA1" s="105">
        <v>2044</v>
      </c>
      <c r="BB1" s="105">
        <v>2045</v>
      </c>
      <c r="BC1" s="105">
        <v>2046</v>
      </c>
      <c r="BD1" s="105">
        <v>2047</v>
      </c>
      <c r="BE1" s="105">
        <v>2048</v>
      </c>
      <c r="BF1" s="105">
        <v>2049</v>
      </c>
      <c r="BG1" s="105">
        <v>2050</v>
      </c>
    </row>
    <row r="2" spans="1:59" ht="13.75" customHeight="1">
      <c r="A2" s="141" t="s">
        <v>86</v>
      </c>
      <c r="B2" s="165"/>
      <c r="C2" s="165"/>
      <c r="D2" s="166" t="s">
        <v>87</v>
      </c>
      <c r="E2" s="167"/>
      <c r="F2" s="168" t="s">
        <v>88</v>
      </c>
      <c r="G2" s="168" t="s">
        <v>3</v>
      </c>
      <c r="H2" s="168" t="s">
        <v>89</v>
      </c>
      <c r="I2" s="168" t="s">
        <v>90</v>
      </c>
      <c r="J2" s="123">
        <v>5.0999999999999934E-2</v>
      </c>
      <c r="K2" s="123">
        <v>4.7000000000000153E-2</v>
      </c>
      <c r="L2" s="123">
        <v>7.2956140639931499E-2</v>
      </c>
      <c r="M2" s="123">
        <v>7.1759330350896766E-2</v>
      </c>
      <c r="N2" s="123">
        <v>6.3764415208960923E-2</v>
      </c>
      <c r="O2" s="123">
        <v>8.1534248215381355E-2</v>
      </c>
      <c r="P2" s="123">
        <v>8.5350329047505724E-2</v>
      </c>
      <c r="Q2" s="123">
        <v>5.24775171028109E-2</v>
      </c>
      <c r="R2" s="123">
        <v>-7.8208582060624976E-2</v>
      </c>
      <c r="S2" s="123">
        <v>4.503713671462295E-2</v>
      </c>
      <c r="T2" s="123">
        <v>4.2643515700841572E-2</v>
      </c>
      <c r="U2" s="107">
        <v>3.6559015730638293E-2</v>
      </c>
      <c r="V2" s="110">
        <v>1.7853545009105715E-2</v>
      </c>
      <c r="W2" s="110">
        <v>7.3860077330101604E-3</v>
      </c>
      <c r="X2" s="107">
        <v>-2.5383167926162287E-2</v>
      </c>
      <c r="Y2" s="107">
        <v>2.8878411599990274E-3</v>
      </c>
      <c r="Z2" s="107">
        <v>1.6468836726949689E-2</v>
      </c>
      <c r="AA2" s="107">
        <v>2.8063408200000025E-2</v>
      </c>
      <c r="AB2" s="108">
        <v>2.0329827399999899E-2</v>
      </c>
      <c r="AC2" s="108">
        <v>-2.6832962200000025E-2</v>
      </c>
      <c r="AD2" s="108">
        <v>5.6142322974481476E-2</v>
      </c>
      <c r="AE2" s="108">
        <v>-2.0696995454377344E-2</v>
      </c>
      <c r="AF2" s="108">
        <v>2.2180927271783307E-2</v>
      </c>
      <c r="AG2" s="108">
        <v>1.1781038725795272E-2</v>
      </c>
      <c r="AH2" s="108">
        <v>9.4168941013002688E-3</v>
      </c>
      <c r="AI2" s="108">
        <v>1.3064326597829145E-2</v>
      </c>
      <c r="AJ2" s="108">
        <v>1.4999999999999999E-2</v>
      </c>
      <c r="AK2" s="108">
        <f t="shared" ref="AK2:BG5" si="0">AJ2</f>
        <v>1.4999999999999999E-2</v>
      </c>
      <c r="AL2" s="108">
        <f t="shared" si="0"/>
        <v>1.4999999999999999E-2</v>
      </c>
      <c r="AM2" s="108">
        <f t="shared" si="0"/>
        <v>1.4999999999999999E-2</v>
      </c>
      <c r="AN2" s="108">
        <f t="shared" si="0"/>
        <v>1.4999999999999999E-2</v>
      </c>
      <c r="AO2" s="108">
        <f t="shared" si="0"/>
        <v>1.4999999999999999E-2</v>
      </c>
      <c r="AP2" s="108">
        <f t="shared" si="0"/>
        <v>1.4999999999999999E-2</v>
      </c>
      <c r="AQ2" s="108">
        <f t="shared" si="0"/>
        <v>1.4999999999999999E-2</v>
      </c>
      <c r="AR2" s="108">
        <f t="shared" si="0"/>
        <v>1.4999999999999999E-2</v>
      </c>
      <c r="AS2" s="108">
        <f t="shared" si="0"/>
        <v>1.4999999999999999E-2</v>
      </c>
      <c r="AT2" s="108">
        <f t="shared" si="0"/>
        <v>1.4999999999999999E-2</v>
      </c>
      <c r="AU2" s="108">
        <f t="shared" si="0"/>
        <v>1.4999999999999999E-2</v>
      </c>
      <c r="AV2" s="108">
        <f t="shared" si="0"/>
        <v>1.4999999999999999E-2</v>
      </c>
      <c r="AW2" s="108">
        <f t="shared" si="0"/>
        <v>1.4999999999999999E-2</v>
      </c>
      <c r="AX2" s="108">
        <f t="shared" si="0"/>
        <v>1.4999999999999999E-2</v>
      </c>
      <c r="AY2" s="108">
        <f t="shared" si="0"/>
        <v>1.4999999999999999E-2</v>
      </c>
      <c r="AZ2" s="108">
        <f t="shared" si="0"/>
        <v>1.4999999999999999E-2</v>
      </c>
      <c r="BA2" s="108">
        <f t="shared" si="0"/>
        <v>1.4999999999999999E-2</v>
      </c>
      <c r="BB2" s="108">
        <f t="shared" si="0"/>
        <v>1.4999999999999999E-2</v>
      </c>
      <c r="BC2" s="108">
        <f t="shared" si="0"/>
        <v>1.4999999999999999E-2</v>
      </c>
      <c r="BD2" s="108">
        <f t="shared" si="0"/>
        <v>1.4999999999999999E-2</v>
      </c>
      <c r="BE2" s="108">
        <f t="shared" si="0"/>
        <v>1.4999999999999999E-2</v>
      </c>
      <c r="BF2" s="108">
        <f t="shared" si="0"/>
        <v>1.4999999999999999E-2</v>
      </c>
      <c r="BG2" s="108">
        <f t="shared" si="0"/>
        <v>1.4999999999999999E-2</v>
      </c>
    </row>
    <row r="3" spans="1:59" ht="13.75" customHeight="1">
      <c r="A3" s="141" t="s">
        <v>86</v>
      </c>
      <c r="B3" s="165"/>
      <c r="C3" s="165"/>
      <c r="D3" s="166" t="s">
        <v>87</v>
      </c>
      <c r="E3" s="167"/>
      <c r="F3" s="168" t="s">
        <v>91</v>
      </c>
      <c r="G3" s="168" t="s">
        <v>3</v>
      </c>
      <c r="H3" s="168"/>
      <c r="I3" s="168" t="s">
        <v>90</v>
      </c>
      <c r="J3" s="123">
        <v>0.18579999999999999</v>
      </c>
      <c r="K3" s="123">
        <v>0.15060000000000001</v>
      </c>
      <c r="L3" s="123">
        <v>0.11989999999999995</v>
      </c>
      <c r="M3" s="123">
        <v>0.11730000000000004</v>
      </c>
      <c r="N3" s="123">
        <v>0.10920000000000002</v>
      </c>
      <c r="O3" s="123">
        <v>0.09</v>
      </c>
      <c r="P3" s="123">
        <v>0.11870000000000004</v>
      </c>
      <c r="Q3" s="123">
        <v>0.1328</v>
      </c>
      <c r="R3" s="123">
        <v>8.7999999999999967E-2</v>
      </c>
      <c r="S3" s="123">
        <v>8.7800000000000017E-2</v>
      </c>
      <c r="T3" s="123">
        <v>6.0999999999999943E-2</v>
      </c>
      <c r="U3" s="107">
        <v>6.6000000000000003E-2</v>
      </c>
      <c r="V3" s="107">
        <v>6.5000000000000002E-2</v>
      </c>
      <c r="W3" s="107">
        <v>0.114</v>
      </c>
      <c r="X3" s="107">
        <v>0.12909999999999999</v>
      </c>
      <c r="Y3" s="107">
        <v>5.4000000000000006E-2</v>
      </c>
      <c r="Z3" s="107">
        <v>2.5000000000000001E-2</v>
      </c>
      <c r="AA3" s="107">
        <v>4.2600000000000054E-2</v>
      </c>
      <c r="AB3" s="107">
        <v>3.0400000000000062E-2</v>
      </c>
      <c r="AC3" s="107">
        <v>4.9099999999999963E-2</v>
      </c>
      <c r="AD3" s="107">
        <v>8.394561758750374E-2</v>
      </c>
      <c r="AE3" s="107">
        <v>0.11923569598633632</v>
      </c>
      <c r="AF3" s="107">
        <v>7.0965337750225954E-2</v>
      </c>
      <c r="AG3" s="107">
        <v>6.3441420107429369E-2</v>
      </c>
      <c r="AH3" s="107">
        <v>3.158962342501126E-2</v>
      </c>
      <c r="AI3" s="107">
        <v>3.966564408166029E-2</v>
      </c>
      <c r="AJ3" s="107">
        <v>0.04</v>
      </c>
      <c r="AK3" s="107">
        <f t="shared" si="0"/>
        <v>0.04</v>
      </c>
      <c r="AL3" s="107">
        <f t="shared" si="0"/>
        <v>0.04</v>
      </c>
      <c r="AM3" s="107">
        <f t="shared" si="0"/>
        <v>0.04</v>
      </c>
      <c r="AN3" s="107">
        <f t="shared" si="0"/>
        <v>0.04</v>
      </c>
      <c r="AO3" s="107">
        <f t="shared" si="0"/>
        <v>0.04</v>
      </c>
      <c r="AP3" s="107">
        <f t="shared" si="0"/>
        <v>0.04</v>
      </c>
      <c r="AQ3" s="107">
        <f t="shared" si="0"/>
        <v>0.04</v>
      </c>
      <c r="AR3" s="107">
        <f t="shared" si="0"/>
        <v>0.04</v>
      </c>
      <c r="AS3" s="107">
        <f t="shared" si="0"/>
        <v>0.04</v>
      </c>
      <c r="AT3" s="107">
        <f t="shared" si="0"/>
        <v>0.04</v>
      </c>
      <c r="AU3" s="107">
        <f t="shared" si="0"/>
        <v>0.04</v>
      </c>
      <c r="AV3" s="107">
        <f t="shared" si="0"/>
        <v>0.04</v>
      </c>
      <c r="AW3" s="107">
        <f t="shared" si="0"/>
        <v>0.04</v>
      </c>
      <c r="AX3" s="107">
        <f t="shared" si="0"/>
        <v>0.04</v>
      </c>
      <c r="AY3" s="107">
        <f t="shared" si="0"/>
        <v>0.04</v>
      </c>
      <c r="AZ3" s="107">
        <f t="shared" si="0"/>
        <v>0.04</v>
      </c>
      <c r="BA3" s="107">
        <f t="shared" si="0"/>
        <v>0.04</v>
      </c>
      <c r="BB3" s="107">
        <f t="shared" si="0"/>
        <v>0.04</v>
      </c>
      <c r="BC3" s="107">
        <f t="shared" si="0"/>
        <v>0.04</v>
      </c>
      <c r="BD3" s="107">
        <f t="shared" si="0"/>
        <v>0.04</v>
      </c>
      <c r="BE3" s="107">
        <f t="shared" si="0"/>
        <v>0.04</v>
      </c>
      <c r="BF3" s="107">
        <f t="shared" si="0"/>
        <v>0.04</v>
      </c>
      <c r="BG3" s="107">
        <f t="shared" si="0"/>
        <v>0.04</v>
      </c>
    </row>
    <row r="4" spans="1:59" ht="13.75" customHeight="1">
      <c r="A4" s="141" t="s">
        <v>86</v>
      </c>
      <c r="B4" s="165"/>
      <c r="C4" s="165"/>
      <c r="D4" s="165" t="s">
        <v>92</v>
      </c>
      <c r="E4" s="167"/>
      <c r="F4" s="168" t="s">
        <v>93</v>
      </c>
      <c r="G4" s="168" t="s">
        <v>3</v>
      </c>
      <c r="H4" s="168"/>
      <c r="I4" s="168" t="s">
        <v>94</v>
      </c>
      <c r="J4" s="123">
        <v>1.7242899999999999E-2</v>
      </c>
      <c r="K4" s="123">
        <v>1.72766E-2</v>
      </c>
      <c r="L4" s="123">
        <v>1.4146700000000002E-2</v>
      </c>
      <c r="M4" s="123">
        <v>2.1474000000000004E-2</v>
      </c>
      <c r="N4" s="123">
        <v>2.1996399999999999E-2</v>
      </c>
      <c r="O4" s="123">
        <v>2.2229200000000001E-2</v>
      </c>
      <c r="P4" s="123">
        <v>2.3346800000000001E-2</v>
      </c>
      <c r="Q4" s="123">
        <v>1.35128E-2</v>
      </c>
      <c r="R4" s="123">
        <v>1.6155599999999999E-2</v>
      </c>
      <c r="S4" s="123">
        <v>9.0210999999999989E-3</v>
      </c>
      <c r="T4" s="123">
        <v>2.0582600000000003E-2</v>
      </c>
      <c r="U4" s="110">
        <v>1.71363E-2</v>
      </c>
      <c r="V4" s="110">
        <v>1.6330999999999998E-2</v>
      </c>
      <c r="W4" s="110">
        <v>1.46123E-2</v>
      </c>
      <c r="X4" s="107">
        <v>1.2523400000000001E-2</v>
      </c>
      <c r="Y4" s="107">
        <v>1.85337E-2</v>
      </c>
      <c r="Z4" s="107">
        <v>1.6384200000000002E-2</v>
      </c>
      <c r="AA4" s="110">
        <v>1.9E-2</v>
      </c>
      <c r="AB4" s="110">
        <v>2.3E-2</v>
      </c>
      <c r="AC4" s="110">
        <v>1.4E-2</v>
      </c>
      <c r="AD4" s="107">
        <v>7.0965239828017848E-2</v>
      </c>
      <c r="AE4" s="110">
        <v>6.5000000000000002E-2</v>
      </c>
      <c r="AF4" s="110">
        <v>3.1843454310135098E-2</v>
      </c>
      <c r="AG4" s="110">
        <v>2.05918250055575E-2</v>
      </c>
      <c r="AH4" s="110">
        <v>2.0591825005557101E-2</v>
      </c>
      <c r="AI4" s="110">
        <v>2.0591825005557202E-2</v>
      </c>
      <c r="AJ4" s="110">
        <v>0.02</v>
      </c>
      <c r="AK4" s="110">
        <v>0.02</v>
      </c>
      <c r="AL4" s="110">
        <v>0.02</v>
      </c>
      <c r="AM4" s="110">
        <v>0.02</v>
      </c>
      <c r="AN4" s="110">
        <v>0.02</v>
      </c>
      <c r="AO4" s="110">
        <v>0.02</v>
      </c>
      <c r="AP4" s="110">
        <v>0.02</v>
      </c>
      <c r="AQ4" s="110">
        <v>0.02</v>
      </c>
      <c r="AR4" s="110">
        <v>0.02</v>
      </c>
      <c r="AS4" s="110">
        <v>0.02</v>
      </c>
      <c r="AT4" s="110">
        <v>0.02</v>
      </c>
      <c r="AU4" s="110">
        <v>0.02</v>
      </c>
      <c r="AV4" s="110">
        <v>0.02</v>
      </c>
      <c r="AW4" s="110">
        <v>0.02</v>
      </c>
      <c r="AX4" s="110">
        <v>0.02</v>
      </c>
      <c r="AY4" s="110">
        <v>0.02</v>
      </c>
      <c r="AZ4" s="110">
        <v>0.02</v>
      </c>
      <c r="BA4" s="110">
        <v>0.02</v>
      </c>
      <c r="BB4" s="110">
        <v>0.02</v>
      </c>
      <c r="BC4" s="110">
        <f>BB4</f>
        <v>0.02</v>
      </c>
      <c r="BD4" s="110">
        <f t="shared" si="0"/>
        <v>0.02</v>
      </c>
      <c r="BE4" s="110">
        <f t="shared" si="0"/>
        <v>0.02</v>
      </c>
      <c r="BF4" s="110">
        <f t="shared" si="0"/>
        <v>0.02</v>
      </c>
      <c r="BG4" s="110">
        <f t="shared" si="0"/>
        <v>0.02</v>
      </c>
    </row>
    <row r="5" spans="1:59" ht="13.75" customHeight="1">
      <c r="A5" s="141" t="s">
        <v>86</v>
      </c>
      <c r="B5" s="165"/>
      <c r="C5" s="165"/>
      <c r="D5" s="166" t="s">
        <v>87</v>
      </c>
      <c r="E5" s="167"/>
      <c r="F5" s="168" t="s">
        <v>95</v>
      </c>
      <c r="G5" s="168" t="s">
        <v>3</v>
      </c>
      <c r="H5" s="168"/>
      <c r="I5" s="168" t="s">
        <v>90</v>
      </c>
      <c r="J5" s="123">
        <v>8.3299999999999985E-2</v>
      </c>
      <c r="K5" s="123">
        <v>0.17650000000000005</v>
      </c>
      <c r="L5" s="123">
        <v>0.12540000000000007</v>
      </c>
      <c r="M5" s="123">
        <v>0.28830000000000011</v>
      </c>
      <c r="N5" s="123">
        <v>0.13349999999999995</v>
      </c>
      <c r="O5" s="123">
        <v>0.10370000000000004</v>
      </c>
      <c r="P5" s="123">
        <v>0.25069999999999992</v>
      </c>
      <c r="Q5" s="123">
        <v>-7.0000000000000007E-2</v>
      </c>
      <c r="R5" s="123">
        <v>0.13849999999999996</v>
      </c>
      <c r="S5" s="123">
        <v>0.16659999999999997</v>
      </c>
      <c r="T5" s="123">
        <v>0.12010000000000005</v>
      </c>
      <c r="U5" s="107">
        <v>5.0999999999999997E-2</v>
      </c>
      <c r="V5" s="107">
        <v>3.4599999999999964E-2</v>
      </c>
      <c r="W5" s="107">
        <v>6.2799999999999967E-2</v>
      </c>
      <c r="X5" s="107">
        <v>0.12139999999999995</v>
      </c>
      <c r="Y5" s="107">
        <v>7.4500000000000011E-2</v>
      </c>
      <c r="Z5" s="107">
        <v>8.3699999999999997E-2</v>
      </c>
      <c r="AA5" s="107">
        <v>0.11709999999999994</v>
      </c>
      <c r="AB5" s="107">
        <v>-4.2600000000000054E-2</v>
      </c>
      <c r="AC5" s="107">
        <v>3.5600000000000021E-2</v>
      </c>
      <c r="AD5" s="107">
        <v>0.28520000000000012</v>
      </c>
      <c r="AE5" s="107">
        <v>-3.2999999999999974E-2</v>
      </c>
      <c r="AF5" s="107">
        <v>0.23133026259058975</v>
      </c>
      <c r="AG5" s="107">
        <v>1.4501784431709464E-2</v>
      </c>
      <c r="AH5" s="107">
        <v>2.1269903570611204E-2</v>
      </c>
      <c r="AI5" s="107">
        <v>3.6386717703610794E-2</v>
      </c>
      <c r="AJ5" s="107">
        <v>0.04</v>
      </c>
      <c r="AK5" s="107">
        <f t="shared" ref="AK5:BB5" si="1">AJ5</f>
        <v>0.04</v>
      </c>
      <c r="AL5" s="107">
        <f t="shared" si="1"/>
        <v>0.04</v>
      </c>
      <c r="AM5" s="107">
        <f t="shared" si="1"/>
        <v>0.04</v>
      </c>
      <c r="AN5" s="107">
        <f t="shared" si="1"/>
        <v>0.04</v>
      </c>
      <c r="AO5" s="107">
        <f t="shared" si="1"/>
        <v>0.04</v>
      </c>
      <c r="AP5" s="107">
        <f t="shared" si="1"/>
        <v>0.04</v>
      </c>
      <c r="AQ5" s="107">
        <f t="shared" si="1"/>
        <v>0.04</v>
      </c>
      <c r="AR5" s="107">
        <f t="shared" si="1"/>
        <v>0.04</v>
      </c>
      <c r="AS5" s="107">
        <f t="shared" si="1"/>
        <v>0.04</v>
      </c>
      <c r="AT5" s="107">
        <f t="shared" si="1"/>
        <v>0.04</v>
      </c>
      <c r="AU5" s="107">
        <f t="shared" si="1"/>
        <v>0.04</v>
      </c>
      <c r="AV5" s="107">
        <f t="shared" si="1"/>
        <v>0.04</v>
      </c>
      <c r="AW5" s="107">
        <f t="shared" si="1"/>
        <v>0.04</v>
      </c>
      <c r="AX5" s="107">
        <f t="shared" si="1"/>
        <v>0.04</v>
      </c>
      <c r="AY5" s="107">
        <f t="shared" si="1"/>
        <v>0.04</v>
      </c>
      <c r="AZ5" s="107">
        <f t="shared" si="1"/>
        <v>0.04</v>
      </c>
      <c r="BA5" s="107">
        <f t="shared" si="1"/>
        <v>0.04</v>
      </c>
      <c r="BB5" s="107">
        <f t="shared" si="1"/>
        <v>0.04</v>
      </c>
      <c r="BC5" s="107">
        <f>BB5</f>
        <v>0.04</v>
      </c>
      <c r="BD5" s="107">
        <f t="shared" si="0"/>
        <v>0.04</v>
      </c>
      <c r="BE5" s="107">
        <f t="shared" si="0"/>
        <v>0.04</v>
      </c>
      <c r="BF5" s="107">
        <f t="shared" si="0"/>
        <v>0.04</v>
      </c>
      <c r="BG5" s="107">
        <f t="shared" si="0"/>
        <v>0.04</v>
      </c>
    </row>
    <row r="6" spans="1:59" ht="13.75" customHeight="1">
      <c r="A6" s="141" t="s">
        <v>86</v>
      </c>
      <c r="B6" s="165"/>
      <c r="C6" s="165"/>
      <c r="D6" s="166" t="s">
        <v>87</v>
      </c>
      <c r="E6" s="167"/>
      <c r="F6" s="168" t="s">
        <v>96</v>
      </c>
      <c r="G6" s="168" t="s">
        <v>3</v>
      </c>
      <c r="H6" s="168"/>
      <c r="I6" s="169" t="s">
        <v>97</v>
      </c>
      <c r="J6" s="123">
        <v>0.16489519347599996</v>
      </c>
      <c r="K6" s="123">
        <v>0.15613926203768627</v>
      </c>
      <c r="L6" s="123">
        <v>0.13780061468851998</v>
      </c>
      <c r="M6" s="123">
        <v>0.2028207692821789</v>
      </c>
      <c r="N6" s="123">
        <v>0.19306094835868493</v>
      </c>
      <c r="O6" s="123">
        <v>0.15170047105096246</v>
      </c>
      <c r="P6" s="123">
        <v>0.13804420679740631</v>
      </c>
      <c r="Q6" s="123">
        <v>0.17959714037318933</v>
      </c>
      <c r="R6" s="123">
        <v>1.9937228232017646E-2</v>
      </c>
      <c r="S6" s="123">
        <v>0.14187038581354486</v>
      </c>
      <c r="T6" s="123">
        <v>0.15914447600206813</v>
      </c>
      <c r="U6" s="107">
        <v>7.3999999999999996E-2</v>
      </c>
      <c r="V6" s="107">
        <v>0.05</v>
      </c>
      <c r="W6" s="107">
        <v>8.8999999999999996E-2</v>
      </c>
      <c r="X6" s="107">
        <v>7.9000000000000001E-2</v>
      </c>
      <c r="Y6" s="107">
        <v>3.5158922314520946E-2</v>
      </c>
      <c r="Z6" s="107">
        <v>4.4000000000000004E-2</v>
      </c>
      <c r="AA6" s="107">
        <v>9.9989475800000061E-2</v>
      </c>
      <c r="AB6" s="107">
        <v>3.0841738400000054E-2</v>
      </c>
      <c r="AC6" s="107">
        <v>9.0000000000000011E-3</v>
      </c>
      <c r="AD6" s="107">
        <v>0.19</v>
      </c>
      <c r="AE6" s="107">
        <v>0.15799999999999997</v>
      </c>
      <c r="AF6" s="107">
        <v>6.4881731180328903E-2</v>
      </c>
      <c r="AG6" s="107">
        <v>7.5871884792882649E-2</v>
      </c>
      <c r="AH6" s="107">
        <v>3.2000000000000001E-2</v>
      </c>
      <c r="AI6" s="107">
        <v>3.5000000000000003E-2</v>
      </c>
      <c r="AJ6" s="107">
        <f>0.8*AJ3+0.2*AJ5</f>
        <v>0.04</v>
      </c>
      <c r="AK6" s="107">
        <f t="shared" ref="AK6:AX6" si="2">0.8*AK3+0.2*AK5</f>
        <v>0.04</v>
      </c>
      <c r="AL6" s="107">
        <f t="shared" si="2"/>
        <v>0.04</v>
      </c>
      <c r="AM6" s="107">
        <f t="shared" si="2"/>
        <v>0.04</v>
      </c>
      <c r="AN6" s="107">
        <f t="shared" si="2"/>
        <v>0.04</v>
      </c>
      <c r="AO6" s="107">
        <f t="shared" si="2"/>
        <v>0.04</v>
      </c>
      <c r="AP6" s="107">
        <f t="shared" si="2"/>
        <v>0.04</v>
      </c>
      <c r="AQ6" s="107">
        <f>0.8*AQ3+0.2*AQ5</f>
        <v>0.04</v>
      </c>
      <c r="AR6" s="107">
        <f t="shared" si="2"/>
        <v>0.04</v>
      </c>
      <c r="AS6" s="107">
        <f t="shared" si="2"/>
        <v>0.04</v>
      </c>
      <c r="AT6" s="107">
        <f t="shared" si="2"/>
        <v>0.04</v>
      </c>
      <c r="AU6" s="107">
        <f>0.8*AU3+0.2*AU5</f>
        <v>0.04</v>
      </c>
      <c r="AV6" s="107">
        <f>0.8*AV3+0.2*AV5</f>
        <v>0.04</v>
      </c>
      <c r="AW6" s="107">
        <f t="shared" si="2"/>
        <v>0.04</v>
      </c>
      <c r="AX6" s="107">
        <f t="shared" si="2"/>
        <v>0.04</v>
      </c>
      <c r="AY6" s="107">
        <f>0.8*AY3+0.2*AY5</f>
        <v>0.04</v>
      </c>
      <c r="AZ6" s="107">
        <f t="shared" ref="AZ6" si="3">0.8*AZ3+0.2*AZ5</f>
        <v>0.04</v>
      </c>
      <c r="BA6" s="107">
        <f>0.8*BA3+0.2*BA5</f>
        <v>0.04</v>
      </c>
      <c r="BB6" s="107">
        <f>0.8*BB3+0.2*BB5</f>
        <v>0.04</v>
      </c>
      <c r="BC6" s="107">
        <f>0.8*BC3+0.2*BC5</f>
        <v>0.04</v>
      </c>
      <c r="BD6" s="107">
        <f t="shared" ref="BD6:BG6" si="4">0.8*BD3+0.2*BD5</f>
        <v>0.04</v>
      </c>
      <c r="BE6" s="107">
        <f t="shared" si="4"/>
        <v>0.04</v>
      </c>
      <c r="BF6" s="107">
        <f t="shared" si="4"/>
        <v>0.04</v>
      </c>
      <c r="BG6" s="107">
        <f t="shared" si="4"/>
        <v>0.04</v>
      </c>
    </row>
    <row r="7" spans="1:59" ht="13.75" customHeight="1">
      <c r="A7" s="141" t="s">
        <v>86</v>
      </c>
      <c r="B7" s="165"/>
      <c r="C7" s="165"/>
      <c r="D7" s="170" t="s">
        <v>98</v>
      </c>
      <c r="E7" s="167"/>
      <c r="F7" s="168" t="s">
        <v>99</v>
      </c>
      <c r="G7" s="168" t="s">
        <v>100</v>
      </c>
      <c r="H7" s="168"/>
      <c r="I7" s="168" t="s">
        <v>101</v>
      </c>
      <c r="J7" s="147">
        <v>30.14</v>
      </c>
      <c r="K7" s="147">
        <v>31.78</v>
      </c>
      <c r="L7" s="147">
        <v>29.45</v>
      </c>
      <c r="M7" s="147">
        <v>27.75</v>
      </c>
      <c r="N7" s="147">
        <v>28.78</v>
      </c>
      <c r="O7" s="147">
        <v>26.33</v>
      </c>
      <c r="P7" s="147">
        <v>24.55</v>
      </c>
      <c r="Q7" s="147">
        <v>29.38</v>
      </c>
      <c r="R7" s="147">
        <v>30.24</v>
      </c>
      <c r="S7" s="147">
        <v>30.48</v>
      </c>
      <c r="T7" s="147">
        <v>32.200000000000003</v>
      </c>
      <c r="U7" s="111">
        <v>30.37</v>
      </c>
      <c r="V7" s="111">
        <v>32.729999999999997</v>
      </c>
      <c r="W7" s="111">
        <v>56.26</v>
      </c>
      <c r="X7" s="140">
        <v>72.8827</v>
      </c>
      <c r="Y7" s="111">
        <v>60.6569</v>
      </c>
      <c r="Z7" s="111">
        <v>57.600200000000001</v>
      </c>
      <c r="AA7" s="111">
        <v>69.470600000000005</v>
      </c>
      <c r="AB7" s="111">
        <v>61.905700000000003</v>
      </c>
      <c r="AC7" s="111">
        <v>73.875699999999995</v>
      </c>
      <c r="AD7" s="111">
        <v>74.292599999999993</v>
      </c>
      <c r="AE7" s="111">
        <v>70.337500000000006</v>
      </c>
      <c r="AF7" s="111">
        <v>89</v>
      </c>
      <c r="AG7" s="111">
        <v>89.839999999999918</v>
      </c>
      <c r="AH7" s="111">
        <v>91.03999999999985</v>
      </c>
      <c r="AI7" s="111">
        <v>92.239999999999782</v>
      </c>
      <c r="AJ7" s="111">
        <f t="shared" ref="AJ7:AW7" si="5">AJ14</f>
        <v>95.563799999999816</v>
      </c>
      <c r="AK7" s="111">
        <f t="shared" si="5"/>
        <v>97.475075999999817</v>
      </c>
      <c r="AL7" s="111">
        <f t="shared" si="5"/>
        <v>99.424577519999815</v>
      </c>
      <c r="AM7" s="111">
        <f>AM14</f>
        <v>101.41306907039981</v>
      </c>
      <c r="AN7" s="111">
        <f>AN14</f>
        <v>103.44133045180781</v>
      </c>
      <c r="AO7" s="111">
        <f>AO14</f>
        <v>105.51015706084398</v>
      </c>
      <c r="AP7" s="111">
        <f>AP14</f>
        <v>107.62036020206087</v>
      </c>
      <c r="AQ7" s="111">
        <f>AQ14</f>
        <v>109.77276740610209</v>
      </c>
      <c r="AR7" s="111">
        <f t="shared" si="5"/>
        <v>111.96822275422413</v>
      </c>
      <c r="AS7" s="111">
        <f t="shared" si="5"/>
        <v>114.20758720930861</v>
      </c>
      <c r="AT7" s="111">
        <f t="shared" si="5"/>
        <v>116.49173895349479</v>
      </c>
      <c r="AU7" s="111">
        <f t="shared" si="5"/>
        <v>118.82157373256469</v>
      </c>
      <c r="AV7" s="111">
        <f>AV14</f>
        <v>121.19800520721599</v>
      </c>
      <c r="AW7" s="111">
        <f t="shared" si="5"/>
        <v>123.62196531136031</v>
      </c>
      <c r="AX7" s="111">
        <f>AX14</f>
        <v>126.09440461758751</v>
      </c>
      <c r="AY7" s="111">
        <f>AY14</f>
        <v>128.61629270993927</v>
      </c>
      <c r="AZ7" s="111">
        <f>AZ14</f>
        <v>131.18861856413807</v>
      </c>
      <c r="BA7" s="111">
        <f>BA14</f>
        <v>133.81239093542084</v>
      </c>
      <c r="BB7" s="111">
        <f>BB14</f>
        <v>136.48863875412925</v>
      </c>
      <c r="BC7" s="111">
        <f t="shared" ref="BC7:BG7" si="6">BC14</f>
        <v>139.21841152921183</v>
      </c>
      <c r="BD7" s="111">
        <f t="shared" si="6"/>
        <v>142.00277975979608</v>
      </c>
      <c r="BE7" s="111">
        <f t="shared" si="6"/>
        <v>144.84283535499202</v>
      </c>
      <c r="BF7" s="111">
        <f t="shared" si="6"/>
        <v>147.73969206209185</v>
      </c>
      <c r="BG7" s="111">
        <f t="shared" si="6"/>
        <v>150.69448590333369</v>
      </c>
    </row>
    <row r="8" spans="1:59" ht="13.75" customHeight="1">
      <c r="A8" s="141" t="s">
        <v>86</v>
      </c>
      <c r="B8" s="165"/>
      <c r="C8" s="165"/>
      <c r="D8" s="170" t="s">
        <v>98</v>
      </c>
      <c r="E8" s="167"/>
      <c r="F8" s="168" t="s">
        <v>102</v>
      </c>
      <c r="G8" s="168" t="s">
        <v>103</v>
      </c>
      <c r="H8" s="168"/>
      <c r="I8" s="168" t="s">
        <v>104</v>
      </c>
      <c r="J8" s="147">
        <v>26.49</v>
      </c>
      <c r="K8" s="147">
        <v>33.11</v>
      </c>
      <c r="L8" s="147">
        <v>36.82</v>
      </c>
      <c r="M8" s="147">
        <v>37.81</v>
      </c>
      <c r="N8" s="147">
        <v>34.19</v>
      </c>
      <c r="O8" s="147">
        <v>34.700000000000003</v>
      </c>
      <c r="P8" s="147">
        <v>35.93</v>
      </c>
      <c r="Q8" s="147">
        <v>41.44</v>
      </c>
      <c r="R8" s="147">
        <v>43.39</v>
      </c>
      <c r="S8" s="147">
        <v>40.33</v>
      </c>
      <c r="T8" s="147">
        <v>41.67</v>
      </c>
      <c r="U8" s="111">
        <v>40.229999999999997</v>
      </c>
      <c r="V8" s="111">
        <v>44.97</v>
      </c>
      <c r="W8" s="111">
        <v>68.34</v>
      </c>
      <c r="X8" s="107">
        <v>79.56</v>
      </c>
      <c r="Y8" s="111">
        <v>63.811100000000003</v>
      </c>
      <c r="Z8" s="111">
        <v>68.866799999999998</v>
      </c>
      <c r="AA8" s="111">
        <v>79.460499999999996</v>
      </c>
      <c r="AB8" s="111">
        <v>69.340599999999995</v>
      </c>
      <c r="AC8" s="111">
        <v>90.682400000000001</v>
      </c>
      <c r="AD8" s="111">
        <v>84.069500000000005</v>
      </c>
      <c r="AE8" s="111">
        <v>75.655299999999997</v>
      </c>
      <c r="AF8" s="111">
        <f>AF7*AF36</f>
        <v>95.948114210468574</v>
      </c>
      <c r="AG8" s="111">
        <f t="shared" ref="AG8:AL8" si="7">AG7*AG36</f>
        <v>96.577999999999932</v>
      </c>
      <c r="AH8" s="111">
        <f t="shared" si="7"/>
        <v>98.323199999999844</v>
      </c>
      <c r="AI8" s="111">
        <f>AI7*AI36</f>
        <v>99.619199999999765</v>
      </c>
      <c r="AJ8" s="111">
        <f t="shared" si="7"/>
        <v>103.20890399999981</v>
      </c>
      <c r="AK8" s="111">
        <f t="shared" si="7"/>
        <v>105.27308207999981</v>
      </c>
      <c r="AL8" s="111">
        <f t="shared" si="7"/>
        <v>107.37854372159981</v>
      </c>
      <c r="AM8" s="111">
        <f>AM7*AM36</f>
        <v>109.5261145960318</v>
      </c>
      <c r="AN8" s="111">
        <f>AN7*AN36</f>
        <v>111.71663688795245</v>
      </c>
      <c r="AO8" s="111">
        <f>AO7*AO36</f>
        <v>113.95096962571151</v>
      </c>
      <c r="AP8" s="111">
        <f t="shared" ref="AP8:AX8" si="8">AP7*AP36</f>
        <v>116.22998901822574</v>
      </c>
      <c r="AQ8" s="111">
        <f t="shared" si="8"/>
        <v>118.55458879859026</v>
      </c>
      <c r="AR8" s="111">
        <f t="shared" si="8"/>
        <v>120.92568057456207</v>
      </c>
      <c r="AS8" s="111">
        <f t="shared" si="8"/>
        <v>123.34419418605331</v>
      </c>
      <c r="AT8" s="111">
        <f t="shared" si="8"/>
        <v>125.81107806977438</v>
      </c>
      <c r="AU8" s="111">
        <f t="shared" si="8"/>
        <v>128.32729963116986</v>
      </c>
      <c r="AV8" s="111">
        <f t="shared" si="8"/>
        <v>130.89384562379328</v>
      </c>
      <c r="AW8" s="111">
        <f t="shared" si="8"/>
        <v>133.51172253626913</v>
      </c>
      <c r="AX8" s="111">
        <f t="shared" si="8"/>
        <v>136.18195698699452</v>
      </c>
      <c r="AY8" s="111">
        <f>AY7*AY36</f>
        <v>138.90559612673442</v>
      </c>
      <c r="AZ8" s="111">
        <f>AZ7*AZ36</f>
        <v>141.68370804926911</v>
      </c>
      <c r="BA8" s="111">
        <f>BA7*BA36</f>
        <v>144.51738221025451</v>
      </c>
      <c r="BB8" s="111">
        <f>BB7*BB36</f>
        <v>147.4077298544596</v>
      </c>
      <c r="BC8" s="111">
        <f t="shared" ref="BC8:BG8" si="9">BC7*BC36</f>
        <v>150.3558844515488</v>
      </c>
      <c r="BD8" s="111">
        <f t="shared" si="9"/>
        <v>153.36300214057979</v>
      </c>
      <c r="BE8" s="111">
        <f t="shared" si="9"/>
        <v>156.43026218339139</v>
      </c>
      <c r="BF8" s="111">
        <f t="shared" si="9"/>
        <v>159.5588674270592</v>
      </c>
      <c r="BG8" s="111">
        <f t="shared" si="9"/>
        <v>162.7500447756004</v>
      </c>
    </row>
    <row r="9" spans="1:59" ht="13.75" customHeight="1">
      <c r="A9" s="141" t="s">
        <v>86</v>
      </c>
      <c r="B9" s="165"/>
      <c r="C9" s="165"/>
      <c r="D9" s="166" t="s">
        <v>87</v>
      </c>
      <c r="E9" s="167"/>
      <c r="F9" s="168" t="s">
        <v>105</v>
      </c>
      <c r="G9" s="168" t="s">
        <v>3</v>
      </c>
      <c r="H9" s="168"/>
      <c r="I9" s="168" t="s">
        <v>90</v>
      </c>
      <c r="J9" s="123">
        <v>8.7000000000000022E-2</v>
      </c>
      <c r="K9" s="123">
        <v>0.11099999999999995</v>
      </c>
      <c r="L9" s="123">
        <v>0.15</v>
      </c>
      <c r="M9" s="123">
        <v>0.10400000000000005</v>
      </c>
      <c r="N9" s="123">
        <v>0.12400000000000005</v>
      </c>
      <c r="O9" s="123">
        <v>0.13500000000000001</v>
      </c>
      <c r="P9" s="123">
        <v>0.12099999999999994</v>
      </c>
      <c r="Q9" s="123">
        <v>2.4000000000000056E-2</v>
      </c>
      <c r="R9" s="123">
        <v>0.03</v>
      </c>
      <c r="S9" s="123">
        <v>5.9000000000000059E-2</v>
      </c>
      <c r="T9" s="123">
        <v>5.0000000000000001E-3</v>
      </c>
      <c r="U9" s="107">
        <v>5.8000000000000003E-2</v>
      </c>
      <c r="V9" s="107">
        <v>4.8000000000000001E-2</v>
      </c>
      <c r="W9" s="107">
        <v>-1.2000000000000028E-2</v>
      </c>
      <c r="X9" s="107">
        <v>-2.4000000000000056E-2</v>
      </c>
      <c r="Y9" s="107">
        <v>-4.4999999999999998E-2</v>
      </c>
      <c r="Z9" s="107">
        <v>-5.0000000000000001E-3</v>
      </c>
      <c r="AA9" s="107">
        <v>7.9999999999998291E-4</v>
      </c>
      <c r="AB9" s="107">
        <v>9.0250000000000347E-3</v>
      </c>
      <c r="AC9" s="107">
        <v>-1.9749999999999979E-2</v>
      </c>
      <c r="AD9" s="107">
        <v>3.0790398424308384E-2</v>
      </c>
      <c r="AE9" s="107">
        <v>-9.4520199691621159E-3</v>
      </c>
      <c r="AF9" s="107">
        <v>4.4452944161055614E-2</v>
      </c>
      <c r="AG9" s="107">
        <v>6.2427696191460959E-3</v>
      </c>
      <c r="AH9" s="107">
        <v>9.4875358147902579E-3</v>
      </c>
      <c r="AI9" s="107">
        <v>1.2054108080999673E-2</v>
      </c>
      <c r="AJ9" s="107">
        <f>AI9</f>
        <v>1.2054108080999673E-2</v>
      </c>
      <c r="AK9" s="107">
        <f t="shared" ref="AK9:AZ10" si="10">AJ9</f>
        <v>1.2054108080999673E-2</v>
      </c>
      <c r="AL9" s="107">
        <f t="shared" si="10"/>
        <v>1.2054108080999673E-2</v>
      </c>
      <c r="AM9" s="107">
        <f t="shared" si="10"/>
        <v>1.2054108080999673E-2</v>
      </c>
      <c r="AN9" s="107">
        <f>AM9</f>
        <v>1.2054108080999673E-2</v>
      </c>
      <c r="AO9" s="107">
        <f>AN9</f>
        <v>1.2054108080999673E-2</v>
      </c>
      <c r="AP9" s="107">
        <f t="shared" si="10"/>
        <v>1.2054108080999673E-2</v>
      </c>
      <c r="AQ9" s="107">
        <f>AP9</f>
        <v>1.2054108080999673E-2</v>
      </c>
      <c r="AR9" s="107">
        <f>AQ9</f>
        <v>1.2054108080999673E-2</v>
      </c>
      <c r="AS9" s="107">
        <f t="shared" si="10"/>
        <v>1.2054108080999673E-2</v>
      </c>
      <c r="AT9" s="107">
        <f t="shared" si="10"/>
        <v>1.2054108080999673E-2</v>
      </c>
      <c r="AU9" s="107">
        <f t="shared" si="10"/>
        <v>1.2054108080999673E-2</v>
      </c>
      <c r="AV9" s="107">
        <f t="shared" si="10"/>
        <v>1.2054108080999673E-2</v>
      </c>
      <c r="AW9" s="107">
        <f t="shared" si="10"/>
        <v>1.2054108080999673E-2</v>
      </c>
      <c r="AX9" s="107">
        <f t="shared" si="10"/>
        <v>1.2054108080999673E-2</v>
      </c>
      <c r="AY9" s="107">
        <f t="shared" si="10"/>
        <v>1.2054108080999673E-2</v>
      </c>
      <c r="AZ9" s="107">
        <f t="shared" si="10"/>
        <v>1.2054108080999673E-2</v>
      </c>
      <c r="BA9" s="107">
        <f t="shared" ref="AY9:BG10" si="11">AZ9</f>
        <v>1.2054108080999673E-2</v>
      </c>
      <c r="BB9" s="107">
        <f t="shared" si="11"/>
        <v>1.2054108080999673E-2</v>
      </c>
      <c r="BC9" s="107">
        <f t="shared" si="11"/>
        <v>1.2054108080999673E-2</v>
      </c>
      <c r="BD9" s="107">
        <f t="shared" si="11"/>
        <v>1.2054108080999673E-2</v>
      </c>
      <c r="BE9" s="107">
        <f t="shared" si="11"/>
        <v>1.2054108080999673E-2</v>
      </c>
      <c r="BF9" s="107">
        <f t="shared" si="11"/>
        <v>1.2054108080999673E-2</v>
      </c>
      <c r="BG9" s="107">
        <f t="shared" si="11"/>
        <v>1.2054108080999673E-2</v>
      </c>
    </row>
    <row r="10" spans="1:59" ht="13.75" customHeight="1">
      <c r="A10" s="141" t="s">
        <v>86</v>
      </c>
      <c r="B10" s="165"/>
      <c r="C10" s="165"/>
      <c r="D10" s="166" t="s">
        <v>87</v>
      </c>
      <c r="E10" s="167"/>
      <c r="F10" s="168" t="s">
        <v>106</v>
      </c>
      <c r="G10" s="168" t="s">
        <v>3</v>
      </c>
      <c r="H10" s="168"/>
      <c r="I10" s="168" t="s">
        <v>107</v>
      </c>
      <c r="J10" s="123">
        <v>1.8812499999999999E-2</v>
      </c>
      <c r="K10" s="123">
        <v>1.38E-2</v>
      </c>
      <c r="L10" s="123">
        <v>1.1518800000000001E-2</v>
      </c>
      <c r="M10" s="123">
        <v>2.5643799999999998E-2</v>
      </c>
      <c r="N10" s="123">
        <v>4.53625E-2</v>
      </c>
      <c r="O10" s="123">
        <v>5.3600000000000002E-2</v>
      </c>
      <c r="P10" s="123">
        <v>4.7024999999999997E-2</v>
      </c>
      <c r="Q10" s="123">
        <v>1.4250000000000001E-2</v>
      </c>
      <c r="R10" s="123">
        <v>2.5063000000000004E-3</v>
      </c>
      <c r="S10" s="123">
        <v>3.0281000000000001E-3</v>
      </c>
      <c r="T10" s="114">
        <v>5.8099999999999992E-3</v>
      </c>
      <c r="U10" s="107">
        <v>4.3006071428571399E-3</v>
      </c>
      <c r="V10" s="107">
        <v>2.6720118577075098E-3</v>
      </c>
      <c r="W10" s="107">
        <v>2.3369980237154201E-3</v>
      </c>
      <c r="X10" s="107">
        <v>6.1269999999999996E-3</v>
      </c>
      <c r="Y10" s="110">
        <v>9.9789000000000006E-3</v>
      </c>
      <c r="Z10" s="110">
        <v>1.6942800000000001E-2</v>
      </c>
      <c r="AA10" s="110">
        <v>2.8076300000000002E-2</v>
      </c>
      <c r="AB10" s="110">
        <v>1.9083800000000001E-2</v>
      </c>
      <c r="AC10" s="110">
        <v>2.3999999999999998E-3</v>
      </c>
      <c r="AD10" s="110">
        <v>2.0999999999999999E-3</v>
      </c>
      <c r="AE10" s="110">
        <v>4.7699999999999992E-2</v>
      </c>
      <c r="AF10" s="110">
        <v>5.7000000000000002E-2</v>
      </c>
      <c r="AG10" s="110">
        <v>3.95E-2</v>
      </c>
      <c r="AH10" s="110">
        <v>2.9500000000000002E-2</v>
      </c>
      <c r="AI10" s="110">
        <v>2.5499999999999998E-2</v>
      </c>
      <c r="AJ10" s="110">
        <f t="shared" ref="AJ10" si="12">AI10</f>
        <v>2.5499999999999998E-2</v>
      </c>
      <c r="AK10" s="110">
        <f t="shared" si="10"/>
        <v>2.5499999999999998E-2</v>
      </c>
      <c r="AL10" s="110">
        <f t="shared" si="10"/>
        <v>2.5499999999999998E-2</v>
      </c>
      <c r="AM10" s="110">
        <f>AL10</f>
        <v>2.5499999999999998E-2</v>
      </c>
      <c r="AN10" s="110">
        <f>AM10</f>
        <v>2.5499999999999998E-2</v>
      </c>
      <c r="AO10" s="110">
        <f>AN10</f>
        <v>2.5499999999999998E-2</v>
      </c>
      <c r="AP10" s="110">
        <f>AO10</f>
        <v>2.5499999999999998E-2</v>
      </c>
      <c r="AQ10" s="110">
        <f t="shared" si="10"/>
        <v>2.5499999999999998E-2</v>
      </c>
      <c r="AR10" s="110">
        <f t="shared" si="10"/>
        <v>2.5499999999999998E-2</v>
      </c>
      <c r="AS10" s="110">
        <f t="shared" si="10"/>
        <v>2.5499999999999998E-2</v>
      </c>
      <c r="AT10" s="110">
        <f t="shared" si="10"/>
        <v>2.5499999999999998E-2</v>
      </c>
      <c r="AU10" s="110">
        <f t="shared" si="10"/>
        <v>2.5499999999999998E-2</v>
      </c>
      <c r="AV10" s="110">
        <f t="shared" si="10"/>
        <v>2.5499999999999998E-2</v>
      </c>
      <c r="AW10" s="110">
        <f>AV10</f>
        <v>2.5499999999999998E-2</v>
      </c>
      <c r="AX10" s="110">
        <f>AW10</f>
        <v>2.5499999999999998E-2</v>
      </c>
      <c r="AY10" s="110">
        <f t="shared" si="11"/>
        <v>2.5499999999999998E-2</v>
      </c>
      <c r="AZ10" s="110">
        <f t="shared" si="11"/>
        <v>2.5499999999999998E-2</v>
      </c>
      <c r="BA10" s="110">
        <f t="shared" si="11"/>
        <v>2.5499999999999998E-2</v>
      </c>
      <c r="BB10" s="110">
        <f t="shared" si="11"/>
        <v>2.5499999999999998E-2</v>
      </c>
      <c r="BC10" s="110">
        <f t="shared" si="11"/>
        <v>2.5499999999999998E-2</v>
      </c>
      <c r="BD10" s="110">
        <f t="shared" si="11"/>
        <v>2.5499999999999998E-2</v>
      </c>
      <c r="BE10" s="110">
        <f t="shared" si="11"/>
        <v>2.5499999999999998E-2</v>
      </c>
      <c r="BF10" s="110">
        <f t="shared" si="11"/>
        <v>2.5499999999999998E-2</v>
      </c>
      <c r="BG10" s="110">
        <f t="shared" si="11"/>
        <v>2.5499999999999998E-2</v>
      </c>
    </row>
    <row r="11" spans="1:59" ht="13.75" customHeight="1">
      <c r="A11" s="141" t="s">
        <v>86</v>
      </c>
      <c r="B11" s="165"/>
      <c r="C11" s="165"/>
      <c r="D11" s="165" t="s">
        <v>87</v>
      </c>
      <c r="E11" s="167"/>
      <c r="F11" s="161" t="s">
        <v>108</v>
      </c>
      <c r="G11" s="168" t="s">
        <v>3</v>
      </c>
      <c r="H11" s="168"/>
      <c r="I11" s="168" t="s">
        <v>109</v>
      </c>
      <c r="J11" s="123"/>
      <c r="K11" s="123"/>
      <c r="L11" s="123"/>
      <c r="M11" s="123"/>
      <c r="N11" s="123">
        <v>6.2199999999999998E-2</v>
      </c>
      <c r="O11" s="123">
        <v>5.7999999999999996E-2</v>
      </c>
      <c r="P11" s="123">
        <v>6.7099999999999993E-2</v>
      </c>
      <c r="Q11" s="123">
        <v>0.218</v>
      </c>
      <c r="R11" s="123">
        <v>7.0499999999999993E-2</v>
      </c>
      <c r="S11" s="123">
        <v>4.0599999999999997E-2</v>
      </c>
      <c r="T11" s="123">
        <v>7.22E-2</v>
      </c>
      <c r="U11" s="107">
        <v>7.0919918699186998E-2</v>
      </c>
      <c r="V11" s="107">
        <v>7.0100406504065002E-2</v>
      </c>
      <c r="W11" s="107">
        <v>0.105294331983806</v>
      </c>
      <c r="X11" s="107">
        <v>0.11789999999999999</v>
      </c>
      <c r="Y11" s="110">
        <v>0.10490000000000001</v>
      </c>
      <c r="Z11" s="110">
        <v>7.8799999999999995E-2</v>
      </c>
      <c r="AA11" s="110">
        <v>8.5800000000000001E-2</v>
      </c>
      <c r="AB11" s="110">
        <v>6.4500000000000002E-2</v>
      </c>
      <c r="AC11" s="110">
        <v>4.9200000000000001E-2</v>
      </c>
      <c r="AD11" s="110">
        <v>9.5000000000000001E-2</v>
      </c>
      <c r="AE11" s="110">
        <v>8.4100000000000008E-2</v>
      </c>
      <c r="AF11" s="110">
        <v>9.5500000000000002E-2</v>
      </c>
      <c r="AG11" s="110">
        <v>8.3000000000000004E-2</v>
      </c>
      <c r="AH11" s="110">
        <v>7.0000000000000007E-2</v>
      </c>
      <c r="AI11" s="110">
        <v>6.5500000000000003E-2</v>
      </c>
      <c r="AJ11" s="110">
        <f>AI11+(AJ$39-AI$39)</f>
        <v>6.5500000000000003E-2</v>
      </c>
      <c r="AK11" s="110">
        <f t="shared" ref="AK11:AL11" si="13">AJ11+(AK$39-AJ$39)</f>
        <v>6.5500000000000003E-2</v>
      </c>
      <c r="AL11" s="110">
        <f t="shared" si="13"/>
        <v>6.5500000000000003E-2</v>
      </c>
      <c r="AM11" s="110">
        <f>AL11+(AM$39-AL$39)</f>
        <v>6.5500000000000003E-2</v>
      </c>
      <c r="AN11" s="110">
        <f>AM11+(AN$39-AM$39)</f>
        <v>6.5500000000000003E-2</v>
      </c>
      <c r="AO11" s="110">
        <f>AN11+(AO$39-AN$39)</f>
        <v>6.5500000000000003E-2</v>
      </c>
      <c r="AP11" s="110">
        <f t="shared" ref="AP11:BB11" si="14">AO11+(AP$39-AO$39)</f>
        <v>6.5500000000000003E-2</v>
      </c>
      <c r="AQ11" s="110">
        <f t="shared" si="14"/>
        <v>6.5500000000000003E-2</v>
      </c>
      <c r="AR11" s="110">
        <f t="shared" si="14"/>
        <v>6.5500000000000003E-2</v>
      </c>
      <c r="AS11" s="110">
        <f t="shared" si="14"/>
        <v>6.5500000000000003E-2</v>
      </c>
      <c r="AT11" s="110">
        <f t="shared" si="14"/>
        <v>6.5500000000000003E-2</v>
      </c>
      <c r="AU11" s="110">
        <f t="shared" si="14"/>
        <v>6.5500000000000003E-2</v>
      </c>
      <c r="AV11" s="110">
        <f t="shared" si="14"/>
        <v>6.5500000000000003E-2</v>
      </c>
      <c r="AW11" s="110">
        <f t="shared" si="14"/>
        <v>6.5500000000000003E-2</v>
      </c>
      <c r="AX11" s="110">
        <f t="shared" si="14"/>
        <v>6.5500000000000003E-2</v>
      </c>
      <c r="AY11" s="110">
        <f t="shared" si="14"/>
        <v>6.5500000000000003E-2</v>
      </c>
      <c r="AZ11" s="110">
        <f t="shared" si="14"/>
        <v>6.5500000000000003E-2</v>
      </c>
      <c r="BA11" s="110">
        <f t="shared" si="14"/>
        <v>6.5500000000000003E-2</v>
      </c>
      <c r="BB11" s="110">
        <f t="shared" si="14"/>
        <v>6.5500000000000003E-2</v>
      </c>
      <c r="BC11" s="110">
        <f>BB11+(BC$39-BB$39)</f>
        <v>6.5500000000000003E-2</v>
      </c>
      <c r="BD11" s="110">
        <f>BC11+(BD$39-BC$39)</f>
        <v>6.5500000000000003E-2</v>
      </c>
      <c r="BE11" s="110">
        <f>BD11+(BE$39-BD$39)</f>
        <v>6.5500000000000003E-2</v>
      </c>
      <c r="BF11" s="110">
        <f>BE11+(BF$39-BE$39)</f>
        <v>6.5500000000000003E-2</v>
      </c>
      <c r="BG11" s="110">
        <f>BF11+(BG$39-BF$39)</f>
        <v>6.5500000000000003E-2</v>
      </c>
    </row>
    <row r="12" spans="1:59" ht="13.75" customHeight="1">
      <c r="A12" s="141" t="s">
        <v>86</v>
      </c>
      <c r="B12" s="165"/>
      <c r="C12" s="165"/>
      <c r="D12" s="165" t="s">
        <v>110</v>
      </c>
      <c r="E12" s="167"/>
      <c r="F12" s="168" t="s">
        <v>111</v>
      </c>
      <c r="G12" s="168" t="s">
        <v>3</v>
      </c>
      <c r="H12" s="168"/>
      <c r="I12" s="168" t="s">
        <v>112</v>
      </c>
      <c r="U12" s="107">
        <v>0.18</v>
      </c>
      <c r="V12" s="107">
        <v>0.18</v>
      </c>
      <c r="W12" s="107">
        <v>0.18</v>
      </c>
      <c r="X12" s="107">
        <v>0.18</v>
      </c>
      <c r="Y12" s="107">
        <v>0.18</v>
      </c>
      <c r="Z12" s="107">
        <v>0.18</v>
      </c>
      <c r="AA12" s="107">
        <v>0.18</v>
      </c>
      <c r="AB12" s="107">
        <v>0.2</v>
      </c>
      <c r="AC12" s="107">
        <v>0.2</v>
      </c>
      <c r="AD12" s="107">
        <v>0.2</v>
      </c>
      <c r="AE12" s="107">
        <f t="shared" ref="AE12:AT13" si="15">AD12</f>
        <v>0.2</v>
      </c>
      <c r="AF12" s="107">
        <f t="shared" si="15"/>
        <v>0.2</v>
      </c>
      <c r="AG12" s="107">
        <f t="shared" si="15"/>
        <v>0.2</v>
      </c>
      <c r="AH12" s="107">
        <f t="shared" si="15"/>
        <v>0.2</v>
      </c>
      <c r="AI12" s="107">
        <f t="shared" si="15"/>
        <v>0.2</v>
      </c>
      <c r="AJ12" s="107">
        <f t="shared" si="15"/>
        <v>0.2</v>
      </c>
      <c r="AK12" s="107">
        <f t="shared" si="15"/>
        <v>0.2</v>
      </c>
      <c r="AL12" s="107">
        <f t="shared" si="15"/>
        <v>0.2</v>
      </c>
      <c r="AM12" s="107">
        <f t="shared" si="15"/>
        <v>0.2</v>
      </c>
      <c r="AN12" s="107">
        <f t="shared" si="15"/>
        <v>0.2</v>
      </c>
      <c r="AO12" s="107">
        <f t="shared" si="15"/>
        <v>0.2</v>
      </c>
      <c r="AP12" s="107">
        <f t="shared" si="15"/>
        <v>0.2</v>
      </c>
      <c r="AQ12" s="107">
        <f t="shared" si="15"/>
        <v>0.2</v>
      </c>
      <c r="AR12" s="107">
        <f>AQ12</f>
        <v>0.2</v>
      </c>
      <c r="AS12" s="107">
        <f t="shared" si="15"/>
        <v>0.2</v>
      </c>
      <c r="AT12" s="107">
        <f t="shared" si="15"/>
        <v>0.2</v>
      </c>
      <c r="AU12" s="107">
        <f t="shared" ref="AU12:BG13" si="16">AT12</f>
        <v>0.2</v>
      </c>
      <c r="AV12" s="107">
        <f t="shared" si="16"/>
        <v>0.2</v>
      </c>
      <c r="AW12" s="107">
        <f t="shared" si="16"/>
        <v>0.2</v>
      </c>
      <c r="AX12" s="107">
        <f t="shared" si="16"/>
        <v>0.2</v>
      </c>
      <c r="AY12" s="107">
        <f t="shared" si="16"/>
        <v>0.2</v>
      </c>
      <c r="AZ12" s="107">
        <f t="shared" si="16"/>
        <v>0.2</v>
      </c>
      <c r="BA12" s="107">
        <f t="shared" si="16"/>
        <v>0.2</v>
      </c>
      <c r="BB12" s="107">
        <f t="shared" si="16"/>
        <v>0.2</v>
      </c>
      <c r="BC12" s="107">
        <f t="shared" si="16"/>
        <v>0.2</v>
      </c>
      <c r="BD12" s="107">
        <f t="shared" si="16"/>
        <v>0.2</v>
      </c>
      <c r="BE12" s="107">
        <f t="shared" si="16"/>
        <v>0.2</v>
      </c>
      <c r="BF12" s="107">
        <f t="shared" si="16"/>
        <v>0.2</v>
      </c>
      <c r="BG12" s="107">
        <f t="shared" si="16"/>
        <v>0.2</v>
      </c>
    </row>
    <row r="13" spans="1:59" ht="13.75" customHeight="1">
      <c r="A13" s="141" t="s">
        <v>86</v>
      </c>
      <c r="B13" s="165"/>
      <c r="C13" s="165"/>
      <c r="D13" s="165" t="s">
        <v>110</v>
      </c>
      <c r="E13" s="167"/>
      <c r="F13" s="168" t="s">
        <v>113</v>
      </c>
      <c r="G13" s="168" t="s">
        <v>3</v>
      </c>
      <c r="H13" s="168"/>
      <c r="I13" s="168" t="s">
        <v>112</v>
      </c>
      <c r="U13" s="107">
        <v>0.13</v>
      </c>
      <c r="V13" s="107">
        <v>0.13</v>
      </c>
      <c r="W13" s="107">
        <v>0.13</v>
      </c>
      <c r="X13" s="107">
        <v>0.13</v>
      </c>
      <c r="Y13" s="107">
        <v>0.13</v>
      </c>
      <c r="Z13" s="107">
        <v>0.13</v>
      </c>
      <c r="AA13" s="107">
        <v>0.13</v>
      </c>
      <c r="AB13" s="107">
        <v>0.13</v>
      </c>
      <c r="AC13" s="107">
        <v>0.13</v>
      </c>
      <c r="AD13" s="107">
        <v>0.13</v>
      </c>
      <c r="AE13" s="107">
        <f t="shared" si="15"/>
        <v>0.13</v>
      </c>
      <c r="AF13" s="107">
        <f t="shared" si="15"/>
        <v>0.13</v>
      </c>
      <c r="AG13" s="107">
        <f t="shared" si="15"/>
        <v>0.13</v>
      </c>
      <c r="AH13" s="107">
        <f t="shared" si="15"/>
        <v>0.13</v>
      </c>
      <c r="AI13" s="107">
        <f t="shared" si="15"/>
        <v>0.13</v>
      </c>
      <c r="AJ13" s="107">
        <f t="shared" si="15"/>
        <v>0.13</v>
      </c>
      <c r="AK13" s="107">
        <f t="shared" si="15"/>
        <v>0.13</v>
      </c>
      <c r="AL13" s="107">
        <f t="shared" si="15"/>
        <v>0.13</v>
      </c>
      <c r="AM13" s="107">
        <f t="shared" si="15"/>
        <v>0.13</v>
      </c>
      <c r="AN13" s="107">
        <f t="shared" si="15"/>
        <v>0.13</v>
      </c>
      <c r="AO13" s="107">
        <f t="shared" si="15"/>
        <v>0.13</v>
      </c>
      <c r="AP13" s="107">
        <f t="shared" si="15"/>
        <v>0.13</v>
      </c>
      <c r="AQ13" s="107">
        <f t="shared" si="15"/>
        <v>0.13</v>
      </c>
      <c r="AR13" s="107">
        <f t="shared" si="15"/>
        <v>0.13</v>
      </c>
      <c r="AS13" s="107">
        <f t="shared" si="15"/>
        <v>0.13</v>
      </c>
      <c r="AT13" s="107">
        <f t="shared" si="15"/>
        <v>0.13</v>
      </c>
      <c r="AU13" s="107">
        <f t="shared" si="16"/>
        <v>0.13</v>
      </c>
      <c r="AV13" s="107">
        <f t="shared" si="16"/>
        <v>0.13</v>
      </c>
      <c r="AW13" s="107">
        <f>AV13</f>
        <v>0.13</v>
      </c>
      <c r="AX13" s="107">
        <f t="shared" si="16"/>
        <v>0.13</v>
      </c>
      <c r="AY13" s="107">
        <f t="shared" si="16"/>
        <v>0.13</v>
      </c>
      <c r="AZ13" s="107">
        <f t="shared" si="16"/>
        <v>0.13</v>
      </c>
      <c r="BA13" s="107">
        <f t="shared" si="16"/>
        <v>0.13</v>
      </c>
      <c r="BB13" s="107">
        <f t="shared" si="16"/>
        <v>0.13</v>
      </c>
      <c r="BC13" s="107">
        <f t="shared" si="16"/>
        <v>0.13</v>
      </c>
      <c r="BD13" s="107">
        <f t="shared" si="16"/>
        <v>0.13</v>
      </c>
      <c r="BE13" s="107">
        <f t="shared" si="16"/>
        <v>0.13</v>
      </c>
      <c r="BF13" s="107">
        <f t="shared" si="16"/>
        <v>0.13</v>
      </c>
      <c r="BG13" s="107">
        <f t="shared" si="16"/>
        <v>0.13</v>
      </c>
    </row>
    <row r="14" spans="1:59" ht="13.75" customHeight="1">
      <c r="A14" s="141" t="s">
        <v>86</v>
      </c>
      <c r="B14" s="165"/>
      <c r="D14" s="142" t="s">
        <v>87</v>
      </c>
      <c r="F14" s="168" t="s">
        <v>114</v>
      </c>
      <c r="G14" s="168" t="s">
        <v>100</v>
      </c>
      <c r="I14" s="168" t="s">
        <v>90</v>
      </c>
      <c r="J14" s="147">
        <v>29.17</v>
      </c>
      <c r="K14" s="147">
        <v>31.35</v>
      </c>
      <c r="L14" s="147">
        <v>30.68</v>
      </c>
      <c r="M14" s="147">
        <v>28.81</v>
      </c>
      <c r="N14" s="147">
        <v>28.7</v>
      </c>
      <c r="O14" s="147">
        <v>27.18</v>
      </c>
      <c r="P14" s="147">
        <v>25.57</v>
      </c>
      <c r="Q14" s="147">
        <v>24.81</v>
      </c>
      <c r="R14" s="147">
        <v>31.68</v>
      </c>
      <c r="S14" s="147">
        <v>30.36</v>
      </c>
      <c r="T14" s="147">
        <v>29.35</v>
      </c>
      <c r="U14" s="111">
        <v>31.07</v>
      </c>
      <c r="V14" s="111">
        <v>31.82</v>
      </c>
      <c r="W14" s="111">
        <v>38.380000000000003</v>
      </c>
      <c r="X14" s="111">
        <v>60.94</v>
      </c>
      <c r="Y14" s="111">
        <v>67.05</v>
      </c>
      <c r="Z14" s="111">
        <v>58.298184615384642</v>
      </c>
      <c r="AA14" s="111">
        <v>62.926389473684253</v>
      </c>
      <c r="AB14" s="111">
        <v>64.618432113821143</v>
      </c>
      <c r="AC14" s="111">
        <v>72.323002057613166</v>
      </c>
      <c r="AD14" s="111">
        <v>73.654349999999994</v>
      </c>
      <c r="AE14" s="111">
        <v>68.485225</v>
      </c>
      <c r="AF14" s="111">
        <v>85.046666666666653</v>
      </c>
      <c r="AG14" s="111">
        <v>91.454999999999956</v>
      </c>
      <c r="AH14" s="111">
        <v>92.489999999999881</v>
      </c>
      <c r="AI14" s="111">
        <v>93.689999999999813</v>
      </c>
      <c r="AJ14" s="111">
        <f>AI14*(1+AJ3-AJ4)</f>
        <v>95.563799999999816</v>
      </c>
      <c r="AK14" s="111">
        <f t="shared" ref="AK14:AL14" si="17">AJ14*(1+AK3-AK4)</f>
        <v>97.475075999999817</v>
      </c>
      <c r="AL14" s="111">
        <f t="shared" si="17"/>
        <v>99.424577519999815</v>
      </c>
      <c r="AM14" s="111">
        <f>AL14*(1+AM3-AM4)</f>
        <v>101.41306907039981</v>
      </c>
      <c r="AN14" s="111">
        <f>AM14*(1+AN3-AN4)</f>
        <v>103.44133045180781</v>
      </c>
      <c r="AO14" s="111">
        <f t="shared" ref="AO14:BG14" si="18">AN14*(1+AO3-AO4)</f>
        <v>105.51015706084398</v>
      </c>
      <c r="AP14" s="111">
        <f t="shared" si="18"/>
        <v>107.62036020206087</v>
      </c>
      <c r="AQ14" s="111">
        <f t="shared" si="18"/>
        <v>109.77276740610209</v>
      </c>
      <c r="AR14" s="111">
        <f t="shared" si="18"/>
        <v>111.96822275422413</v>
      </c>
      <c r="AS14" s="111">
        <f t="shared" si="18"/>
        <v>114.20758720930861</v>
      </c>
      <c r="AT14" s="111">
        <f t="shared" si="18"/>
        <v>116.49173895349479</v>
      </c>
      <c r="AU14" s="111">
        <f t="shared" si="18"/>
        <v>118.82157373256469</v>
      </c>
      <c r="AV14" s="111">
        <f t="shared" si="18"/>
        <v>121.19800520721599</v>
      </c>
      <c r="AW14" s="111">
        <f t="shared" si="18"/>
        <v>123.62196531136031</v>
      </c>
      <c r="AX14" s="111">
        <f t="shared" si="18"/>
        <v>126.09440461758751</v>
      </c>
      <c r="AY14" s="111">
        <f t="shared" si="18"/>
        <v>128.61629270993927</v>
      </c>
      <c r="AZ14" s="111">
        <f t="shared" si="18"/>
        <v>131.18861856413807</v>
      </c>
      <c r="BA14" s="111">
        <f t="shared" si="18"/>
        <v>133.81239093542084</v>
      </c>
      <c r="BB14" s="111">
        <f t="shared" si="18"/>
        <v>136.48863875412925</v>
      </c>
      <c r="BC14" s="111">
        <f t="shared" si="18"/>
        <v>139.21841152921183</v>
      </c>
      <c r="BD14" s="111">
        <f t="shared" si="18"/>
        <v>142.00277975979608</v>
      </c>
      <c r="BE14" s="111">
        <f>BD14*(1+BE3-BE4)</f>
        <v>144.84283535499202</v>
      </c>
      <c r="BF14" s="111">
        <f t="shared" si="18"/>
        <v>147.73969206209185</v>
      </c>
      <c r="BG14" s="111">
        <f t="shared" si="18"/>
        <v>150.69448590333369</v>
      </c>
    </row>
    <row r="15" spans="1:59" ht="13.75" customHeight="1">
      <c r="A15" s="141" t="s">
        <v>86</v>
      </c>
      <c r="B15" s="165"/>
      <c r="D15" s="166" t="s">
        <v>87</v>
      </c>
      <c r="E15" s="167"/>
      <c r="F15" s="168" t="s">
        <v>115</v>
      </c>
      <c r="G15" s="168" t="s">
        <v>103</v>
      </c>
      <c r="H15" s="168"/>
      <c r="I15" s="168" t="s">
        <v>116</v>
      </c>
      <c r="J15" s="147">
        <v>26.13</v>
      </c>
      <c r="K15" s="147">
        <v>29.65</v>
      </c>
      <c r="L15" s="147">
        <v>34.69</v>
      </c>
      <c r="M15" s="147">
        <v>35.81</v>
      </c>
      <c r="N15" s="147">
        <v>34.17</v>
      </c>
      <c r="O15" s="147">
        <v>34.11</v>
      </c>
      <c r="P15" s="147">
        <v>35.01</v>
      </c>
      <c r="Q15" s="147">
        <v>36.409999999999997</v>
      </c>
      <c r="R15" s="147">
        <v>44.13</v>
      </c>
      <c r="S15" s="147">
        <v>40.270000000000003</v>
      </c>
      <c r="T15" s="147">
        <v>40.869999999999997</v>
      </c>
      <c r="U15" s="111">
        <v>39.937520491803269</v>
      </c>
      <c r="V15" s="111">
        <v>42.38285477178421</v>
      </c>
      <c r="W15" s="111">
        <v>51.002878099173586</v>
      </c>
      <c r="X15" s="111">
        <v>67.977302469135793</v>
      </c>
      <c r="Y15" s="111">
        <v>73.992421774193559</v>
      </c>
      <c r="Z15" s="111">
        <v>66.030461943319835</v>
      </c>
      <c r="AA15" s="111">
        <v>74.132998785425059</v>
      </c>
      <c r="AB15" s="111">
        <v>72.318717479674788</v>
      </c>
      <c r="AC15" s="111">
        <v>82.835824279835293</v>
      </c>
      <c r="AD15" s="111">
        <v>87.086124596774255</v>
      </c>
      <c r="AE15" s="111">
        <f t="shared" ref="AE15:AW15" si="19">AE14*AE35</f>
        <v>72.02233850310796</v>
      </c>
      <c r="AF15" s="111">
        <f>AF14*AF35</f>
        <v>91.686149287112158</v>
      </c>
      <c r="AG15" s="111">
        <f t="shared" si="19"/>
        <v>98.314124999999962</v>
      </c>
      <c r="AH15" s="111">
        <f t="shared" si="19"/>
        <v>99.889199999999875</v>
      </c>
      <c r="AI15" s="111">
        <f t="shared" si="19"/>
        <v>101.18519999999981</v>
      </c>
      <c r="AJ15" s="111">
        <f t="shared" si="19"/>
        <v>103.20890399999981</v>
      </c>
      <c r="AK15" s="111">
        <f t="shared" si="19"/>
        <v>105.27308207999981</v>
      </c>
      <c r="AL15" s="111">
        <f t="shared" si="19"/>
        <v>107.37854372159981</v>
      </c>
      <c r="AM15" s="111">
        <f t="shared" si="19"/>
        <v>109.5261145960318</v>
      </c>
      <c r="AN15" s="111">
        <f>AN14*AN35</f>
        <v>111.71663688795245</v>
      </c>
      <c r="AO15" s="111">
        <f t="shared" si="19"/>
        <v>113.95096962571151</v>
      </c>
      <c r="AP15" s="111">
        <f t="shared" si="19"/>
        <v>116.22998901822574</v>
      </c>
      <c r="AQ15" s="111">
        <f t="shared" si="19"/>
        <v>118.55458879859026</v>
      </c>
      <c r="AR15" s="111">
        <f t="shared" si="19"/>
        <v>120.92568057456207</v>
      </c>
      <c r="AS15" s="111">
        <f t="shared" si="19"/>
        <v>123.34419418605331</v>
      </c>
      <c r="AT15" s="111">
        <f t="shared" si="19"/>
        <v>125.81107806977438</v>
      </c>
      <c r="AU15" s="111">
        <f t="shared" si="19"/>
        <v>128.32729963116986</v>
      </c>
      <c r="AV15" s="111">
        <f t="shared" si="19"/>
        <v>130.89384562379328</v>
      </c>
      <c r="AW15" s="111">
        <f t="shared" si="19"/>
        <v>133.51172253626913</v>
      </c>
      <c r="AX15" s="111">
        <f>AX14*AX35</f>
        <v>136.18195698699452</v>
      </c>
      <c r="AY15" s="111">
        <f>AY14*AY35</f>
        <v>138.90559612673442</v>
      </c>
      <c r="AZ15" s="111">
        <f>AZ14*AZ35</f>
        <v>141.68370804926911</v>
      </c>
      <c r="BA15" s="111">
        <f>BA14*BA35</f>
        <v>144.51738221025451</v>
      </c>
      <c r="BB15" s="111">
        <f>BB14*BB35</f>
        <v>147.4077298544596</v>
      </c>
      <c r="BC15" s="111">
        <f t="shared" ref="BC15" si="20">BC14*BC35</f>
        <v>150.3558844515488</v>
      </c>
      <c r="BD15" s="111">
        <f>BD14*BD35</f>
        <v>153.36300214057979</v>
      </c>
      <c r="BE15" s="111">
        <f>BE14*BE35</f>
        <v>156.43026218339139</v>
      </c>
      <c r="BF15" s="111">
        <f>BF14*BF35</f>
        <v>159.5588674270592</v>
      </c>
      <c r="BG15" s="111">
        <f>BG14*BG35</f>
        <v>162.7500447756004</v>
      </c>
    </row>
    <row r="16" spans="1:59" ht="13.75" customHeight="1">
      <c r="A16" s="141" t="s">
        <v>86</v>
      </c>
      <c r="B16" s="165"/>
      <c r="C16" s="165"/>
      <c r="D16" s="165" t="s">
        <v>110</v>
      </c>
      <c r="E16" s="167"/>
      <c r="F16" s="168" t="s">
        <v>117</v>
      </c>
      <c r="G16" s="168" t="s">
        <v>3</v>
      </c>
      <c r="H16" s="168"/>
      <c r="I16" s="168" t="s">
        <v>118</v>
      </c>
      <c r="U16" s="107">
        <v>2.1999999999999999E-2</v>
      </c>
      <c r="V16" s="107">
        <v>2.1999999999999999E-2</v>
      </c>
      <c r="W16" s="107">
        <v>2.1999999999999999E-2</v>
      </c>
      <c r="X16" s="107">
        <v>2.1999999999999999E-2</v>
      </c>
      <c r="Y16" s="107">
        <v>2.1999999999999999E-2</v>
      </c>
      <c r="Z16" s="107">
        <v>2.1999999999999999E-2</v>
      </c>
      <c r="AA16" s="107">
        <v>2.1999999999999999E-2</v>
      </c>
      <c r="AB16" s="107">
        <v>2.1999999999999999E-2</v>
      </c>
      <c r="AC16" s="107">
        <v>2.1999999999999999E-2</v>
      </c>
      <c r="AD16" s="107">
        <v>2.1999999999999999E-2</v>
      </c>
      <c r="AE16" s="107">
        <f t="shared" ref="AE16:AT18" si="21">AD16</f>
        <v>2.1999999999999999E-2</v>
      </c>
      <c r="AF16" s="107">
        <f t="shared" si="21"/>
        <v>2.1999999999999999E-2</v>
      </c>
      <c r="AG16" s="107">
        <f t="shared" si="21"/>
        <v>2.1999999999999999E-2</v>
      </c>
      <c r="AH16" s="107">
        <f t="shared" si="21"/>
        <v>2.1999999999999999E-2</v>
      </c>
      <c r="AI16" s="107">
        <f t="shared" si="21"/>
        <v>2.1999999999999999E-2</v>
      </c>
      <c r="AJ16" s="107">
        <f t="shared" si="21"/>
        <v>2.1999999999999999E-2</v>
      </c>
      <c r="AK16" s="107">
        <f t="shared" si="21"/>
        <v>2.1999999999999999E-2</v>
      </c>
      <c r="AL16" s="107">
        <f t="shared" si="21"/>
        <v>2.1999999999999999E-2</v>
      </c>
      <c r="AM16" s="107">
        <f t="shared" si="21"/>
        <v>2.1999999999999999E-2</v>
      </c>
      <c r="AN16" s="107">
        <f t="shared" si="21"/>
        <v>2.1999999999999999E-2</v>
      </c>
      <c r="AO16" s="107">
        <f t="shared" si="21"/>
        <v>2.1999999999999999E-2</v>
      </c>
      <c r="AP16" s="107">
        <f t="shared" si="21"/>
        <v>2.1999999999999999E-2</v>
      </c>
      <c r="AQ16" s="107">
        <f t="shared" si="21"/>
        <v>2.1999999999999999E-2</v>
      </c>
      <c r="AR16" s="107">
        <f t="shared" si="21"/>
        <v>2.1999999999999999E-2</v>
      </c>
      <c r="AS16" s="107">
        <f t="shared" si="21"/>
        <v>2.1999999999999999E-2</v>
      </c>
      <c r="AT16" s="107">
        <f t="shared" si="21"/>
        <v>2.1999999999999999E-2</v>
      </c>
      <c r="AU16" s="107">
        <f t="shared" ref="AU16:BG18" si="22">AT16</f>
        <v>2.1999999999999999E-2</v>
      </c>
      <c r="AV16" s="107">
        <f t="shared" si="22"/>
        <v>2.1999999999999999E-2</v>
      </c>
      <c r="AW16" s="107">
        <f t="shared" si="22"/>
        <v>2.1999999999999999E-2</v>
      </c>
      <c r="AX16" s="107">
        <f t="shared" si="22"/>
        <v>2.1999999999999999E-2</v>
      </c>
      <c r="AY16" s="107">
        <f t="shared" si="22"/>
        <v>2.1999999999999999E-2</v>
      </c>
      <c r="AZ16" s="107">
        <f t="shared" si="22"/>
        <v>2.1999999999999999E-2</v>
      </c>
      <c r="BA16" s="107">
        <f t="shared" si="22"/>
        <v>2.1999999999999999E-2</v>
      </c>
      <c r="BB16" s="107">
        <f t="shared" si="22"/>
        <v>2.1999999999999999E-2</v>
      </c>
      <c r="BC16" s="107">
        <f t="shared" si="22"/>
        <v>2.1999999999999999E-2</v>
      </c>
      <c r="BD16" s="107">
        <f t="shared" si="22"/>
        <v>2.1999999999999999E-2</v>
      </c>
      <c r="BE16" s="107">
        <f t="shared" si="22"/>
        <v>2.1999999999999999E-2</v>
      </c>
      <c r="BF16" s="107">
        <f t="shared" si="22"/>
        <v>2.1999999999999999E-2</v>
      </c>
      <c r="BG16" s="107">
        <f t="shared" si="22"/>
        <v>2.1999999999999999E-2</v>
      </c>
    </row>
    <row r="17" spans="1:59" ht="13.75" customHeight="1">
      <c r="A17" s="141" t="s">
        <v>86</v>
      </c>
      <c r="B17" s="165"/>
      <c r="C17" s="165"/>
      <c r="D17" s="165" t="s">
        <v>110</v>
      </c>
      <c r="E17" s="167"/>
      <c r="F17" s="168" t="s">
        <v>119</v>
      </c>
      <c r="G17" s="168" t="s">
        <v>3</v>
      </c>
      <c r="H17" s="168"/>
      <c r="I17" s="168" t="s">
        <v>118</v>
      </c>
      <c r="W17" s="107">
        <v>8.9999999999999993E-3</v>
      </c>
      <c r="X17" s="107">
        <v>1.2E-2</v>
      </c>
      <c r="Y17" s="107">
        <v>1.2999999999999999E-2</v>
      </c>
      <c r="Z17" s="107">
        <v>1.4E-2</v>
      </c>
      <c r="AA17" s="107">
        <v>1.4999999999999999E-2</v>
      </c>
      <c r="AB17" s="107">
        <v>1.6E-2</v>
      </c>
      <c r="AC17" s="107">
        <v>1.7000000000000001E-2</v>
      </c>
      <c r="AD17" s="107">
        <v>1.8000000000000002E-2</v>
      </c>
      <c r="AE17" s="107">
        <f>AD17+0.1%</f>
        <v>1.9000000000000003E-2</v>
      </c>
      <c r="AF17" s="107">
        <f>AE17+0.1%</f>
        <v>2.0000000000000004E-2</v>
      </c>
      <c r="AG17" s="107">
        <f t="shared" si="21"/>
        <v>2.0000000000000004E-2</v>
      </c>
      <c r="AH17" s="107">
        <f t="shared" si="21"/>
        <v>2.0000000000000004E-2</v>
      </c>
      <c r="AI17" s="107">
        <f t="shared" si="21"/>
        <v>2.0000000000000004E-2</v>
      </c>
      <c r="AJ17" s="107">
        <f t="shared" si="21"/>
        <v>2.0000000000000004E-2</v>
      </c>
      <c r="AK17" s="107">
        <f t="shared" si="21"/>
        <v>2.0000000000000004E-2</v>
      </c>
      <c r="AL17" s="107">
        <f t="shared" si="21"/>
        <v>2.0000000000000004E-2</v>
      </c>
      <c r="AM17" s="107">
        <f t="shared" si="21"/>
        <v>2.0000000000000004E-2</v>
      </c>
      <c r="AN17" s="107">
        <f t="shared" si="21"/>
        <v>2.0000000000000004E-2</v>
      </c>
      <c r="AO17" s="107">
        <f t="shared" si="21"/>
        <v>2.0000000000000004E-2</v>
      </c>
      <c r="AP17" s="107">
        <f t="shared" si="21"/>
        <v>2.0000000000000004E-2</v>
      </c>
      <c r="AQ17" s="107">
        <f t="shared" si="21"/>
        <v>2.0000000000000004E-2</v>
      </c>
      <c r="AR17" s="107">
        <f t="shared" si="21"/>
        <v>2.0000000000000004E-2</v>
      </c>
      <c r="AS17" s="107">
        <f t="shared" si="21"/>
        <v>2.0000000000000004E-2</v>
      </c>
      <c r="AT17" s="107">
        <f t="shared" si="21"/>
        <v>2.0000000000000004E-2</v>
      </c>
      <c r="AU17" s="107">
        <f t="shared" si="22"/>
        <v>2.0000000000000004E-2</v>
      </c>
      <c r="AV17" s="107">
        <f t="shared" si="22"/>
        <v>2.0000000000000004E-2</v>
      </c>
      <c r="AW17" s="107">
        <f t="shared" si="22"/>
        <v>2.0000000000000004E-2</v>
      </c>
      <c r="AX17" s="107">
        <f t="shared" si="22"/>
        <v>2.0000000000000004E-2</v>
      </c>
      <c r="AY17" s="107">
        <f t="shared" si="22"/>
        <v>2.0000000000000004E-2</v>
      </c>
      <c r="AZ17" s="107">
        <f t="shared" si="22"/>
        <v>2.0000000000000004E-2</v>
      </c>
      <c r="BA17" s="107">
        <f t="shared" si="22"/>
        <v>2.0000000000000004E-2</v>
      </c>
      <c r="BB17" s="107">
        <f t="shared" si="22"/>
        <v>2.0000000000000004E-2</v>
      </c>
      <c r="BC17" s="107">
        <f t="shared" si="22"/>
        <v>2.0000000000000004E-2</v>
      </c>
      <c r="BD17" s="107">
        <f t="shared" si="22"/>
        <v>2.0000000000000004E-2</v>
      </c>
      <c r="BE17" s="107">
        <f t="shared" si="22"/>
        <v>2.0000000000000004E-2</v>
      </c>
      <c r="BF17" s="107">
        <f t="shared" si="22"/>
        <v>2.0000000000000004E-2</v>
      </c>
      <c r="BG17" s="107">
        <f t="shared" si="22"/>
        <v>2.0000000000000004E-2</v>
      </c>
    </row>
    <row r="18" spans="1:59" ht="13.75" customHeight="1">
      <c r="A18" s="141" t="s">
        <v>86</v>
      </c>
      <c r="B18" s="165"/>
      <c r="C18" s="165"/>
      <c r="D18" s="165" t="s">
        <v>110</v>
      </c>
      <c r="E18" s="167"/>
      <c r="F18" s="168" t="s">
        <v>120</v>
      </c>
      <c r="G18" s="168" t="s">
        <v>3</v>
      </c>
      <c r="H18" s="168"/>
      <c r="I18" s="168" t="s">
        <v>118</v>
      </c>
      <c r="W18" s="107">
        <v>0.01</v>
      </c>
      <c r="X18" s="107">
        <v>1.4999999999999999E-2</v>
      </c>
      <c r="Y18" s="107">
        <v>0.02</v>
      </c>
      <c r="Z18" s="107">
        <v>0.02</v>
      </c>
      <c r="AA18" s="107">
        <v>0.02</v>
      </c>
      <c r="AB18" s="107">
        <v>0.02</v>
      </c>
      <c r="AC18" s="107">
        <v>0.02</v>
      </c>
      <c r="AD18" s="107">
        <v>0.02</v>
      </c>
      <c r="AE18" s="107">
        <f t="shared" ref="AE18:AH18" si="23">AD18</f>
        <v>0.02</v>
      </c>
      <c r="AF18" s="107">
        <f t="shared" si="23"/>
        <v>0.02</v>
      </c>
      <c r="AG18" s="107">
        <f t="shared" si="23"/>
        <v>0.02</v>
      </c>
      <c r="AH18" s="107">
        <f t="shared" si="23"/>
        <v>0.02</v>
      </c>
      <c r="AI18" s="107">
        <f t="shared" si="21"/>
        <v>0.02</v>
      </c>
      <c r="AJ18" s="107">
        <f t="shared" si="21"/>
        <v>0.02</v>
      </c>
      <c r="AK18" s="107">
        <f t="shared" si="21"/>
        <v>0.02</v>
      </c>
      <c r="AL18" s="107">
        <f t="shared" si="21"/>
        <v>0.02</v>
      </c>
      <c r="AM18" s="107">
        <f t="shared" si="21"/>
        <v>0.02</v>
      </c>
      <c r="AN18" s="107">
        <f t="shared" si="21"/>
        <v>0.02</v>
      </c>
      <c r="AO18" s="107">
        <f t="shared" si="21"/>
        <v>0.02</v>
      </c>
      <c r="AP18" s="107">
        <f t="shared" si="21"/>
        <v>0.02</v>
      </c>
      <c r="AQ18" s="107">
        <f t="shared" si="21"/>
        <v>0.02</v>
      </c>
      <c r="AR18" s="107">
        <f t="shared" si="21"/>
        <v>0.02</v>
      </c>
      <c r="AS18" s="107">
        <f t="shared" si="21"/>
        <v>0.02</v>
      </c>
      <c r="AT18" s="107">
        <f t="shared" si="21"/>
        <v>0.02</v>
      </c>
      <c r="AU18" s="107">
        <f t="shared" si="22"/>
        <v>0.02</v>
      </c>
      <c r="AV18" s="107">
        <f t="shared" si="22"/>
        <v>0.02</v>
      </c>
      <c r="AW18" s="107">
        <f t="shared" si="22"/>
        <v>0.02</v>
      </c>
      <c r="AX18" s="107">
        <f t="shared" si="22"/>
        <v>0.02</v>
      </c>
      <c r="AY18" s="107">
        <f t="shared" si="22"/>
        <v>0.02</v>
      </c>
      <c r="AZ18" s="107">
        <f t="shared" si="22"/>
        <v>0.02</v>
      </c>
      <c r="BA18" s="107">
        <f t="shared" si="22"/>
        <v>0.02</v>
      </c>
      <c r="BB18" s="107">
        <f t="shared" si="22"/>
        <v>0.02</v>
      </c>
      <c r="BC18" s="107">
        <f t="shared" si="22"/>
        <v>0.02</v>
      </c>
      <c r="BD18" s="107">
        <f t="shared" si="22"/>
        <v>0.02</v>
      </c>
      <c r="BE18" s="107">
        <f t="shared" si="22"/>
        <v>0.02</v>
      </c>
      <c r="BF18" s="107">
        <f t="shared" si="22"/>
        <v>0.02</v>
      </c>
      <c r="BG18" s="107">
        <f t="shared" si="22"/>
        <v>0.02</v>
      </c>
    </row>
    <row r="19" spans="1:59" ht="13.75" customHeight="1">
      <c r="A19" s="141" t="s">
        <v>86</v>
      </c>
      <c r="B19" s="165"/>
      <c r="C19" s="165"/>
      <c r="D19" s="166" t="s">
        <v>87</v>
      </c>
      <c r="E19" s="167"/>
      <c r="F19" s="168" t="s">
        <v>121</v>
      </c>
      <c r="G19" s="168" t="s">
        <v>3</v>
      </c>
      <c r="H19" s="168"/>
      <c r="I19" s="168" t="s">
        <v>122</v>
      </c>
      <c r="J19" s="123">
        <v>0.45699999999999991</v>
      </c>
      <c r="K19" s="123">
        <v>0.34599999999999992</v>
      </c>
      <c r="L19" s="123">
        <v>0.26099999999999995</v>
      </c>
      <c r="M19" s="123">
        <v>0.22599999999999995</v>
      </c>
      <c r="N19" s="123">
        <v>0.26900000000000007</v>
      </c>
      <c r="O19" s="123">
        <v>0.24299999999999997</v>
      </c>
      <c r="P19" s="123">
        <v>0.27799999999999997</v>
      </c>
      <c r="Q19" s="123">
        <v>0.27200000000000002</v>
      </c>
      <c r="R19" s="123">
        <v>7.7999999999999972E-2</v>
      </c>
      <c r="S19" s="123">
        <v>0.12400000000000005</v>
      </c>
      <c r="T19" s="123">
        <v>0.115</v>
      </c>
      <c r="U19" s="107">
        <v>0.13900000000000001</v>
      </c>
      <c r="V19" s="107">
        <v>0.11899999999999999</v>
      </c>
      <c r="W19" s="107">
        <v>9.0999999999999998E-2</v>
      </c>
      <c r="X19" s="107">
        <v>5.0999999999999997E-2</v>
      </c>
      <c r="Y19" s="107">
        <v>7.9000000000000001E-2</v>
      </c>
      <c r="Z19" s="107">
        <v>6.7000000000000004E-2</v>
      </c>
      <c r="AA19" s="107">
        <v>0.10965864120305359</v>
      </c>
      <c r="AB19" s="107">
        <v>9.1798582669918569E-2</v>
      </c>
      <c r="AC19" s="107">
        <v>7.6035130421954866E-2</v>
      </c>
      <c r="AD19" s="107">
        <v>0.10656959085515826</v>
      </c>
      <c r="AE19" s="107">
        <v>0.13434235871235711</v>
      </c>
      <c r="AF19" s="107">
        <v>0.12369822870537896</v>
      </c>
      <c r="AG19" s="107">
        <v>8.998024670048356E-2</v>
      </c>
      <c r="AH19" s="107">
        <v>5.439920453395275E-2</v>
      </c>
      <c r="AI19" s="107">
        <v>5.0882975414821896E-2</v>
      </c>
      <c r="AJ19" s="107">
        <f t="shared" ref="AJ19:BB19" si="24">AJ3+AJ9</f>
        <v>5.2054108080999674E-2</v>
      </c>
      <c r="AK19" s="107">
        <f>AK3+AK9</f>
        <v>5.2054108080999674E-2</v>
      </c>
      <c r="AL19" s="107">
        <f t="shared" si="24"/>
        <v>5.2054108080999674E-2</v>
      </c>
      <c r="AM19" s="107">
        <f t="shared" si="24"/>
        <v>5.2054108080999674E-2</v>
      </c>
      <c r="AN19" s="107">
        <f t="shared" si="24"/>
        <v>5.2054108080999674E-2</v>
      </c>
      <c r="AO19" s="107">
        <f t="shared" si="24"/>
        <v>5.2054108080999674E-2</v>
      </c>
      <c r="AP19" s="107">
        <f t="shared" si="24"/>
        <v>5.2054108080999674E-2</v>
      </c>
      <c r="AQ19" s="107">
        <f t="shared" si="24"/>
        <v>5.2054108080999674E-2</v>
      </c>
      <c r="AR19" s="107">
        <f t="shared" si="24"/>
        <v>5.2054108080999674E-2</v>
      </c>
      <c r="AS19" s="107">
        <f t="shared" si="24"/>
        <v>5.2054108080999674E-2</v>
      </c>
      <c r="AT19" s="107">
        <f t="shared" si="24"/>
        <v>5.2054108080999674E-2</v>
      </c>
      <c r="AU19" s="107">
        <f t="shared" si="24"/>
        <v>5.2054108080999674E-2</v>
      </c>
      <c r="AV19" s="107">
        <f t="shared" si="24"/>
        <v>5.2054108080999674E-2</v>
      </c>
      <c r="AW19" s="107">
        <f t="shared" si="24"/>
        <v>5.2054108080999674E-2</v>
      </c>
      <c r="AX19" s="107">
        <f t="shared" si="24"/>
        <v>5.2054108080999674E-2</v>
      </c>
      <c r="AY19" s="107">
        <f t="shared" si="24"/>
        <v>5.2054108080999674E-2</v>
      </c>
      <c r="AZ19" s="107">
        <f t="shared" si="24"/>
        <v>5.2054108080999674E-2</v>
      </c>
      <c r="BA19" s="107">
        <f t="shared" si="24"/>
        <v>5.2054108080999674E-2</v>
      </c>
      <c r="BB19" s="107">
        <f t="shared" si="24"/>
        <v>5.2054108080999674E-2</v>
      </c>
      <c r="BC19" s="107">
        <f>BC3+BC9</f>
        <v>5.2054108080999674E-2</v>
      </c>
      <c r="BD19" s="107">
        <f>BD3+BD9</f>
        <v>5.2054108080999674E-2</v>
      </c>
      <c r="BE19" s="107">
        <f>BE3+BE9</f>
        <v>5.2054108080999674E-2</v>
      </c>
      <c r="BF19" s="107">
        <f>BF3+BF9</f>
        <v>5.2054108080999674E-2</v>
      </c>
      <c r="BG19" s="107">
        <f>BG3+BG9</f>
        <v>5.2054108080999674E-2</v>
      </c>
    </row>
    <row r="20" spans="1:59" ht="13.75" customHeight="1">
      <c r="A20" s="141" t="s">
        <v>86</v>
      </c>
      <c r="B20" s="165"/>
      <c r="C20" s="165"/>
      <c r="D20" s="166" t="s">
        <v>87</v>
      </c>
      <c r="E20" s="167"/>
      <c r="F20" s="168" t="s">
        <v>123</v>
      </c>
      <c r="G20" s="168" t="s">
        <v>3</v>
      </c>
      <c r="H20" s="168"/>
      <c r="I20" s="168" t="s">
        <v>124</v>
      </c>
      <c r="J20" s="123">
        <v>3.2939999999999997E-2</v>
      </c>
      <c r="K20" s="123">
        <v>2.8650000000000002E-2</v>
      </c>
      <c r="L20" s="123">
        <v>2.1240000000000002E-2</v>
      </c>
      <c r="M20" s="123">
        <v>2.155E-2</v>
      </c>
      <c r="N20" s="123">
        <v>2.4879999999999999E-2</v>
      </c>
      <c r="O20" s="123">
        <v>3.7249999999999998E-2</v>
      </c>
      <c r="P20" s="123">
        <v>4.684E-2</v>
      </c>
      <c r="Q20" s="123">
        <v>2.8919999999999998E-2</v>
      </c>
      <c r="R20" s="123">
        <v>6.9999999999999993E-3</v>
      </c>
      <c r="S20" s="123">
        <v>1.0059999999999999E-2</v>
      </c>
      <c r="T20" s="114">
        <v>1.3559999999999999E-2</v>
      </c>
      <c r="U20" s="107">
        <v>4.9081058365758696E-3</v>
      </c>
      <c r="V20" s="107">
        <v>1.52185019762846E-3</v>
      </c>
      <c r="W20" s="107">
        <v>1.79734743083004E-3</v>
      </c>
      <c r="X20" s="107">
        <v>-1.2786E-3</v>
      </c>
      <c r="Y20" s="110">
        <v>-3.1900000000000001E-3</v>
      </c>
      <c r="Z20" s="110">
        <v>-3.2789999999999998E-3</v>
      </c>
      <c r="AA20" s="110">
        <v>-3.0899999999999999E-3</v>
      </c>
      <c r="AB20" s="110">
        <v>-3.8300000000000001E-3</v>
      </c>
      <c r="AC20" s="110">
        <v>-5.45E-3</v>
      </c>
      <c r="AD20" s="110">
        <v>-5.7199999999999994E-3</v>
      </c>
      <c r="AE20" s="110">
        <v>2.1320000000000002E-2</v>
      </c>
      <c r="AF20" s="110">
        <v>3.9E-2</v>
      </c>
      <c r="AG20" s="110">
        <v>2.3E-2</v>
      </c>
      <c r="AH20" s="110">
        <v>1.3999999999999999E-2</v>
      </c>
      <c r="AI20" s="110">
        <v>9.4999999999999998E-3</v>
      </c>
      <c r="AJ20" s="110">
        <f t="shared" ref="AJ20:BB20" si="25">AI20</f>
        <v>9.4999999999999998E-3</v>
      </c>
      <c r="AK20" s="110">
        <f t="shared" si="25"/>
        <v>9.4999999999999998E-3</v>
      </c>
      <c r="AL20" s="110">
        <f t="shared" si="25"/>
        <v>9.4999999999999998E-3</v>
      </c>
      <c r="AM20" s="110">
        <f t="shared" si="25"/>
        <v>9.4999999999999998E-3</v>
      </c>
      <c r="AN20" s="110">
        <f t="shared" si="25"/>
        <v>9.4999999999999998E-3</v>
      </c>
      <c r="AO20" s="110">
        <f t="shared" si="25"/>
        <v>9.4999999999999998E-3</v>
      </c>
      <c r="AP20" s="110">
        <f t="shared" si="25"/>
        <v>9.4999999999999998E-3</v>
      </c>
      <c r="AQ20" s="110">
        <f t="shared" si="25"/>
        <v>9.4999999999999998E-3</v>
      </c>
      <c r="AR20" s="110">
        <f t="shared" si="25"/>
        <v>9.4999999999999998E-3</v>
      </c>
      <c r="AS20" s="110">
        <f t="shared" si="25"/>
        <v>9.4999999999999998E-3</v>
      </c>
      <c r="AT20" s="110">
        <f t="shared" si="25"/>
        <v>9.4999999999999998E-3</v>
      </c>
      <c r="AU20" s="110">
        <f t="shared" si="25"/>
        <v>9.4999999999999998E-3</v>
      </c>
      <c r="AV20" s="110">
        <f t="shared" si="25"/>
        <v>9.4999999999999998E-3</v>
      </c>
      <c r="AW20" s="110">
        <f t="shared" si="25"/>
        <v>9.4999999999999998E-3</v>
      </c>
      <c r="AX20" s="110">
        <f t="shared" si="25"/>
        <v>9.4999999999999998E-3</v>
      </c>
      <c r="AY20" s="110">
        <f t="shared" si="25"/>
        <v>9.4999999999999998E-3</v>
      </c>
      <c r="AZ20" s="110">
        <f t="shared" si="25"/>
        <v>9.4999999999999998E-3</v>
      </c>
      <c r="BA20" s="110">
        <f t="shared" si="25"/>
        <v>9.4999999999999998E-3</v>
      </c>
      <c r="BB20" s="110">
        <f t="shared" si="25"/>
        <v>9.4999999999999998E-3</v>
      </c>
      <c r="BC20" s="110">
        <f>BB20</f>
        <v>9.4999999999999998E-3</v>
      </c>
      <c r="BD20" s="110">
        <f>BC20</f>
        <v>9.4999999999999998E-3</v>
      </c>
      <c r="BE20" s="110">
        <f>BD20</f>
        <v>9.4999999999999998E-3</v>
      </c>
      <c r="BF20" s="110">
        <f>BE20</f>
        <v>9.4999999999999998E-3</v>
      </c>
      <c r="BG20" s="110">
        <f>BF20</f>
        <v>9.4999999999999998E-3</v>
      </c>
    </row>
    <row r="21" spans="1:59" ht="13.75" customHeight="1">
      <c r="A21" s="141" t="s">
        <v>86</v>
      </c>
      <c r="B21" s="165"/>
      <c r="C21" s="165"/>
      <c r="D21" s="165" t="s">
        <v>87</v>
      </c>
      <c r="E21" s="167"/>
      <c r="F21" s="168" t="s">
        <v>125</v>
      </c>
      <c r="G21" s="168" t="s">
        <v>3</v>
      </c>
      <c r="H21" s="168"/>
      <c r="I21" s="168" t="s">
        <v>109</v>
      </c>
      <c r="J21" s="123"/>
      <c r="K21" s="123"/>
      <c r="L21" s="123"/>
      <c r="M21" s="123"/>
      <c r="N21" s="123"/>
      <c r="O21" s="123">
        <v>5.7800000000000004E-2</v>
      </c>
      <c r="P21" s="123">
        <v>5.6799999999999996E-2</v>
      </c>
      <c r="Q21" s="123">
        <v>0.1575</v>
      </c>
      <c r="R21" s="123">
        <v>7.3200000000000001E-2</v>
      </c>
      <c r="S21" s="123">
        <v>5.3350000000000002E-2</v>
      </c>
      <c r="T21" s="123">
        <v>7.2099999999999997E-2</v>
      </c>
      <c r="U21" s="107">
        <v>7.3222593869731775E-2</v>
      </c>
      <c r="V21" s="107">
        <v>6.9354528735632331E-2</v>
      </c>
      <c r="W21" s="107">
        <v>0.10586615708812261</v>
      </c>
      <c r="X21" s="107">
        <v>0.11599999999999999</v>
      </c>
      <c r="Y21" s="110">
        <v>0.10465000000000001</v>
      </c>
      <c r="Z21" s="110">
        <v>7.8E-2</v>
      </c>
      <c r="AA21" s="110">
        <v>9.5700000000000007E-2</v>
      </c>
      <c r="AB21" s="110">
        <v>6.4600000000000005E-2</v>
      </c>
      <c r="AC21" s="110">
        <v>5.04E-2</v>
      </c>
      <c r="AD21" s="114">
        <v>0.10220000000000001</v>
      </c>
      <c r="AE21" s="110">
        <v>8.8000000000000009E-2</v>
      </c>
      <c r="AF21" s="110">
        <v>0.14000000000000001</v>
      </c>
      <c r="AG21" s="110">
        <v>0.10349999999999999</v>
      </c>
      <c r="AH21" s="110">
        <v>7.3499999999999996E-2</v>
      </c>
      <c r="AI21" s="110">
        <v>6.2E-2</v>
      </c>
      <c r="AJ21" s="110">
        <f>AI21+(AJ$39-AI$39)</f>
        <v>6.2E-2</v>
      </c>
      <c r="AK21" s="110">
        <f t="shared" ref="AK21:AZ25" si="26">AJ21+(AK$39-AJ$39)</f>
        <v>6.2E-2</v>
      </c>
      <c r="AL21" s="110">
        <f t="shared" si="26"/>
        <v>6.2E-2</v>
      </c>
      <c r="AM21" s="110">
        <f t="shared" si="26"/>
        <v>6.2E-2</v>
      </c>
      <c r="AN21" s="110">
        <f t="shared" si="26"/>
        <v>6.2E-2</v>
      </c>
      <c r="AO21" s="110">
        <f t="shared" si="26"/>
        <v>6.2E-2</v>
      </c>
      <c r="AP21" s="110">
        <f t="shared" si="26"/>
        <v>6.2E-2</v>
      </c>
      <c r="AQ21" s="110">
        <f t="shared" si="26"/>
        <v>6.2E-2</v>
      </c>
      <c r="AR21" s="110">
        <f t="shared" si="26"/>
        <v>6.2E-2</v>
      </c>
      <c r="AS21" s="110">
        <f t="shared" si="26"/>
        <v>6.2E-2</v>
      </c>
      <c r="AT21" s="110">
        <f t="shared" si="26"/>
        <v>6.2E-2</v>
      </c>
      <c r="AU21" s="110">
        <f t="shared" si="26"/>
        <v>6.2E-2</v>
      </c>
      <c r="AV21" s="110">
        <f t="shared" si="26"/>
        <v>6.2E-2</v>
      </c>
      <c r="AW21" s="110">
        <f t="shared" si="26"/>
        <v>6.2E-2</v>
      </c>
      <c r="AX21" s="110">
        <f t="shared" si="26"/>
        <v>6.2E-2</v>
      </c>
      <c r="AY21" s="110">
        <f t="shared" si="26"/>
        <v>6.2E-2</v>
      </c>
      <c r="AZ21" s="110">
        <f t="shared" si="26"/>
        <v>6.2E-2</v>
      </c>
      <c r="BA21" s="110">
        <f t="shared" ref="AZ21:BG23" si="27">AZ21+(BA$39-AZ$39)</f>
        <v>6.2E-2</v>
      </c>
      <c r="BB21" s="110">
        <f t="shared" si="27"/>
        <v>6.2E-2</v>
      </c>
      <c r="BC21" s="110">
        <f t="shared" si="27"/>
        <v>6.2E-2</v>
      </c>
      <c r="BD21" s="110">
        <f t="shared" si="27"/>
        <v>6.2E-2</v>
      </c>
      <c r="BE21" s="110">
        <f t="shared" si="27"/>
        <v>6.2E-2</v>
      </c>
      <c r="BF21" s="110">
        <f t="shared" si="27"/>
        <v>6.2E-2</v>
      </c>
      <c r="BG21" s="110">
        <f t="shared" si="27"/>
        <v>6.2E-2</v>
      </c>
    </row>
    <row r="22" spans="1:59" ht="13.75" customHeight="1">
      <c r="A22" s="141" t="s">
        <v>86</v>
      </c>
      <c r="B22" s="165"/>
      <c r="C22" s="165"/>
      <c r="D22" s="165" t="s">
        <v>87</v>
      </c>
      <c r="E22" s="167"/>
      <c r="F22" s="168" t="s">
        <v>126</v>
      </c>
      <c r="G22" s="168" t="s">
        <v>3</v>
      </c>
      <c r="H22" s="168"/>
      <c r="I22" s="168" t="s">
        <v>109</v>
      </c>
      <c r="J22" s="123"/>
      <c r="K22" s="123"/>
      <c r="L22" s="123"/>
      <c r="M22" s="123"/>
      <c r="N22" s="123"/>
      <c r="O22" s="123">
        <v>6.1500000000000006E-2</v>
      </c>
      <c r="P22" s="123">
        <v>6.6699999999999995E-2</v>
      </c>
      <c r="Q22" s="123">
        <v>0.16</v>
      </c>
      <c r="R22" s="123">
        <v>7.5999999999999998E-2</v>
      </c>
      <c r="S22" s="123">
        <v>6.7500000000000004E-2</v>
      </c>
      <c r="T22" s="123">
        <v>7.4200000000000002E-2</v>
      </c>
      <c r="U22" s="107">
        <v>7.5070977011494247E-2</v>
      </c>
      <c r="V22" s="107">
        <v>6.9934961685823707E-2</v>
      </c>
      <c r="W22" s="107">
        <v>9.8913639846743243E-2</v>
      </c>
      <c r="X22" s="107">
        <v>0.1079</v>
      </c>
      <c r="Y22" s="110">
        <v>9.5299999999999996E-2</v>
      </c>
      <c r="Z22" s="110">
        <v>7.5899999999999995E-2</v>
      </c>
      <c r="AA22" s="110">
        <v>9.6799999999999997E-2</v>
      </c>
      <c r="AB22" s="110">
        <v>6.3399999999999998E-2</v>
      </c>
      <c r="AC22" s="110">
        <v>5.5399999999999998E-2</v>
      </c>
      <c r="AD22" s="114">
        <v>9.35E-2</v>
      </c>
      <c r="AE22" s="110">
        <v>9.6999999999999989E-2</v>
      </c>
      <c r="AF22" s="110">
        <v>0.13</v>
      </c>
      <c r="AG22" s="110">
        <v>0.105</v>
      </c>
      <c r="AH22" s="110">
        <v>7.400000000000001E-2</v>
      </c>
      <c r="AI22" s="110">
        <v>6.4000000000000001E-2</v>
      </c>
      <c r="AJ22" s="110">
        <f t="shared" ref="AJ22:AL25" si="28">AI22+(AJ$39-AI$39)</f>
        <v>6.4000000000000001E-2</v>
      </c>
      <c r="AK22" s="110">
        <f t="shared" si="28"/>
        <v>6.4000000000000001E-2</v>
      </c>
      <c r="AL22" s="110">
        <f t="shared" si="28"/>
        <v>6.4000000000000001E-2</v>
      </c>
      <c r="AM22" s="110">
        <f t="shared" si="26"/>
        <v>6.4000000000000001E-2</v>
      </c>
      <c r="AN22" s="110">
        <f t="shared" si="26"/>
        <v>6.4000000000000001E-2</v>
      </c>
      <c r="AO22" s="110">
        <f t="shared" si="26"/>
        <v>6.4000000000000001E-2</v>
      </c>
      <c r="AP22" s="110">
        <f t="shared" si="26"/>
        <v>6.4000000000000001E-2</v>
      </c>
      <c r="AQ22" s="110">
        <f t="shared" si="26"/>
        <v>6.4000000000000001E-2</v>
      </c>
      <c r="AR22" s="110">
        <f t="shared" si="26"/>
        <v>6.4000000000000001E-2</v>
      </c>
      <c r="AS22" s="110">
        <f t="shared" si="26"/>
        <v>6.4000000000000001E-2</v>
      </c>
      <c r="AT22" s="110">
        <f t="shared" si="26"/>
        <v>6.4000000000000001E-2</v>
      </c>
      <c r="AU22" s="110">
        <f t="shared" si="26"/>
        <v>6.4000000000000001E-2</v>
      </c>
      <c r="AV22" s="110">
        <f>AU22+(AV$39-AU$39)</f>
        <v>6.4000000000000001E-2</v>
      </c>
      <c r="AW22" s="110">
        <f>AV22+(AW$39-AV$39)</f>
        <v>6.4000000000000001E-2</v>
      </c>
      <c r="AX22" s="110">
        <f t="shared" si="26"/>
        <v>6.4000000000000001E-2</v>
      </c>
      <c r="AY22" s="110">
        <f t="shared" si="26"/>
        <v>6.4000000000000001E-2</v>
      </c>
      <c r="AZ22" s="110">
        <f t="shared" si="26"/>
        <v>6.4000000000000001E-2</v>
      </c>
      <c r="BA22" s="110">
        <f t="shared" si="27"/>
        <v>6.4000000000000001E-2</v>
      </c>
      <c r="BB22" s="110">
        <f t="shared" si="27"/>
        <v>6.4000000000000001E-2</v>
      </c>
      <c r="BC22" s="110">
        <f t="shared" si="27"/>
        <v>6.4000000000000001E-2</v>
      </c>
      <c r="BD22" s="110">
        <f t="shared" si="27"/>
        <v>6.4000000000000001E-2</v>
      </c>
      <c r="BE22" s="110">
        <f t="shared" si="27"/>
        <v>6.4000000000000001E-2</v>
      </c>
      <c r="BF22" s="110">
        <f t="shared" si="27"/>
        <v>6.4000000000000001E-2</v>
      </c>
      <c r="BG22" s="110">
        <f t="shared" si="27"/>
        <v>6.4000000000000001E-2</v>
      </c>
    </row>
    <row r="23" spans="1:59" ht="13.75" customHeight="1">
      <c r="A23" s="141" t="s">
        <v>86</v>
      </c>
      <c r="B23" s="165"/>
      <c r="C23" s="165"/>
      <c r="D23" s="165" t="s">
        <v>87</v>
      </c>
      <c r="E23" s="167"/>
      <c r="F23" s="168" t="s">
        <v>127</v>
      </c>
      <c r="G23" s="168" t="s">
        <v>3</v>
      </c>
      <c r="H23" s="168"/>
      <c r="I23" s="168" t="s">
        <v>109</v>
      </c>
      <c r="J23" s="123"/>
      <c r="K23" s="123"/>
      <c r="L23" s="123"/>
      <c r="M23" s="123"/>
      <c r="N23" s="123"/>
      <c r="O23" s="123">
        <v>6.4000000000000001E-2</v>
      </c>
      <c r="P23" s="123">
        <v>7.1800000000000003E-2</v>
      </c>
      <c r="Q23" s="123">
        <v>0.16500000000000001</v>
      </c>
      <c r="R23" s="123">
        <v>7.85E-2</v>
      </c>
      <c r="S23" s="123">
        <v>7.3499999999999996E-2</v>
      </c>
      <c r="T23" s="123">
        <v>7.5399999999999995E-2</v>
      </c>
      <c r="U23" s="107">
        <v>7.6751555555555559E-2</v>
      </c>
      <c r="V23" s="107">
        <v>7.1434632183908123E-2</v>
      </c>
      <c r="W23" s="107">
        <v>9.633078544061302E-2</v>
      </c>
      <c r="X23" s="107">
        <v>0.10619999999999999</v>
      </c>
      <c r="Y23" s="110">
        <v>9.1799999999999993E-2</v>
      </c>
      <c r="Z23" s="110">
        <v>7.5499999999999998E-2</v>
      </c>
      <c r="AA23" s="110">
        <v>9.5600000000000004E-2</v>
      </c>
      <c r="AB23" s="110">
        <v>6.4600000000000005E-2</v>
      </c>
      <c r="AC23" s="110">
        <v>5.8799999999999998E-2</v>
      </c>
      <c r="AD23" s="114">
        <v>8.9399999999999993E-2</v>
      </c>
      <c r="AE23" s="110">
        <v>0.10199999999999999</v>
      </c>
      <c r="AF23" s="110">
        <v>0.12299999999999998</v>
      </c>
      <c r="AG23" s="110">
        <v>0.1065</v>
      </c>
      <c r="AH23" s="110">
        <v>7.7499999999999999E-2</v>
      </c>
      <c r="AI23" s="110">
        <v>6.9500000000000006E-2</v>
      </c>
      <c r="AJ23" s="110">
        <f t="shared" si="28"/>
        <v>6.9500000000000006E-2</v>
      </c>
      <c r="AK23" s="110">
        <f t="shared" si="28"/>
        <v>6.9500000000000006E-2</v>
      </c>
      <c r="AL23" s="110">
        <f t="shared" si="28"/>
        <v>6.9500000000000006E-2</v>
      </c>
      <c r="AM23" s="110">
        <f t="shared" si="26"/>
        <v>6.9500000000000006E-2</v>
      </c>
      <c r="AN23" s="110">
        <f t="shared" si="26"/>
        <v>6.9500000000000006E-2</v>
      </c>
      <c r="AO23" s="110">
        <f t="shared" si="26"/>
        <v>6.9500000000000006E-2</v>
      </c>
      <c r="AP23" s="110">
        <f t="shared" si="26"/>
        <v>6.9500000000000006E-2</v>
      </c>
      <c r="AQ23" s="110">
        <f t="shared" si="26"/>
        <v>6.9500000000000006E-2</v>
      </c>
      <c r="AR23" s="110">
        <f t="shared" si="26"/>
        <v>6.9500000000000006E-2</v>
      </c>
      <c r="AS23" s="110">
        <f t="shared" si="26"/>
        <v>6.9500000000000006E-2</v>
      </c>
      <c r="AT23" s="110">
        <f t="shared" si="26"/>
        <v>6.9500000000000006E-2</v>
      </c>
      <c r="AU23" s="110">
        <f t="shared" si="26"/>
        <v>6.9500000000000006E-2</v>
      </c>
      <c r="AV23" s="110">
        <f>AU23+(AV$39-AU$39)</f>
        <v>6.9500000000000006E-2</v>
      </c>
      <c r="AW23" s="110">
        <f>AV23+(AW$39-AV$39)</f>
        <v>6.9500000000000006E-2</v>
      </c>
      <c r="AX23" s="110">
        <f>AW23+(AX$39-AW$39)</f>
        <v>6.9500000000000006E-2</v>
      </c>
      <c r="AY23" s="110">
        <f>AX23+(AY$39-AX$39)</f>
        <v>6.9500000000000006E-2</v>
      </c>
      <c r="AZ23" s="110">
        <f t="shared" si="27"/>
        <v>6.9500000000000006E-2</v>
      </c>
      <c r="BA23" s="110">
        <f t="shared" si="27"/>
        <v>6.9500000000000006E-2</v>
      </c>
      <c r="BB23" s="110">
        <f t="shared" si="27"/>
        <v>6.9500000000000006E-2</v>
      </c>
      <c r="BC23" s="110">
        <f t="shared" si="27"/>
        <v>6.9500000000000006E-2</v>
      </c>
      <c r="BD23" s="110">
        <f t="shared" si="27"/>
        <v>6.9500000000000006E-2</v>
      </c>
      <c r="BE23" s="110">
        <f t="shared" si="27"/>
        <v>6.9500000000000006E-2</v>
      </c>
      <c r="BF23" s="110">
        <f t="shared" si="27"/>
        <v>6.9500000000000006E-2</v>
      </c>
      <c r="BG23" s="110">
        <f t="shared" si="27"/>
        <v>6.9500000000000006E-2</v>
      </c>
    </row>
    <row r="24" spans="1:59" ht="13.75" customHeight="1">
      <c r="A24" s="141" t="s">
        <v>86</v>
      </c>
      <c r="B24" s="165"/>
      <c r="C24" s="165"/>
      <c r="D24" s="165" t="s">
        <v>87</v>
      </c>
      <c r="E24" s="167"/>
      <c r="F24" s="168" t="s">
        <v>128</v>
      </c>
      <c r="G24" s="168" t="s">
        <v>3</v>
      </c>
      <c r="H24" s="168"/>
      <c r="I24" s="168" t="s">
        <v>109</v>
      </c>
      <c r="J24" s="123"/>
      <c r="K24" s="123"/>
      <c r="L24" s="123"/>
      <c r="M24" s="123"/>
      <c r="N24" s="123"/>
      <c r="O24" s="123">
        <v>6.4600000000000005E-2</v>
      </c>
      <c r="P24" s="123">
        <v>7.3700000000000002E-2</v>
      </c>
      <c r="Q24" s="123">
        <v>0.16500000000000001</v>
      </c>
      <c r="R24" s="123">
        <v>8.1500000000000003E-2</v>
      </c>
      <c r="S24" s="123">
        <v>7.6509999999999995E-2</v>
      </c>
      <c r="T24" s="123">
        <v>7.7100000000000002E-2</v>
      </c>
      <c r="U24" s="107">
        <v>7.8596911877394732E-2</v>
      </c>
      <c r="V24" s="107">
        <v>7.3566593869731592E-2</v>
      </c>
      <c r="W24" s="107">
        <v>9.5379850574712641E-2</v>
      </c>
      <c r="X24" s="110">
        <v>0.10539999999999999</v>
      </c>
      <c r="Y24" s="110">
        <v>8.9600000000000013E-2</v>
      </c>
      <c r="Z24" s="110">
        <v>7.5300000000000006E-2</v>
      </c>
      <c r="AA24" s="110">
        <v>9.4499999999999987E-2</v>
      </c>
      <c r="AB24" s="110">
        <v>6.8199999999999997E-2</v>
      </c>
      <c r="AC24" s="110">
        <v>6.13E-2</v>
      </c>
      <c r="AD24" s="110">
        <v>8.7899999999999992E-2</v>
      </c>
      <c r="AE24" s="110">
        <f t="shared" ref="AE24:AU24" si="29">AE23+(AE25-AE23)*2/5</f>
        <v>0.10479999999999999</v>
      </c>
      <c r="AF24" s="110">
        <f t="shared" si="29"/>
        <v>0.12039999999999999</v>
      </c>
      <c r="AG24" s="110">
        <f t="shared" si="29"/>
        <v>0.1067</v>
      </c>
      <c r="AH24" s="110">
        <f t="shared" si="29"/>
        <v>7.9500000000000001E-2</v>
      </c>
      <c r="AI24" s="110">
        <f t="shared" si="29"/>
        <v>7.1900000000000006E-2</v>
      </c>
      <c r="AJ24" s="110">
        <f t="shared" si="29"/>
        <v>7.1900000000000006E-2</v>
      </c>
      <c r="AK24" s="110">
        <f t="shared" si="29"/>
        <v>7.1900000000000006E-2</v>
      </c>
      <c r="AL24" s="110">
        <f t="shared" si="29"/>
        <v>7.1900000000000006E-2</v>
      </c>
      <c r="AM24" s="110">
        <f t="shared" si="29"/>
        <v>7.1900000000000006E-2</v>
      </c>
      <c r="AN24" s="110">
        <f t="shared" si="29"/>
        <v>7.1900000000000006E-2</v>
      </c>
      <c r="AO24" s="110">
        <f t="shared" si="29"/>
        <v>7.1900000000000006E-2</v>
      </c>
      <c r="AP24" s="110">
        <f t="shared" si="29"/>
        <v>7.1900000000000006E-2</v>
      </c>
      <c r="AQ24" s="110">
        <f t="shared" si="29"/>
        <v>7.1900000000000006E-2</v>
      </c>
      <c r="AR24" s="110">
        <f t="shared" si="29"/>
        <v>7.1900000000000006E-2</v>
      </c>
      <c r="AS24" s="110">
        <f t="shared" si="29"/>
        <v>7.1900000000000006E-2</v>
      </c>
      <c r="AT24" s="110">
        <f t="shared" si="29"/>
        <v>7.1900000000000006E-2</v>
      </c>
      <c r="AU24" s="110">
        <f t="shared" si="29"/>
        <v>7.1900000000000006E-2</v>
      </c>
      <c r="AV24" s="110">
        <f>AV23+(AV25-AV23)*2/5</f>
        <v>7.1900000000000006E-2</v>
      </c>
      <c r="AW24" s="110">
        <f>AW23+(AW25-AW23)*2/5</f>
        <v>7.1900000000000006E-2</v>
      </c>
      <c r="AX24" s="110">
        <f>AX23+(AX25-AX23)*2/5</f>
        <v>7.1900000000000006E-2</v>
      </c>
      <c r="AY24" s="110">
        <f t="shared" ref="AY24:BG24" si="30">AY23+(AY25-AY23)*2/5</f>
        <v>7.1900000000000006E-2</v>
      </c>
      <c r="AZ24" s="110">
        <f t="shared" si="30"/>
        <v>7.1900000000000006E-2</v>
      </c>
      <c r="BA24" s="110">
        <f t="shared" si="30"/>
        <v>7.1900000000000006E-2</v>
      </c>
      <c r="BB24" s="110">
        <f t="shared" si="30"/>
        <v>7.1900000000000006E-2</v>
      </c>
      <c r="BC24" s="110">
        <f t="shared" si="30"/>
        <v>7.1900000000000006E-2</v>
      </c>
      <c r="BD24" s="110">
        <f t="shared" si="30"/>
        <v>7.1900000000000006E-2</v>
      </c>
      <c r="BE24" s="110">
        <f t="shared" si="30"/>
        <v>7.1900000000000006E-2</v>
      </c>
      <c r="BF24" s="110">
        <f t="shared" si="30"/>
        <v>7.1900000000000006E-2</v>
      </c>
      <c r="BG24" s="110">
        <f t="shared" si="30"/>
        <v>7.1900000000000006E-2</v>
      </c>
    </row>
    <row r="25" spans="1:59" ht="13.75" customHeight="1">
      <c r="A25" s="141" t="s">
        <v>86</v>
      </c>
      <c r="B25" s="165"/>
      <c r="C25" s="165"/>
      <c r="D25" s="165" t="s">
        <v>87</v>
      </c>
      <c r="E25" s="167"/>
      <c r="F25" s="168" t="s">
        <v>129</v>
      </c>
      <c r="G25" s="168" t="s">
        <v>3</v>
      </c>
      <c r="H25" s="168"/>
      <c r="I25" s="168" t="s">
        <v>109</v>
      </c>
      <c r="J25" s="123"/>
      <c r="K25" s="123"/>
      <c r="L25" s="123"/>
      <c r="M25" s="123"/>
      <c r="N25" s="123"/>
      <c r="O25" s="123">
        <v>6.5099999999999991E-2</v>
      </c>
      <c r="P25" s="123">
        <v>7.6600000000000001E-2</v>
      </c>
      <c r="Q25" s="123">
        <v>0.16500000000000001</v>
      </c>
      <c r="R25" s="123">
        <v>8.199999999999999E-2</v>
      </c>
      <c r="S25" s="123">
        <v>7.9509999999999997E-2</v>
      </c>
      <c r="T25" s="123">
        <v>7.8899999999999998E-2</v>
      </c>
      <c r="U25" s="107">
        <v>8.1269616858237512E-2</v>
      </c>
      <c r="V25" s="107">
        <v>7.6304413793103459E-2</v>
      </c>
      <c r="W25" s="107">
        <v>9.5675601532567031E-2</v>
      </c>
      <c r="X25" s="107">
        <v>0.10390000000000001</v>
      </c>
      <c r="Y25" s="110">
        <v>8.7300000000000003E-2</v>
      </c>
      <c r="Z25" s="110">
        <v>7.5300000000000006E-2</v>
      </c>
      <c r="AA25" s="110">
        <v>9.3200000000000005E-2</v>
      </c>
      <c r="AB25" s="110">
        <v>6.8400000000000002E-2</v>
      </c>
      <c r="AC25" s="110">
        <v>6.4600000000000005E-2</v>
      </c>
      <c r="AD25" s="110">
        <v>8.77E-2</v>
      </c>
      <c r="AE25" s="110">
        <v>0.109</v>
      </c>
      <c r="AF25" s="110">
        <v>0.11650000000000001</v>
      </c>
      <c r="AG25" s="110">
        <v>0.10700000000000001</v>
      </c>
      <c r="AH25" s="110">
        <v>8.2500000000000004E-2</v>
      </c>
      <c r="AI25" s="110">
        <v>7.5500000000000012E-2</v>
      </c>
      <c r="AJ25" s="110">
        <f t="shared" si="28"/>
        <v>7.5500000000000012E-2</v>
      </c>
      <c r="AK25" s="110">
        <f t="shared" si="28"/>
        <v>7.5500000000000012E-2</v>
      </c>
      <c r="AL25" s="110">
        <f t="shared" si="28"/>
        <v>7.5500000000000012E-2</v>
      </c>
      <c r="AM25" s="110">
        <f t="shared" si="26"/>
        <v>7.5500000000000012E-2</v>
      </c>
      <c r="AN25" s="110">
        <f t="shared" si="26"/>
        <v>7.5500000000000012E-2</v>
      </c>
      <c r="AO25" s="110">
        <f t="shared" si="26"/>
        <v>7.5500000000000012E-2</v>
      </c>
      <c r="AP25" s="110">
        <f t="shared" si="26"/>
        <v>7.5500000000000012E-2</v>
      </c>
      <c r="AQ25" s="110">
        <f t="shared" si="26"/>
        <v>7.5500000000000012E-2</v>
      </c>
      <c r="AR25" s="110">
        <f t="shared" si="26"/>
        <v>7.5500000000000012E-2</v>
      </c>
      <c r="AS25" s="110">
        <f t="shared" si="26"/>
        <v>7.5500000000000012E-2</v>
      </c>
      <c r="AT25" s="110">
        <f t="shared" si="26"/>
        <v>7.5500000000000012E-2</v>
      </c>
      <c r="AU25" s="110">
        <f t="shared" si="26"/>
        <v>7.5500000000000012E-2</v>
      </c>
      <c r="AV25" s="110">
        <f>AU25+(AV$39-AU$39)</f>
        <v>7.5500000000000012E-2</v>
      </c>
      <c r="AW25" s="110">
        <f>AV25+(AW$39-AV$39)</f>
        <v>7.5500000000000012E-2</v>
      </c>
      <c r="AX25" s="110">
        <f>AW25+(AX$39-AW$39)</f>
        <v>7.5500000000000012E-2</v>
      </c>
      <c r="AY25" s="110">
        <f t="shared" ref="AY25:BG25" si="31">AX25+(AY$39-AX$39)</f>
        <v>7.5500000000000012E-2</v>
      </c>
      <c r="AZ25" s="110">
        <f t="shared" si="31"/>
        <v>7.5500000000000012E-2</v>
      </c>
      <c r="BA25" s="110">
        <f t="shared" si="31"/>
        <v>7.5500000000000012E-2</v>
      </c>
      <c r="BB25" s="110">
        <f t="shared" si="31"/>
        <v>7.5500000000000012E-2</v>
      </c>
      <c r="BC25" s="110">
        <f t="shared" si="31"/>
        <v>7.5500000000000012E-2</v>
      </c>
      <c r="BD25" s="110">
        <f t="shared" si="31"/>
        <v>7.5500000000000012E-2</v>
      </c>
      <c r="BE25" s="110">
        <f t="shared" si="31"/>
        <v>7.5500000000000012E-2</v>
      </c>
      <c r="BF25" s="110">
        <f t="shared" si="31"/>
        <v>7.5500000000000012E-2</v>
      </c>
      <c r="BG25" s="110">
        <f t="shared" si="31"/>
        <v>7.5500000000000012E-2</v>
      </c>
    </row>
    <row r="26" spans="1:59" ht="13.75" customHeight="1">
      <c r="A26" s="141" t="s">
        <v>86</v>
      </c>
      <c r="B26" s="165"/>
      <c r="C26" s="165"/>
      <c r="D26" s="165" t="s">
        <v>98</v>
      </c>
      <c r="E26" s="167"/>
      <c r="F26" s="168" t="s">
        <v>130</v>
      </c>
      <c r="G26" s="168" t="s">
        <v>131</v>
      </c>
      <c r="I26" s="168" t="s">
        <v>116</v>
      </c>
      <c r="J26" s="147">
        <v>17.318563380281692</v>
      </c>
      <c r="K26" s="147">
        <v>20.225351549295755</v>
      </c>
      <c r="L26" s="147">
        <v>22.797648048048025</v>
      </c>
      <c r="M26" s="147">
        <v>23.200051311953345</v>
      </c>
      <c r="N26" s="147">
        <v>22.72658742857142</v>
      </c>
      <c r="O26" s="147">
        <v>21.674498290598287</v>
      </c>
      <c r="P26" s="147">
        <v>21.310417415730349</v>
      </c>
      <c r="Q26" s="147">
        <v>22.925360076045614</v>
      </c>
      <c r="R26" s="147">
        <v>29.245193532338298</v>
      </c>
      <c r="S26" s="147">
        <v>29.492689383561622</v>
      </c>
      <c r="T26" s="147">
        <v>33.218057458563564</v>
      </c>
      <c r="U26" s="112">
        <v>33.114757028112443</v>
      </c>
      <c r="V26" s="112">
        <v>34.428351219512201</v>
      </c>
      <c r="W26" s="112">
        <v>42.014607692307678</v>
      </c>
      <c r="X26" s="107">
        <v>63.87710916334661</v>
      </c>
      <c r="Y26" s="112">
        <v>67.848924193548427</v>
      </c>
      <c r="Z26" s="111">
        <v>59.296312550607276</v>
      </c>
      <c r="AA26" s="112">
        <v>64.271352631578935</v>
      </c>
      <c r="AB26" s="112">
        <v>65.038546341463416</v>
      </c>
      <c r="AC26" s="112">
        <v>77.342137448559583</v>
      </c>
      <c r="AD26" s="112">
        <v>80.517745967741888</v>
      </c>
      <c r="AE26" s="112">
        <f>AE14/AE41</f>
        <v>74.698218263941129</v>
      </c>
      <c r="AF26" s="112">
        <f t="shared" ref="AF26:AV26" si="32">AF14/AF41</f>
        <v>93.212740046838391</v>
      </c>
      <c r="AG26" s="112">
        <f t="shared" si="32"/>
        <v>101.56884705882348</v>
      </c>
      <c r="AH26" s="112">
        <f t="shared" si="32"/>
        <v>104.07858156028354</v>
      </c>
      <c r="AI26" s="112">
        <f t="shared" si="32"/>
        <v>105.42893617021254</v>
      </c>
      <c r="AJ26" s="112">
        <f t="shared" si="32"/>
        <v>107.53751489361679</v>
      </c>
      <c r="AK26" s="112">
        <f t="shared" si="32"/>
        <v>109.68826519148914</v>
      </c>
      <c r="AL26" s="112">
        <f t="shared" si="32"/>
        <v>111.88203049531892</v>
      </c>
      <c r="AM26" s="112">
        <f t="shared" si="32"/>
        <v>114.11967110522529</v>
      </c>
      <c r="AN26" s="112">
        <f t="shared" si="32"/>
        <v>116.40206452732981</v>
      </c>
      <c r="AO26" s="112">
        <f t="shared" si="32"/>
        <v>118.73010581787642</v>
      </c>
      <c r="AP26" s="112">
        <f t="shared" si="32"/>
        <v>121.10470793423396</v>
      </c>
      <c r="AQ26" s="112">
        <f t="shared" si="32"/>
        <v>123.52680209291864</v>
      </c>
      <c r="AR26" s="112">
        <f t="shared" si="32"/>
        <v>125.99733813477701</v>
      </c>
      <c r="AS26" s="112">
        <f t="shared" si="32"/>
        <v>128.51728489747256</v>
      </c>
      <c r="AT26" s="112">
        <f t="shared" si="32"/>
        <v>131.08763059542201</v>
      </c>
      <c r="AU26" s="112">
        <f t="shared" si="32"/>
        <v>133.70938320733046</v>
      </c>
      <c r="AV26" s="112">
        <f t="shared" si="32"/>
        <v>136.38357087147708</v>
      </c>
      <c r="AW26" s="112">
        <f>AW14/AW41</f>
        <v>139.11124228890662</v>
      </c>
      <c r="AX26" s="112">
        <f>AX14/AX41</f>
        <v>141.89346713468473</v>
      </c>
      <c r="AY26" s="112">
        <f>AY14/AY41</f>
        <v>144.73133647737845</v>
      </c>
      <c r="AZ26" s="112">
        <f>AZ14/AZ41</f>
        <v>147.62596320692603</v>
      </c>
      <c r="BA26" s="112">
        <f t="shared" ref="BA26:BG26" si="33">BA14/BA41</f>
        <v>150.57848247106455</v>
      </c>
      <c r="BB26" s="112">
        <f t="shared" si="33"/>
        <v>153.59005212048584</v>
      </c>
      <c r="BC26" s="112">
        <f t="shared" si="33"/>
        <v>156.66185316289557</v>
      </c>
      <c r="BD26" s="112">
        <f t="shared" si="33"/>
        <v>159.79509022615349</v>
      </c>
      <c r="BE26" s="112">
        <f t="shared" si="33"/>
        <v>162.99099203067658</v>
      </c>
      <c r="BF26" s="112">
        <f t="shared" si="33"/>
        <v>166.2508118712901</v>
      </c>
      <c r="BG26" s="112">
        <f t="shared" si="33"/>
        <v>169.57582810871588</v>
      </c>
    </row>
    <row r="27" spans="1:59" ht="13.75" customHeight="1">
      <c r="A27" s="141" t="s">
        <v>86</v>
      </c>
      <c r="B27" s="165"/>
      <c r="C27" s="165"/>
      <c r="D27" s="165" t="s">
        <v>98</v>
      </c>
      <c r="E27" s="167"/>
      <c r="F27" s="168" t="s">
        <v>132</v>
      </c>
      <c r="G27" s="168" t="s">
        <v>131</v>
      </c>
      <c r="I27" s="168" t="s">
        <v>116</v>
      </c>
      <c r="J27" s="147">
        <v>17.86</v>
      </c>
      <c r="K27" s="147">
        <v>22.777999999999999</v>
      </c>
      <c r="L27" s="147">
        <v>23.599499999999999</v>
      </c>
      <c r="M27" s="147">
        <v>24.482700000000001</v>
      </c>
      <c r="N27" s="147">
        <v>21.956299999999999</v>
      </c>
      <c r="O27" s="147">
        <v>21.597000000000001</v>
      </c>
      <c r="P27" s="147">
        <v>21.7879</v>
      </c>
      <c r="Q27" s="147">
        <v>27.832899999999999</v>
      </c>
      <c r="R27" s="147">
        <v>29.137</v>
      </c>
      <c r="S27" s="147">
        <v>32.4084</v>
      </c>
      <c r="T27" s="147">
        <v>34.236600000000003</v>
      </c>
      <c r="U27" s="112">
        <v>33.288800000000002</v>
      </c>
      <c r="V27" s="112">
        <v>36.695999999999998</v>
      </c>
      <c r="W27" s="112">
        <v>56.976300000000002</v>
      </c>
      <c r="X27" s="107">
        <v>73.611526999999995</v>
      </c>
      <c r="Y27" s="112">
        <v>59.415100000000002</v>
      </c>
      <c r="Z27" s="111">
        <v>58.974299999999999</v>
      </c>
      <c r="AA27" s="112">
        <v>70.578699999999998</v>
      </c>
      <c r="AB27" s="112">
        <v>63.603900000000003</v>
      </c>
      <c r="AC27" s="112">
        <v>83.513099999999994</v>
      </c>
      <c r="AD27" s="112">
        <v>80.937600000000003</v>
      </c>
      <c r="AE27" s="112">
        <f>AE7/AE40</f>
        <v>77.272183098591555</v>
      </c>
      <c r="AF27" s="112">
        <f t="shared" ref="AF27:AW27" si="34">AF7/AF40</f>
        <v>99.075471698113205</v>
      </c>
      <c r="AG27" s="112">
        <f t="shared" si="34"/>
        <v>101.33611374407575</v>
      </c>
      <c r="AH27" s="112">
        <f t="shared" si="34"/>
        <v>102.44690307328587</v>
      </c>
      <c r="AI27" s="112">
        <f t="shared" si="34"/>
        <v>103.79725768321487</v>
      </c>
      <c r="AJ27" s="112">
        <f t="shared" si="34"/>
        <v>107.53751489361679</v>
      </c>
      <c r="AK27" s="112">
        <f t="shared" si="34"/>
        <v>109.68826519148914</v>
      </c>
      <c r="AL27" s="112">
        <f t="shared" si="34"/>
        <v>111.88203049531892</v>
      </c>
      <c r="AM27" s="112">
        <f t="shared" si="34"/>
        <v>114.11967110522529</v>
      </c>
      <c r="AN27" s="112">
        <f t="shared" si="34"/>
        <v>116.40206452732981</v>
      </c>
      <c r="AO27" s="112">
        <f t="shared" si="34"/>
        <v>118.73010581787642</v>
      </c>
      <c r="AP27" s="112">
        <f t="shared" si="34"/>
        <v>121.10470793423396</v>
      </c>
      <c r="AQ27" s="112">
        <f t="shared" si="34"/>
        <v>123.52680209291864</v>
      </c>
      <c r="AR27" s="112">
        <f t="shared" si="34"/>
        <v>125.99733813477701</v>
      </c>
      <c r="AS27" s="112">
        <f t="shared" si="34"/>
        <v>128.51728489747256</v>
      </c>
      <c r="AT27" s="112">
        <f t="shared" si="34"/>
        <v>131.08763059542201</v>
      </c>
      <c r="AU27" s="112">
        <f t="shared" si="34"/>
        <v>133.70938320733046</v>
      </c>
      <c r="AV27" s="112">
        <f t="shared" si="34"/>
        <v>136.38357087147708</v>
      </c>
      <c r="AW27" s="112">
        <f t="shared" si="34"/>
        <v>139.11124228890662</v>
      </c>
      <c r="AX27" s="112">
        <f>AX7/AX40</f>
        <v>141.89346713468473</v>
      </c>
      <c r="AY27" s="112">
        <f>AY7/AY40</f>
        <v>144.73133647737845</v>
      </c>
      <c r="AZ27" s="112">
        <f t="shared" ref="AZ27:BG27" si="35">AZ7/AZ40</f>
        <v>147.62596320692603</v>
      </c>
      <c r="BA27" s="112">
        <f t="shared" si="35"/>
        <v>150.57848247106455</v>
      </c>
      <c r="BB27" s="112">
        <f t="shared" si="35"/>
        <v>153.59005212048584</v>
      </c>
      <c r="BC27" s="112">
        <f t="shared" si="35"/>
        <v>156.66185316289557</v>
      </c>
      <c r="BD27" s="112">
        <f t="shared" si="35"/>
        <v>159.79509022615349</v>
      </c>
      <c r="BE27" s="112">
        <f t="shared" si="35"/>
        <v>162.99099203067658</v>
      </c>
      <c r="BF27" s="112">
        <f t="shared" si="35"/>
        <v>166.2508118712901</v>
      </c>
      <c r="BG27" s="112">
        <f t="shared" si="35"/>
        <v>169.57582810871588</v>
      </c>
    </row>
    <row r="28" spans="1:59" ht="13.75" customHeight="1">
      <c r="A28" s="141" t="s">
        <v>86</v>
      </c>
      <c r="B28" s="165"/>
      <c r="C28" s="165"/>
      <c r="D28" s="165" t="s">
        <v>92</v>
      </c>
      <c r="E28" s="167"/>
      <c r="F28" s="168" t="s">
        <v>133</v>
      </c>
      <c r="G28" s="168" t="s">
        <v>3</v>
      </c>
      <c r="I28" s="168" t="s">
        <v>134</v>
      </c>
      <c r="J28" s="123">
        <v>-1.6E-2</v>
      </c>
      <c r="K28" s="123">
        <v>1.2E-2</v>
      </c>
      <c r="L28" s="123">
        <v>0.04</v>
      </c>
      <c r="M28" s="123">
        <v>4.2000000000000003E-2</v>
      </c>
      <c r="N28" s="123">
        <v>5.4000000000000006E-2</v>
      </c>
      <c r="O28" s="123">
        <v>1.1000000000000001E-2</v>
      </c>
      <c r="P28" s="123">
        <v>6.2E-2</v>
      </c>
      <c r="Q28" s="123">
        <v>-9.0000000000000011E-3</v>
      </c>
      <c r="R28" s="123">
        <v>4.2999999999999997E-2</v>
      </c>
      <c r="S28" s="123">
        <v>3.7999999999999999E-2</v>
      </c>
      <c r="T28" s="123">
        <v>4.7E-2</v>
      </c>
      <c r="U28" s="107">
        <v>2.1000000000000001E-2</v>
      </c>
      <c r="V28" s="107">
        <v>4.0000000000000001E-3</v>
      </c>
      <c r="W28" s="107">
        <v>8.0000000000000002E-3</v>
      </c>
      <c r="X28" s="107">
        <v>-5.0999999999999997E-2</v>
      </c>
      <c r="Y28" s="107">
        <v>-1.9E-2</v>
      </c>
      <c r="Z28" s="107">
        <v>3.2000000000000001E-2</v>
      </c>
      <c r="AA28" s="107">
        <v>1.3000000000000001E-2</v>
      </c>
      <c r="AB28" s="107">
        <v>1.7000000000000001E-2</v>
      </c>
      <c r="AC28" s="107">
        <v>-8.0000000000000002E-3</v>
      </c>
      <c r="AD28" s="107">
        <v>0.122</v>
      </c>
      <c r="AE28" s="107">
        <f t="shared" ref="AE28:AW28" si="36">AE4</f>
        <v>6.5000000000000002E-2</v>
      </c>
      <c r="AF28" s="107">
        <f t="shared" si="36"/>
        <v>3.1843454310135098E-2</v>
      </c>
      <c r="AG28" s="107">
        <f t="shared" si="36"/>
        <v>2.05918250055575E-2</v>
      </c>
      <c r="AH28" s="107">
        <f t="shared" si="36"/>
        <v>2.0591825005557101E-2</v>
      </c>
      <c r="AI28" s="107">
        <f>AI4</f>
        <v>2.0591825005557202E-2</v>
      </c>
      <c r="AJ28" s="107">
        <f t="shared" si="36"/>
        <v>0.02</v>
      </c>
      <c r="AK28" s="107">
        <f t="shared" si="36"/>
        <v>0.02</v>
      </c>
      <c r="AL28" s="107">
        <f t="shared" si="36"/>
        <v>0.02</v>
      </c>
      <c r="AM28" s="107">
        <f t="shared" si="36"/>
        <v>0.02</v>
      </c>
      <c r="AN28" s="107">
        <f t="shared" si="36"/>
        <v>0.02</v>
      </c>
      <c r="AO28" s="107">
        <f t="shared" si="36"/>
        <v>0.02</v>
      </c>
      <c r="AP28" s="107">
        <f t="shared" si="36"/>
        <v>0.02</v>
      </c>
      <c r="AQ28" s="107">
        <f t="shared" si="36"/>
        <v>0.02</v>
      </c>
      <c r="AR28" s="107">
        <f t="shared" si="36"/>
        <v>0.02</v>
      </c>
      <c r="AS28" s="107">
        <f t="shared" si="36"/>
        <v>0.02</v>
      </c>
      <c r="AT28" s="107">
        <f t="shared" si="36"/>
        <v>0.02</v>
      </c>
      <c r="AU28" s="107">
        <f t="shared" si="36"/>
        <v>0.02</v>
      </c>
      <c r="AV28" s="107">
        <f t="shared" si="36"/>
        <v>0.02</v>
      </c>
      <c r="AW28" s="107">
        <f t="shared" si="36"/>
        <v>0.02</v>
      </c>
      <c r="AX28" s="107">
        <f>AX4</f>
        <v>0.02</v>
      </c>
      <c r="AY28" s="107">
        <f>AY4</f>
        <v>0.02</v>
      </c>
      <c r="AZ28" s="107">
        <f>AZ4</f>
        <v>0.02</v>
      </c>
      <c r="BA28" s="107">
        <f>BA4</f>
        <v>0.02</v>
      </c>
      <c r="BB28" s="107">
        <f>BB4</f>
        <v>0.02</v>
      </c>
      <c r="BC28" s="107">
        <f t="shared" ref="BC28:BG28" si="37">BC4</f>
        <v>0.02</v>
      </c>
      <c r="BD28" s="107">
        <f t="shared" si="37"/>
        <v>0.02</v>
      </c>
      <c r="BE28" s="107">
        <f t="shared" si="37"/>
        <v>0.02</v>
      </c>
      <c r="BF28" s="107">
        <f t="shared" si="37"/>
        <v>0.02</v>
      </c>
      <c r="BG28" s="107">
        <f t="shared" si="37"/>
        <v>0.02</v>
      </c>
    </row>
    <row r="29" spans="1:59" ht="13.75" customHeight="1">
      <c r="A29" s="141" t="s">
        <v>86</v>
      </c>
      <c r="B29" s="165"/>
      <c r="C29" s="165"/>
      <c r="D29" s="165" t="s">
        <v>92</v>
      </c>
      <c r="E29" s="167"/>
      <c r="F29" s="168" t="s">
        <v>135</v>
      </c>
      <c r="G29" s="168" t="s">
        <v>3</v>
      </c>
      <c r="I29" s="168" t="s">
        <v>136</v>
      </c>
      <c r="J29" s="123">
        <v>2.1000000000000001E-2</v>
      </c>
      <c r="K29" s="123">
        <v>2.3E-2</v>
      </c>
      <c r="L29" s="123">
        <v>0.02</v>
      </c>
      <c r="M29" s="123">
        <v>2.3E-2</v>
      </c>
      <c r="N29" s="123">
        <v>2.3E-2</v>
      </c>
      <c r="O29" s="123">
        <v>1.9E-2</v>
      </c>
      <c r="P29" s="123">
        <v>3.1E-2</v>
      </c>
      <c r="Q29" s="123">
        <v>1.6E-2</v>
      </c>
      <c r="R29" s="123">
        <v>9.0000000000000011E-3</v>
      </c>
      <c r="S29" s="123">
        <v>2.2000000000000002E-2</v>
      </c>
      <c r="T29" s="123">
        <v>2.7999999999999997E-2</v>
      </c>
      <c r="U29" s="107">
        <v>2.2212505465675658E-2</v>
      </c>
      <c r="V29" s="107">
        <v>8.4695012404825132E-3</v>
      </c>
      <c r="W29" s="107">
        <v>-1.6118086189345071E-3</v>
      </c>
      <c r="X29" s="107">
        <v>2E-3</v>
      </c>
      <c r="Y29" s="107">
        <v>1.1000000000000001E-2</v>
      </c>
      <c r="Z29" s="107">
        <v>1.3000000000000001E-2</v>
      </c>
      <c r="AA29" s="107">
        <v>1.4999999999999999E-2</v>
      </c>
      <c r="AB29" s="107">
        <v>1.3000000000000001E-2</v>
      </c>
      <c r="AC29" s="107">
        <v>-3.0000000000000001E-3</v>
      </c>
      <c r="AD29" s="107">
        <v>0.05</v>
      </c>
      <c r="AE29" s="107">
        <v>9.1999999999999998E-2</v>
      </c>
      <c r="AF29" s="107">
        <v>4.1286924900720598E-2</v>
      </c>
      <c r="AG29" s="107">
        <v>2.20189611728994E-2</v>
      </c>
      <c r="AH29" s="107">
        <v>2.05918250055575E-2</v>
      </c>
      <c r="AI29" s="107">
        <v>2.0591825005557673E-2</v>
      </c>
      <c r="AJ29" s="107">
        <v>0.02</v>
      </c>
      <c r="AK29" s="107">
        <f t="shared" ref="AK29:AW29" si="38">AJ29</f>
        <v>0.02</v>
      </c>
      <c r="AL29" s="107">
        <f t="shared" si="38"/>
        <v>0.02</v>
      </c>
      <c r="AM29" s="107">
        <f t="shared" si="38"/>
        <v>0.02</v>
      </c>
      <c r="AN29" s="107">
        <f t="shared" si="38"/>
        <v>0.02</v>
      </c>
      <c r="AO29" s="107">
        <f t="shared" si="38"/>
        <v>0.02</v>
      </c>
      <c r="AP29" s="107">
        <f t="shared" si="38"/>
        <v>0.02</v>
      </c>
      <c r="AQ29" s="107">
        <f t="shared" si="38"/>
        <v>0.02</v>
      </c>
      <c r="AR29" s="107">
        <f t="shared" si="38"/>
        <v>0.02</v>
      </c>
      <c r="AS29" s="107">
        <f t="shared" si="38"/>
        <v>0.02</v>
      </c>
      <c r="AT29" s="107">
        <f t="shared" si="38"/>
        <v>0.02</v>
      </c>
      <c r="AU29" s="107">
        <f t="shared" si="38"/>
        <v>0.02</v>
      </c>
      <c r="AV29" s="107">
        <f t="shared" si="38"/>
        <v>0.02</v>
      </c>
      <c r="AW29" s="107">
        <f t="shared" si="38"/>
        <v>0.02</v>
      </c>
      <c r="AX29" s="107">
        <f>AW29</f>
        <v>0.02</v>
      </c>
      <c r="AY29" s="107">
        <f t="shared" ref="AY29:BG29" si="39">AX29</f>
        <v>0.02</v>
      </c>
      <c r="AZ29" s="107">
        <f t="shared" si="39"/>
        <v>0.02</v>
      </c>
      <c r="BA29" s="107">
        <f t="shared" si="39"/>
        <v>0.02</v>
      </c>
      <c r="BB29" s="107">
        <f t="shared" si="39"/>
        <v>0.02</v>
      </c>
      <c r="BC29" s="107">
        <f t="shared" si="39"/>
        <v>0.02</v>
      </c>
      <c r="BD29" s="107">
        <f t="shared" si="39"/>
        <v>0.02</v>
      </c>
      <c r="BE29" s="107">
        <f t="shared" si="39"/>
        <v>0.02</v>
      </c>
      <c r="BF29" s="107">
        <f t="shared" si="39"/>
        <v>0.02</v>
      </c>
      <c r="BG29" s="107">
        <f t="shared" si="39"/>
        <v>0.02</v>
      </c>
    </row>
    <row r="30" spans="1:59" ht="13.75" customHeight="1">
      <c r="A30" s="141" t="s">
        <v>86</v>
      </c>
      <c r="B30" s="165"/>
      <c r="C30" s="165"/>
      <c r="D30" s="165" t="s">
        <v>92</v>
      </c>
      <c r="E30" s="167"/>
      <c r="F30" s="168" t="s">
        <v>137</v>
      </c>
      <c r="G30" s="168" t="s">
        <v>3</v>
      </c>
      <c r="I30" s="168" t="s">
        <v>134</v>
      </c>
      <c r="J30" s="123">
        <v>-5.0000000000000001E-3</v>
      </c>
      <c r="K30" s="123">
        <v>1.4999999999999999E-2</v>
      </c>
      <c r="L30" s="123">
        <v>0.01</v>
      </c>
      <c r="M30" s="123">
        <v>3.7000000000000005E-2</v>
      </c>
      <c r="N30" s="123">
        <v>4.4999999999999998E-2</v>
      </c>
      <c r="O30" s="123">
        <v>3.7999999999999999E-2</v>
      </c>
      <c r="P30" s="123">
        <v>4.4000000000000004E-2</v>
      </c>
      <c r="Q30" s="123">
        <v>1.4999999999999999E-2</v>
      </c>
      <c r="R30" s="123">
        <v>-0.03</v>
      </c>
      <c r="S30" s="123">
        <v>0.05</v>
      </c>
      <c r="T30" s="123">
        <v>4.4000000000000004E-2</v>
      </c>
      <c r="U30" s="107">
        <v>2.4E-2</v>
      </c>
      <c r="V30" s="107">
        <v>-1E-3</v>
      </c>
      <c r="W30" s="107">
        <v>-1.2999999999999999E-2</v>
      </c>
      <c r="X30" s="107">
        <v>-1.9E-2</v>
      </c>
      <c r="Y30" s="107">
        <v>-1.0999999999999999E-2</v>
      </c>
      <c r="Z30" s="107">
        <v>2.2000000000000002E-2</v>
      </c>
      <c r="AA30" s="107">
        <v>3.1E-2</v>
      </c>
      <c r="AB30" s="107">
        <v>-6.9999999999999993E-3</v>
      </c>
      <c r="AC30" s="107">
        <v>-1.1000000000000001E-2</v>
      </c>
      <c r="AD30" s="107">
        <v>0.23699999999999999</v>
      </c>
      <c r="AE30" s="107">
        <f>AE29</f>
        <v>9.1999999999999998E-2</v>
      </c>
      <c r="AF30" s="107">
        <f t="shared" ref="AF30" si="40">AF29</f>
        <v>4.1286924900720598E-2</v>
      </c>
      <c r="AG30" s="107">
        <f>AG29</f>
        <v>2.20189611728994E-2</v>
      </c>
      <c r="AH30" s="107">
        <f>AH29</f>
        <v>2.05918250055575E-2</v>
      </c>
      <c r="AI30" s="107">
        <f t="shared" ref="AI30:BG30" si="41">AI29</f>
        <v>2.0591825005557673E-2</v>
      </c>
      <c r="AJ30" s="107">
        <f t="shared" si="41"/>
        <v>0.02</v>
      </c>
      <c r="AK30" s="107">
        <f t="shared" si="41"/>
        <v>0.02</v>
      </c>
      <c r="AL30" s="107">
        <f t="shared" si="41"/>
        <v>0.02</v>
      </c>
      <c r="AM30" s="107">
        <f t="shared" si="41"/>
        <v>0.02</v>
      </c>
      <c r="AN30" s="107">
        <f t="shared" si="41"/>
        <v>0.02</v>
      </c>
      <c r="AO30" s="107">
        <f t="shared" si="41"/>
        <v>0.02</v>
      </c>
      <c r="AP30" s="107">
        <f t="shared" si="41"/>
        <v>0.02</v>
      </c>
      <c r="AQ30" s="107">
        <f t="shared" si="41"/>
        <v>0.02</v>
      </c>
      <c r="AR30" s="107">
        <f t="shared" si="41"/>
        <v>0.02</v>
      </c>
      <c r="AS30" s="107">
        <f t="shared" si="41"/>
        <v>0.02</v>
      </c>
      <c r="AT30" s="107">
        <f t="shared" si="41"/>
        <v>0.02</v>
      </c>
      <c r="AU30" s="107">
        <f t="shared" si="41"/>
        <v>0.02</v>
      </c>
      <c r="AV30" s="107">
        <f t="shared" si="41"/>
        <v>0.02</v>
      </c>
      <c r="AW30" s="107">
        <f t="shared" si="41"/>
        <v>0.02</v>
      </c>
      <c r="AX30" s="107">
        <f t="shared" si="41"/>
        <v>0.02</v>
      </c>
      <c r="AY30" s="107">
        <f t="shared" si="41"/>
        <v>0.02</v>
      </c>
      <c r="AZ30" s="107">
        <f t="shared" si="41"/>
        <v>0.02</v>
      </c>
      <c r="BA30" s="107">
        <f t="shared" si="41"/>
        <v>0.02</v>
      </c>
      <c r="BB30" s="107">
        <f t="shared" si="41"/>
        <v>0.02</v>
      </c>
      <c r="BC30" s="107">
        <f t="shared" si="41"/>
        <v>0.02</v>
      </c>
      <c r="BD30" s="107">
        <f t="shared" si="41"/>
        <v>0.02</v>
      </c>
      <c r="BE30" s="107">
        <f t="shared" si="41"/>
        <v>0.02</v>
      </c>
      <c r="BF30" s="107">
        <f t="shared" si="41"/>
        <v>0.02</v>
      </c>
      <c r="BG30" s="107">
        <f t="shared" si="41"/>
        <v>0.02</v>
      </c>
    </row>
    <row r="31" spans="1:59" ht="13.75" customHeight="1">
      <c r="A31" s="141" t="s">
        <v>86</v>
      </c>
      <c r="B31" s="165"/>
      <c r="C31" s="165"/>
      <c r="D31" s="165" t="s">
        <v>110</v>
      </c>
      <c r="E31" s="167"/>
      <c r="F31" s="168" t="s">
        <v>138</v>
      </c>
      <c r="G31" s="168" t="s">
        <v>3</v>
      </c>
      <c r="H31" s="168"/>
      <c r="I31" s="168" t="s">
        <v>139</v>
      </c>
      <c r="U31" s="107">
        <v>5.0999999999999997E-2</v>
      </c>
      <c r="V31" s="107">
        <v>5.0999999999999997E-2</v>
      </c>
      <c r="W31" s="107">
        <v>5.0999999999999997E-2</v>
      </c>
      <c r="X31" s="108">
        <v>5.0999999999999997E-2</v>
      </c>
      <c r="Y31" s="107">
        <v>5.0999999999999997E-2</v>
      </c>
      <c r="Z31" s="107">
        <v>5.0999999999999997E-2</v>
      </c>
      <c r="AA31" s="107">
        <v>5.0999999999999997E-2</v>
      </c>
      <c r="AB31" s="107">
        <v>5.0999999999999997E-2</v>
      </c>
      <c r="AC31" s="107">
        <v>5.0999999999999997E-2</v>
      </c>
      <c r="AD31" s="107">
        <v>5.0999999999999997E-2</v>
      </c>
      <c r="AE31" s="107">
        <f t="shared" ref="AE31:AT37" si="42">AD31</f>
        <v>5.0999999999999997E-2</v>
      </c>
      <c r="AF31" s="107">
        <f t="shared" si="42"/>
        <v>5.0999999999999997E-2</v>
      </c>
      <c r="AG31" s="107">
        <f t="shared" si="42"/>
        <v>5.0999999999999997E-2</v>
      </c>
      <c r="AH31" s="107">
        <f t="shared" si="42"/>
        <v>5.0999999999999997E-2</v>
      </c>
      <c r="AI31" s="107">
        <f t="shared" si="42"/>
        <v>5.0999999999999997E-2</v>
      </c>
      <c r="AJ31" s="107">
        <f t="shared" si="42"/>
        <v>5.0999999999999997E-2</v>
      </c>
      <c r="AK31" s="107">
        <f t="shared" si="42"/>
        <v>5.0999999999999997E-2</v>
      </c>
      <c r="AL31" s="107">
        <f t="shared" si="42"/>
        <v>5.0999999999999997E-2</v>
      </c>
      <c r="AM31" s="107">
        <f t="shared" si="42"/>
        <v>5.0999999999999997E-2</v>
      </c>
      <c r="AN31" s="107">
        <f t="shared" si="42"/>
        <v>5.0999999999999997E-2</v>
      </c>
      <c r="AO31" s="107">
        <f t="shared" si="42"/>
        <v>5.0999999999999997E-2</v>
      </c>
      <c r="AP31" s="107">
        <f t="shared" si="42"/>
        <v>5.0999999999999997E-2</v>
      </c>
      <c r="AQ31" s="107">
        <f t="shared" si="42"/>
        <v>5.0999999999999997E-2</v>
      </c>
      <c r="AR31" s="107">
        <f t="shared" si="42"/>
        <v>5.0999999999999997E-2</v>
      </c>
      <c r="AS31" s="107">
        <f t="shared" si="42"/>
        <v>5.0999999999999997E-2</v>
      </c>
      <c r="AT31" s="107">
        <f t="shared" si="42"/>
        <v>5.0999999999999997E-2</v>
      </c>
      <c r="AU31" s="107">
        <f t="shared" ref="AU31:BG37" si="43">AT31</f>
        <v>5.0999999999999997E-2</v>
      </c>
      <c r="AV31" s="107">
        <f t="shared" si="43"/>
        <v>5.0999999999999997E-2</v>
      </c>
      <c r="AW31" s="107">
        <f t="shared" si="43"/>
        <v>5.0999999999999997E-2</v>
      </c>
      <c r="AX31" s="107">
        <f t="shared" si="43"/>
        <v>5.0999999999999997E-2</v>
      </c>
      <c r="AY31" s="107">
        <f t="shared" si="43"/>
        <v>5.0999999999999997E-2</v>
      </c>
      <c r="AZ31" s="107">
        <f t="shared" si="43"/>
        <v>5.0999999999999997E-2</v>
      </c>
      <c r="BA31" s="107">
        <f t="shared" si="43"/>
        <v>5.0999999999999997E-2</v>
      </c>
      <c r="BB31" s="107">
        <f t="shared" si="43"/>
        <v>5.0999999999999997E-2</v>
      </c>
      <c r="BC31" s="107">
        <f t="shared" si="43"/>
        <v>5.0999999999999997E-2</v>
      </c>
      <c r="BD31" s="107">
        <f t="shared" si="43"/>
        <v>5.0999999999999997E-2</v>
      </c>
      <c r="BE31" s="107">
        <f t="shared" si="43"/>
        <v>5.0999999999999997E-2</v>
      </c>
      <c r="BF31" s="107">
        <f t="shared" si="43"/>
        <v>5.0999999999999997E-2</v>
      </c>
      <c r="BG31" s="107">
        <f t="shared" si="43"/>
        <v>5.0999999999999997E-2</v>
      </c>
    </row>
    <row r="32" spans="1:59" ht="13.75" customHeight="1">
      <c r="A32" s="141" t="s">
        <v>86</v>
      </c>
      <c r="B32" s="165"/>
      <c r="C32" s="165"/>
      <c r="D32" s="165" t="s">
        <v>110</v>
      </c>
      <c r="E32" s="167"/>
      <c r="F32" s="168" t="s">
        <v>140</v>
      </c>
      <c r="G32" s="168" t="s">
        <v>3</v>
      </c>
      <c r="H32" s="168"/>
      <c r="I32" s="168" t="s">
        <v>139</v>
      </c>
      <c r="U32" s="107">
        <v>2.9000000000000001E-2</v>
      </c>
      <c r="V32" s="107">
        <v>2.9000000000000001E-2</v>
      </c>
      <c r="W32" s="107">
        <v>2.9000000000000001E-2</v>
      </c>
      <c r="X32" s="108">
        <v>2.9000000000000001E-2</v>
      </c>
      <c r="Y32" s="107">
        <v>2.9000000000000001E-2</v>
      </c>
      <c r="Z32" s="107">
        <v>2.9000000000000001E-2</v>
      </c>
      <c r="AA32" s="107">
        <v>2.9000000000000001E-2</v>
      </c>
      <c r="AB32" s="107">
        <v>2.9000000000000001E-2</v>
      </c>
      <c r="AC32" s="107">
        <v>2.9000000000000001E-2</v>
      </c>
      <c r="AD32" s="107">
        <v>2.9000000000000001E-2</v>
      </c>
      <c r="AE32" s="107">
        <f t="shared" si="42"/>
        <v>2.9000000000000001E-2</v>
      </c>
      <c r="AF32" s="107">
        <f t="shared" si="42"/>
        <v>2.9000000000000001E-2</v>
      </c>
      <c r="AG32" s="107">
        <f t="shared" si="42"/>
        <v>2.9000000000000001E-2</v>
      </c>
      <c r="AH32" s="107">
        <f t="shared" si="42"/>
        <v>2.9000000000000001E-2</v>
      </c>
      <c r="AI32" s="107">
        <f t="shared" si="42"/>
        <v>2.9000000000000001E-2</v>
      </c>
      <c r="AJ32" s="107">
        <f t="shared" si="42"/>
        <v>2.9000000000000001E-2</v>
      </c>
      <c r="AK32" s="107">
        <f t="shared" si="42"/>
        <v>2.9000000000000001E-2</v>
      </c>
      <c r="AL32" s="107">
        <f t="shared" si="42"/>
        <v>2.9000000000000001E-2</v>
      </c>
      <c r="AM32" s="107">
        <f t="shared" si="42"/>
        <v>2.9000000000000001E-2</v>
      </c>
      <c r="AN32" s="107">
        <f t="shared" si="42"/>
        <v>2.9000000000000001E-2</v>
      </c>
      <c r="AO32" s="107">
        <f t="shared" si="42"/>
        <v>2.9000000000000001E-2</v>
      </c>
      <c r="AP32" s="107">
        <f t="shared" si="42"/>
        <v>2.9000000000000001E-2</v>
      </c>
      <c r="AQ32" s="107">
        <f t="shared" si="42"/>
        <v>2.9000000000000001E-2</v>
      </c>
      <c r="AR32" s="107">
        <f t="shared" si="42"/>
        <v>2.9000000000000001E-2</v>
      </c>
      <c r="AS32" s="107">
        <f t="shared" si="42"/>
        <v>2.9000000000000001E-2</v>
      </c>
      <c r="AT32" s="107">
        <f t="shared" si="42"/>
        <v>2.9000000000000001E-2</v>
      </c>
      <c r="AU32" s="107">
        <f t="shared" si="43"/>
        <v>2.9000000000000001E-2</v>
      </c>
      <c r="AV32" s="107">
        <f t="shared" si="43"/>
        <v>2.9000000000000001E-2</v>
      </c>
      <c r="AW32" s="107">
        <f t="shared" si="43"/>
        <v>2.9000000000000001E-2</v>
      </c>
      <c r="AX32" s="107">
        <f t="shared" si="43"/>
        <v>2.9000000000000001E-2</v>
      </c>
      <c r="AY32" s="107">
        <f t="shared" si="43"/>
        <v>2.9000000000000001E-2</v>
      </c>
      <c r="AZ32" s="107">
        <f t="shared" si="43"/>
        <v>2.9000000000000001E-2</v>
      </c>
      <c r="BA32" s="107">
        <f t="shared" si="43"/>
        <v>2.9000000000000001E-2</v>
      </c>
      <c r="BB32" s="107">
        <f t="shared" si="43"/>
        <v>2.9000000000000001E-2</v>
      </c>
      <c r="BC32" s="107">
        <f t="shared" si="43"/>
        <v>2.9000000000000001E-2</v>
      </c>
      <c r="BD32" s="107">
        <f t="shared" si="43"/>
        <v>2.9000000000000001E-2</v>
      </c>
      <c r="BE32" s="107">
        <f t="shared" si="43"/>
        <v>2.9000000000000001E-2</v>
      </c>
      <c r="BF32" s="107">
        <f t="shared" si="43"/>
        <v>2.9000000000000001E-2</v>
      </c>
      <c r="BG32" s="107">
        <f t="shared" si="43"/>
        <v>2.9000000000000001E-2</v>
      </c>
    </row>
    <row r="33" spans="1:59" ht="13.75" customHeight="1">
      <c r="A33" s="141" t="s">
        <v>86</v>
      </c>
      <c r="B33" s="165"/>
      <c r="C33" s="165"/>
      <c r="D33" s="165" t="s">
        <v>110</v>
      </c>
      <c r="E33" s="167"/>
      <c r="F33" s="168" t="s">
        <v>141</v>
      </c>
      <c r="G33" s="168" t="s">
        <v>3</v>
      </c>
      <c r="H33" s="168"/>
      <c r="I33" s="168" t="s">
        <v>139</v>
      </c>
      <c r="U33" s="107">
        <v>0.22</v>
      </c>
      <c r="V33" s="107">
        <v>0.22</v>
      </c>
      <c r="W33" s="107">
        <v>0.22</v>
      </c>
      <c r="X33" s="108">
        <v>0.22</v>
      </c>
      <c r="Y33" s="107">
        <v>0.22</v>
      </c>
      <c r="Z33" s="107">
        <v>0.22</v>
      </c>
      <c r="AA33" s="107">
        <v>0.22</v>
      </c>
      <c r="AB33" s="107">
        <v>0.22</v>
      </c>
      <c r="AC33" s="107">
        <v>0.22</v>
      </c>
      <c r="AD33" s="107">
        <v>0.22</v>
      </c>
      <c r="AE33" s="107">
        <f t="shared" si="42"/>
        <v>0.22</v>
      </c>
      <c r="AF33" s="107">
        <f t="shared" si="42"/>
        <v>0.22</v>
      </c>
      <c r="AG33" s="107">
        <f t="shared" si="42"/>
        <v>0.22</v>
      </c>
      <c r="AH33" s="107">
        <f t="shared" si="42"/>
        <v>0.22</v>
      </c>
      <c r="AI33" s="107">
        <f t="shared" si="42"/>
        <v>0.22</v>
      </c>
      <c r="AJ33" s="107">
        <f t="shared" si="42"/>
        <v>0.22</v>
      </c>
      <c r="AK33" s="107">
        <f t="shared" si="42"/>
        <v>0.22</v>
      </c>
      <c r="AL33" s="107">
        <f t="shared" si="42"/>
        <v>0.22</v>
      </c>
      <c r="AM33" s="107">
        <f t="shared" si="42"/>
        <v>0.22</v>
      </c>
      <c r="AN33" s="107">
        <f t="shared" si="42"/>
        <v>0.22</v>
      </c>
      <c r="AO33" s="107">
        <f t="shared" si="42"/>
        <v>0.22</v>
      </c>
      <c r="AP33" s="107">
        <f t="shared" si="42"/>
        <v>0.22</v>
      </c>
      <c r="AQ33" s="107">
        <f t="shared" si="42"/>
        <v>0.22</v>
      </c>
      <c r="AR33" s="107">
        <f t="shared" si="42"/>
        <v>0.22</v>
      </c>
      <c r="AS33" s="107">
        <f t="shared" si="42"/>
        <v>0.22</v>
      </c>
      <c r="AT33" s="107">
        <f t="shared" si="42"/>
        <v>0.22</v>
      </c>
      <c r="AU33" s="107">
        <f t="shared" si="43"/>
        <v>0.22</v>
      </c>
      <c r="AV33" s="107">
        <f t="shared" si="43"/>
        <v>0.22</v>
      </c>
      <c r="AW33" s="107">
        <f t="shared" si="43"/>
        <v>0.22</v>
      </c>
      <c r="AX33" s="107">
        <f t="shared" si="43"/>
        <v>0.22</v>
      </c>
      <c r="AY33" s="107">
        <f t="shared" si="43"/>
        <v>0.22</v>
      </c>
      <c r="AZ33" s="107">
        <f t="shared" si="43"/>
        <v>0.22</v>
      </c>
      <c r="BA33" s="107">
        <f t="shared" si="43"/>
        <v>0.22</v>
      </c>
      <c r="BB33" s="107">
        <f t="shared" si="43"/>
        <v>0.22</v>
      </c>
      <c r="BC33" s="107">
        <f t="shared" si="43"/>
        <v>0.22</v>
      </c>
      <c r="BD33" s="107">
        <f t="shared" si="43"/>
        <v>0.22</v>
      </c>
      <c r="BE33" s="107">
        <f t="shared" si="43"/>
        <v>0.22</v>
      </c>
      <c r="BF33" s="107">
        <f t="shared" si="43"/>
        <v>0.22</v>
      </c>
      <c r="BG33" s="107">
        <f t="shared" si="43"/>
        <v>0.22</v>
      </c>
    </row>
    <row r="34" spans="1:59" ht="13.75" customHeight="1">
      <c r="A34" s="141" t="s">
        <v>86</v>
      </c>
      <c r="B34" s="165"/>
      <c r="C34" s="165"/>
      <c r="D34" s="165" t="s">
        <v>110</v>
      </c>
      <c r="E34" s="167"/>
      <c r="F34" s="168" t="s">
        <v>142</v>
      </c>
      <c r="G34" s="168" t="s">
        <v>3</v>
      </c>
      <c r="H34" s="168"/>
      <c r="I34" s="168" t="s">
        <v>139</v>
      </c>
      <c r="U34" s="107">
        <v>0.2</v>
      </c>
      <c r="V34" s="107">
        <v>0.2</v>
      </c>
      <c r="W34" s="107">
        <v>0.2</v>
      </c>
      <c r="X34" s="108">
        <v>0.2</v>
      </c>
      <c r="Y34" s="107">
        <v>0.2</v>
      </c>
      <c r="Z34" s="107">
        <v>0.2</v>
      </c>
      <c r="AA34" s="107">
        <v>0.2</v>
      </c>
      <c r="AB34" s="107">
        <v>0.2</v>
      </c>
      <c r="AC34" s="107">
        <v>0.2</v>
      </c>
      <c r="AD34" s="107">
        <v>0.2</v>
      </c>
      <c r="AE34" s="107">
        <f t="shared" si="42"/>
        <v>0.2</v>
      </c>
      <c r="AF34" s="107">
        <f t="shared" si="42"/>
        <v>0.2</v>
      </c>
      <c r="AG34" s="107">
        <f t="shared" si="42"/>
        <v>0.2</v>
      </c>
      <c r="AH34" s="107">
        <f t="shared" si="42"/>
        <v>0.2</v>
      </c>
      <c r="AI34" s="107">
        <f t="shared" si="42"/>
        <v>0.2</v>
      </c>
      <c r="AJ34" s="107">
        <f t="shared" si="42"/>
        <v>0.2</v>
      </c>
      <c r="AK34" s="107">
        <f t="shared" si="42"/>
        <v>0.2</v>
      </c>
      <c r="AL34" s="107">
        <f t="shared" si="42"/>
        <v>0.2</v>
      </c>
      <c r="AM34" s="107">
        <f t="shared" si="42"/>
        <v>0.2</v>
      </c>
      <c r="AN34" s="107">
        <f t="shared" si="42"/>
        <v>0.2</v>
      </c>
      <c r="AO34" s="107">
        <f t="shared" si="42"/>
        <v>0.2</v>
      </c>
      <c r="AP34" s="107">
        <f t="shared" si="42"/>
        <v>0.2</v>
      </c>
      <c r="AQ34" s="107">
        <f t="shared" si="42"/>
        <v>0.2</v>
      </c>
      <c r="AR34" s="107">
        <f t="shared" si="42"/>
        <v>0.2</v>
      </c>
      <c r="AS34" s="107">
        <f t="shared" si="42"/>
        <v>0.2</v>
      </c>
      <c r="AT34" s="107">
        <f t="shared" si="42"/>
        <v>0.2</v>
      </c>
      <c r="AU34" s="107">
        <f t="shared" si="43"/>
        <v>0.2</v>
      </c>
      <c r="AV34" s="107">
        <f t="shared" si="43"/>
        <v>0.2</v>
      </c>
      <c r="AW34" s="107">
        <f t="shared" si="43"/>
        <v>0.2</v>
      </c>
      <c r="AX34" s="107">
        <f t="shared" si="43"/>
        <v>0.2</v>
      </c>
      <c r="AY34" s="107">
        <f t="shared" si="43"/>
        <v>0.2</v>
      </c>
      <c r="AZ34" s="107">
        <f t="shared" si="43"/>
        <v>0.2</v>
      </c>
      <c r="BA34" s="107">
        <f t="shared" si="43"/>
        <v>0.2</v>
      </c>
      <c r="BB34" s="107">
        <f t="shared" si="43"/>
        <v>0.2</v>
      </c>
      <c r="BC34" s="107">
        <f t="shared" si="43"/>
        <v>0.2</v>
      </c>
      <c r="BD34" s="107">
        <f t="shared" si="43"/>
        <v>0.2</v>
      </c>
      <c r="BE34" s="107">
        <f t="shared" si="43"/>
        <v>0.2</v>
      </c>
      <c r="BF34" s="107">
        <f t="shared" si="43"/>
        <v>0.2</v>
      </c>
      <c r="BG34" s="107">
        <f t="shared" si="43"/>
        <v>0.2</v>
      </c>
    </row>
    <row r="35" spans="1:59" ht="13.75" customHeight="1">
      <c r="A35" s="141" t="s">
        <v>86</v>
      </c>
      <c r="B35" s="165"/>
      <c r="C35" s="165"/>
      <c r="D35" s="170" t="s">
        <v>87</v>
      </c>
      <c r="E35" s="168"/>
      <c r="F35" s="168" t="s">
        <v>143</v>
      </c>
      <c r="G35" s="168" t="s">
        <v>144</v>
      </c>
      <c r="H35" s="168"/>
      <c r="I35" s="168" t="s">
        <v>145</v>
      </c>
      <c r="J35" s="147">
        <v>0.89559999999999995</v>
      </c>
      <c r="K35" s="147">
        <v>0.9456</v>
      </c>
      <c r="L35" s="147">
        <v>1.1312</v>
      </c>
      <c r="M35" s="147">
        <v>1.2439</v>
      </c>
      <c r="N35" s="147">
        <v>1.2441</v>
      </c>
      <c r="O35" s="147">
        <v>1.2556</v>
      </c>
      <c r="P35" s="147">
        <v>1.3705000000000001</v>
      </c>
      <c r="Q35" s="147">
        <v>1.4708000000000001</v>
      </c>
      <c r="R35" s="147">
        <v>1.3948</v>
      </c>
      <c r="S35" s="147">
        <v>1.3257000000000001</v>
      </c>
      <c r="T35" s="147">
        <v>1.3919999999999999</v>
      </c>
      <c r="U35" s="112"/>
      <c r="V35" s="112"/>
      <c r="W35" s="111">
        <v>1.32</v>
      </c>
      <c r="X35" s="111">
        <v>1.109844890109889</v>
      </c>
      <c r="Y35" s="111">
        <v>1.1075316927665921</v>
      </c>
      <c r="Z35" s="113">
        <v>1.1301777562326867</v>
      </c>
      <c r="AA35" s="113">
        <v>1.1806945454545457</v>
      </c>
      <c r="AB35" s="113">
        <v>1.1073</v>
      </c>
      <c r="AC35" s="113">
        <v>1.1411540665294917</v>
      </c>
      <c r="AD35" s="113">
        <v>1.1837660361966427</v>
      </c>
      <c r="AE35" s="113">
        <v>1.0516478335744384</v>
      </c>
      <c r="AF35" s="113">
        <v>1.0780686989940289</v>
      </c>
      <c r="AG35" s="113">
        <v>1.0750000000000002</v>
      </c>
      <c r="AH35" s="113">
        <v>1.08</v>
      </c>
      <c r="AI35" s="113">
        <v>1.08</v>
      </c>
      <c r="AJ35" s="113">
        <f t="shared" si="42"/>
        <v>1.08</v>
      </c>
      <c r="AK35" s="113">
        <f t="shared" si="42"/>
        <v>1.08</v>
      </c>
      <c r="AL35" s="113">
        <f t="shared" si="42"/>
        <v>1.08</v>
      </c>
      <c r="AM35" s="113">
        <f>AL35</f>
        <v>1.08</v>
      </c>
      <c r="AN35" s="113">
        <f>AM35</f>
        <v>1.08</v>
      </c>
      <c r="AO35" s="113">
        <f t="shared" si="42"/>
        <v>1.08</v>
      </c>
      <c r="AP35" s="113">
        <f>AO35</f>
        <v>1.08</v>
      </c>
      <c r="AQ35" s="113">
        <f>AP35</f>
        <v>1.08</v>
      </c>
      <c r="AR35" s="113">
        <f t="shared" si="42"/>
        <v>1.08</v>
      </c>
      <c r="AS35" s="113">
        <f t="shared" si="42"/>
        <v>1.08</v>
      </c>
      <c r="AT35" s="113">
        <f t="shared" si="42"/>
        <v>1.08</v>
      </c>
      <c r="AU35" s="113">
        <f t="shared" si="43"/>
        <v>1.08</v>
      </c>
      <c r="AV35" s="113">
        <f t="shared" si="43"/>
        <v>1.08</v>
      </c>
      <c r="AW35" s="113">
        <f t="shared" si="43"/>
        <v>1.08</v>
      </c>
      <c r="AX35" s="113">
        <f t="shared" si="43"/>
        <v>1.08</v>
      </c>
      <c r="AY35" s="113">
        <f t="shared" si="43"/>
        <v>1.08</v>
      </c>
      <c r="AZ35" s="113">
        <f t="shared" si="43"/>
        <v>1.08</v>
      </c>
      <c r="BA35" s="113">
        <f t="shared" si="43"/>
        <v>1.08</v>
      </c>
      <c r="BB35" s="113">
        <f t="shared" si="43"/>
        <v>1.08</v>
      </c>
      <c r="BC35" s="113">
        <f t="shared" si="43"/>
        <v>1.08</v>
      </c>
      <c r="BD35" s="113">
        <f t="shared" si="43"/>
        <v>1.08</v>
      </c>
      <c r="BE35" s="113">
        <f t="shared" si="43"/>
        <v>1.08</v>
      </c>
      <c r="BF35" s="113">
        <f t="shared" si="43"/>
        <v>1.08</v>
      </c>
      <c r="BG35" s="113">
        <f t="shared" si="43"/>
        <v>1.08</v>
      </c>
    </row>
    <row r="36" spans="1:59" ht="13.75" customHeight="1">
      <c r="A36" s="141" t="s">
        <v>86</v>
      </c>
      <c r="B36" s="165"/>
      <c r="C36" s="165"/>
      <c r="D36" s="170" t="s">
        <v>98</v>
      </c>
      <c r="E36" s="167"/>
      <c r="F36" s="168" t="s">
        <v>146</v>
      </c>
      <c r="G36" s="168" t="s">
        <v>144</v>
      </c>
      <c r="H36" s="168"/>
      <c r="I36" s="168"/>
      <c r="J36" s="147">
        <v>0.88129999999999997</v>
      </c>
      <c r="K36" s="147">
        <v>1.0487</v>
      </c>
      <c r="L36" s="147">
        <v>1.2629999999999999</v>
      </c>
      <c r="M36" s="147">
        <v>1.3621000000000001</v>
      </c>
      <c r="N36" s="147">
        <v>1.1797</v>
      </c>
      <c r="O36" s="147">
        <v>1.3169999999999999</v>
      </c>
      <c r="P36" s="147">
        <v>1.4721</v>
      </c>
      <c r="Q36" s="147">
        <v>1.3916999999999999</v>
      </c>
      <c r="R36" s="147">
        <v>1.4406000000000001</v>
      </c>
      <c r="S36" s="147">
        <v>1.3362000000000001</v>
      </c>
      <c r="T36" s="147">
        <v>1.2939000000000001</v>
      </c>
      <c r="U36" s="111">
        <v>1.3193999999999999</v>
      </c>
      <c r="V36" s="111">
        <v>1.3791</v>
      </c>
      <c r="W36" s="111">
        <v>1.2141</v>
      </c>
      <c r="X36" s="111">
        <v>1.0865499999999999</v>
      </c>
      <c r="Y36" s="111">
        <v>1.0516000000000001</v>
      </c>
      <c r="Z36" s="113">
        <v>1.1994</v>
      </c>
      <c r="AA36" s="113">
        <v>1.1456</v>
      </c>
      <c r="AB36" s="113">
        <v>1.1214</v>
      </c>
      <c r="AC36" s="113">
        <v>1.2217</v>
      </c>
      <c r="AD36" s="113">
        <v>1.137</v>
      </c>
      <c r="AE36" s="113">
        <f>AE35</f>
        <v>1.0516478335744384</v>
      </c>
      <c r="AF36" s="113">
        <f>AF35</f>
        <v>1.0780686989940289</v>
      </c>
      <c r="AG36" s="113">
        <f>AG35</f>
        <v>1.0750000000000002</v>
      </c>
      <c r="AH36" s="113">
        <f>AH35</f>
        <v>1.08</v>
      </c>
      <c r="AI36" s="113">
        <f>AH36</f>
        <v>1.08</v>
      </c>
      <c r="AJ36" s="113">
        <f>AI36</f>
        <v>1.08</v>
      </c>
      <c r="AK36" s="113">
        <f t="shared" si="42"/>
        <v>1.08</v>
      </c>
      <c r="AL36" s="113">
        <f t="shared" si="42"/>
        <v>1.08</v>
      </c>
      <c r="AM36" s="113">
        <f>AL36</f>
        <v>1.08</v>
      </c>
      <c r="AN36" s="113">
        <f t="shared" ref="AN36:AV36" si="44">AN35</f>
        <v>1.08</v>
      </c>
      <c r="AO36" s="113">
        <f>AO35</f>
        <v>1.08</v>
      </c>
      <c r="AP36" s="113">
        <f t="shared" si="44"/>
        <v>1.08</v>
      </c>
      <c r="AQ36" s="113">
        <f t="shared" si="44"/>
        <v>1.08</v>
      </c>
      <c r="AR36" s="113">
        <f t="shared" si="44"/>
        <v>1.08</v>
      </c>
      <c r="AS36" s="113">
        <f>AS35</f>
        <v>1.08</v>
      </c>
      <c r="AT36" s="113">
        <f t="shared" si="44"/>
        <v>1.08</v>
      </c>
      <c r="AU36" s="113">
        <f t="shared" si="44"/>
        <v>1.08</v>
      </c>
      <c r="AV36" s="113">
        <f t="shared" si="44"/>
        <v>1.08</v>
      </c>
      <c r="AW36" s="113">
        <f>AW35</f>
        <v>1.08</v>
      </c>
      <c r="AX36" s="113">
        <f>AX35</f>
        <v>1.08</v>
      </c>
      <c r="AY36" s="113">
        <f t="shared" ref="AY36" si="45">AY35</f>
        <v>1.08</v>
      </c>
      <c r="AZ36" s="113">
        <f>AZ35</f>
        <v>1.08</v>
      </c>
      <c r="BA36" s="113">
        <f>BA35</f>
        <v>1.08</v>
      </c>
      <c r="BB36" s="113">
        <f>BB35</f>
        <v>1.08</v>
      </c>
      <c r="BC36" s="113">
        <f t="shared" ref="BC36:BG36" si="46">BC35</f>
        <v>1.08</v>
      </c>
      <c r="BD36" s="113">
        <f t="shared" si="46"/>
        <v>1.08</v>
      </c>
      <c r="BE36" s="113">
        <f t="shared" si="46"/>
        <v>1.08</v>
      </c>
      <c r="BF36" s="113">
        <f t="shared" si="46"/>
        <v>1.08</v>
      </c>
      <c r="BG36" s="113">
        <f t="shared" si="46"/>
        <v>1.08</v>
      </c>
    </row>
    <row r="37" spans="1:59" ht="13.75" customHeight="1">
      <c r="A37" s="141" t="s">
        <v>86</v>
      </c>
      <c r="B37" s="165"/>
      <c r="C37" s="165"/>
      <c r="D37" s="165" t="s">
        <v>87</v>
      </c>
      <c r="E37" s="167"/>
      <c r="F37" s="168" t="s">
        <v>147</v>
      </c>
      <c r="G37" s="168" t="s">
        <v>3</v>
      </c>
      <c r="H37" s="168"/>
      <c r="I37" s="168" t="s">
        <v>124</v>
      </c>
      <c r="J37" s="114">
        <v>3.2500000000000001E-2</v>
      </c>
      <c r="K37" s="114">
        <v>2.75E-2</v>
      </c>
      <c r="L37" s="114">
        <v>0.02</v>
      </c>
      <c r="M37" s="114">
        <v>0.02</v>
      </c>
      <c r="N37" s="114">
        <v>2.2499999999999999E-2</v>
      </c>
      <c r="O37" s="114">
        <v>3.5000000000000003E-2</v>
      </c>
      <c r="P37" s="114">
        <v>0.04</v>
      </c>
      <c r="Q37" s="114">
        <v>2.5000000000000001E-2</v>
      </c>
      <c r="R37" s="114">
        <v>0.01</v>
      </c>
      <c r="S37" s="114">
        <v>0.01</v>
      </c>
      <c r="T37" s="114">
        <v>0.01</v>
      </c>
      <c r="U37" s="148">
        <v>7.4999999999999997E-3</v>
      </c>
      <c r="V37" s="148">
        <v>2.5000000000000001E-3</v>
      </c>
      <c r="W37" s="148">
        <v>5.0000000000000001E-4</v>
      </c>
      <c r="X37" s="110">
        <v>5.0000000000000001E-4</v>
      </c>
      <c r="Y37" s="110">
        <v>0</v>
      </c>
      <c r="Z37" s="110">
        <v>0</v>
      </c>
      <c r="AA37" s="110">
        <v>0</v>
      </c>
      <c r="AB37" s="110">
        <v>0</v>
      </c>
      <c r="AC37" s="110">
        <v>0</v>
      </c>
      <c r="AD37" s="110">
        <v>0</v>
      </c>
      <c r="AE37" s="110">
        <v>2.5000000000000001E-2</v>
      </c>
      <c r="AF37" s="110">
        <v>4.4999999999999998E-2</v>
      </c>
      <c r="AG37" s="110">
        <v>3.2500000000000001E-2</v>
      </c>
      <c r="AH37" s="110">
        <v>2.2499999999999999E-2</v>
      </c>
      <c r="AI37" s="110">
        <v>1.4999999999999999E-2</v>
      </c>
      <c r="AJ37" s="110">
        <f t="shared" si="42"/>
        <v>1.4999999999999999E-2</v>
      </c>
      <c r="AK37" s="110">
        <f t="shared" si="42"/>
        <v>1.4999999999999999E-2</v>
      </c>
      <c r="AL37" s="110">
        <f t="shared" si="42"/>
        <v>1.4999999999999999E-2</v>
      </c>
      <c r="AM37" s="110">
        <f t="shared" si="42"/>
        <v>1.4999999999999999E-2</v>
      </c>
      <c r="AN37" s="110">
        <f t="shared" si="42"/>
        <v>1.4999999999999999E-2</v>
      </c>
      <c r="AO37" s="110">
        <f t="shared" si="42"/>
        <v>1.4999999999999999E-2</v>
      </c>
      <c r="AP37" s="110">
        <f t="shared" si="42"/>
        <v>1.4999999999999999E-2</v>
      </c>
      <c r="AQ37" s="110">
        <f t="shared" si="42"/>
        <v>1.4999999999999999E-2</v>
      </c>
      <c r="AR37" s="110">
        <f t="shared" si="42"/>
        <v>1.4999999999999999E-2</v>
      </c>
      <c r="AS37" s="110">
        <f t="shared" si="42"/>
        <v>1.4999999999999999E-2</v>
      </c>
      <c r="AT37" s="110">
        <f t="shared" si="42"/>
        <v>1.4999999999999999E-2</v>
      </c>
      <c r="AU37" s="110">
        <f t="shared" ref="AU37:BA37" si="47">AT37</f>
        <v>1.4999999999999999E-2</v>
      </c>
      <c r="AV37" s="110">
        <f t="shared" si="47"/>
        <v>1.4999999999999999E-2</v>
      </c>
      <c r="AW37" s="110">
        <f t="shared" si="47"/>
        <v>1.4999999999999999E-2</v>
      </c>
      <c r="AX37" s="110">
        <f t="shared" si="47"/>
        <v>1.4999999999999999E-2</v>
      </c>
      <c r="AY37" s="110">
        <f t="shared" si="47"/>
        <v>1.4999999999999999E-2</v>
      </c>
      <c r="AZ37" s="110">
        <f t="shared" si="47"/>
        <v>1.4999999999999999E-2</v>
      </c>
      <c r="BA37" s="110">
        <f t="shared" si="47"/>
        <v>1.4999999999999999E-2</v>
      </c>
      <c r="BB37" s="110">
        <f t="shared" si="43"/>
        <v>1.4999999999999999E-2</v>
      </c>
      <c r="BC37" s="110">
        <f t="shared" si="43"/>
        <v>1.4999999999999999E-2</v>
      </c>
      <c r="BD37" s="110">
        <f t="shared" si="43"/>
        <v>1.4999999999999999E-2</v>
      </c>
      <c r="BE37" s="110">
        <f t="shared" si="43"/>
        <v>1.4999999999999999E-2</v>
      </c>
      <c r="BF37" s="110">
        <f t="shared" si="43"/>
        <v>1.4999999999999999E-2</v>
      </c>
      <c r="BG37" s="110">
        <f t="shared" si="43"/>
        <v>1.4999999999999999E-2</v>
      </c>
    </row>
    <row r="38" spans="1:59" ht="13.75" customHeight="1">
      <c r="A38" s="141" t="s">
        <v>86</v>
      </c>
      <c r="B38" s="165"/>
      <c r="C38" s="165"/>
      <c r="D38" s="170" t="s">
        <v>98</v>
      </c>
      <c r="E38" s="167"/>
      <c r="F38" s="168" t="s">
        <v>148</v>
      </c>
      <c r="G38" s="168" t="s">
        <v>149</v>
      </c>
      <c r="H38" s="168"/>
      <c r="I38" s="168" t="s">
        <v>116</v>
      </c>
      <c r="J38" s="147">
        <v>1.4777</v>
      </c>
      <c r="K38" s="147">
        <v>1.4514</v>
      </c>
      <c r="L38" s="147">
        <v>1.5604499999999999</v>
      </c>
      <c r="M38" s="147">
        <v>1.546</v>
      </c>
      <c r="N38" s="147">
        <v>1.5561500000000001</v>
      </c>
      <c r="O38" s="147">
        <v>1.6091</v>
      </c>
      <c r="P38" s="147">
        <v>1.6536</v>
      </c>
      <c r="Q38" s="147">
        <v>1.4935800000000001</v>
      </c>
      <c r="R38" s="147">
        <v>1.4836499999999999</v>
      </c>
      <c r="S38" s="147">
        <v>1.2516099999999999</v>
      </c>
      <c r="T38" s="147">
        <v>1.21689</v>
      </c>
      <c r="U38" s="112">
        <v>1.2072000000000001</v>
      </c>
      <c r="V38" s="112">
        <v>1.2276</v>
      </c>
      <c r="W38" s="112">
        <v>1.2023999999999999</v>
      </c>
      <c r="X38" s="111">
        <v>1.0887316276537833</v>
      </c>
      <c r="Y38" s="111">
        <v>1.0740000000000001</v>
      </c>
      <c r="Z38" s="111">
        <v>1.17</v>
      </c>
      <c r="AA38" s="111">
        <v>1.127</v>
      </c>
      <c r="AB38" s="111">
        <v>1.0853999999999999</v>
      </c>
      <c r="AC38" s="111">
        <v>1.0809642200843153</v>
      </c>
      <c r="AD38" s="111">
        <v>1.0373443983402491</v>
      </c>
      <c r="AE38" s="111">
        <v>1.0649999999999999</v>
      </c>
      <c r="AF38" s="111">
        <v>1.06</v>
      </c>
      <c r="AG38" s="111">
        <v>1.0549999999999999</v>
      </c>
      <c r="AH38" s="111">
        <f t="shared" ref="AH38:AV38" si="48">AH36*AH40</f>
        <v>0.95974789915966408</v>
      </c>
      <c r="AI38" s="111">
        <f t="shared" si="48"/>
        <v>0.95974789915966408</v>
      </c>
      <c r="AJ38" s="111">
        <f t="shared" si="48"/>
        <v>0.95974789915966408</v>
      </c>
      <c r="AK38" s="111">
        <f t="shared" si="48"/>
        <v>0.95974789915966408</v>
      </c>
      <c r="AL38" s="111">
        <f t="shared" si="48"/>
        <v>0.95974789915966408</v>
      </c>
      <c r="AM38" s="111">
        <f t="shared" si="48"/>
        <v>0.95974789915966408</v>
      </c>
      <c r="AN38" s="111">
        <f t="shared" si="48"/>
        <v>0.95974789915966408</v>
      </c>
      <c r="AO38" s="111">
        <f t="shared" si="48"/>
        <v>0.95974789915966408</v>
      </c>
      <c r="AP38" s="111">
        <f t="shared" si="48"/>
        <v>0.95974789915966408</v>
      </c>
      <c r="AQ38" s="111">
        <f t="shared" si="48"/>
        <v>0.95974789915966408</v>
      </c>
      <c r="AR38" s="111">
        <f t="shared" si="48"/>
        <v>0.95974789915966408</v>
      </c>
      <c r="AS38" s="111">
        <f t="shared" si="48"/>
        <v>0.95974789915966408</v>
      </c>
      <c r="AT38" s="111">
        <f t="shared" si="48"/>
        <v>0.95974789915966408</v>
      </c>
      <c r="AU38" s="111">
        <f t="shared" si="48"/>
        <v>0.95974789915966408</v>
      </c>
      <c r="AV38" s="111">
        <f t="shared" si="48"/>
        <v>0.95974789915966408</v>
      </c>
      <c r="AW38" s="111">
        <f>AW36*AW40</f>
        <v>0.95974789915966408</v>
      </c>
      <c r="AX38" s="111">
        <f>AX36*AX40</f>
        <v>0.95974789915966408</v>
      </c>
      <c r="AY38" s="111">
        <f t="shared" ref="AY38:BA38" si="49">AY36*AY40</f>
        <v>0.95974789915966408</v>
      </c>
      <c r="AZ38" s="111">
        <f t="shared" si="49"/>
        <v>0.95974789915966408</v>
      </c>
      <c r="BA38" s="111">
        <f t="shared" si="49"/>
        <v>0.95974789915966408</v>
      </c>
      <c r="BB38" s="111">
        <f>BB36*BB40</f>
        <v>0.95974789915966408</v>
      </c>
      <c r="BC38" s="111">
        <f t="shared" ref="BC38:BG38" si="50">BC36*BC40</f>
        <v>0.95974789915966408</v>
      </c>
      <c r="BD38" s="111">
        <f t="shared" si="50"/>
        <v>0.95974789915966408</v>
      </c>
      <c r="BE38" s="111">
        <f t="shared" si="50"/>
        <v>0.95974789915966408</v>
      </c>
      <c r="BF38" s="111">
        <f t="shared" si="50"/>
        <v>0.95974789915966408</v>
      </c>
      <c r="BG38" s="111">
        <f t="shared" si="50"/>
        <v>0.95974789915966408</v>
      </c>
    </row>
    <row r="39" spans="1:59" ht="13.75" customHeight="1">
      <c r="A39" s="141" t="s">
        <v>86</v>
      </c>
      <c r="B39" s="165"/>
      <c r="C39" s="165"/>
      <c r="D39" s="170" t="s">
        <v>87</v>
      </c>
      <c r="E39" s="167"/>
      <c r="F39" s="168" t="s">
        <v>150</v>
      </c>
      <c r="G39" s="168" t="s">
        <v>3</v>
      </c>
      <c r="H39" s="168"/>
      <c r="I39" s="168" t="s">
        <v>151</v>
      </c>
      <c r="T39" s="114">
        <v>5.2499999999999998E-2</v>
      </c>
      <c r="W39" s="107">
        <v>0.17</v>
      </c>
      <c r="X39" s="107">
        <v>0.11</v>
      </c>
      <c r="Y39" s="107">
        <v>0.1</v>
      </c>
      <c r="Z39" s="110">
        <v>7.7499999999999999E-2</v>
      </c>
      <c r="AA39" s="110">
        <v>7.7499999999999999E-2</v>
      </c>
      <c r="AB39" s="110">
        <v>6.25E-2</v>
      </c>
      <c r="AC39" s="110">
        <v>4.2500000000000003E-2</v>
      </c>
      <c r="AD39" s="110">
        <v>8.5000000000000006E-2</v>
      </c>
      <c r="AE39" s="110">
        <v>7.4999999999999997E-2</v>
      </c>
      <c r="AF39" s="110">
        <v>0.14000000000000001</v>
      </c>
      <c r="AG39" s="110">
        <v>0.11</v>
      </c>
      <c r="AH39" s="110">
        <v>0.08</v>
      </c>
      <c r="AI39" s="110">
        <v>0.06</v>
      </c>
      <c r="AJ39" s="110">
        <f>AI39</f>
        <v>0.06</v>
      </c>
      <c r="AK39" s="110">
        <f>AJ39</f>
        <v>0.06</v>
      </c>
      <c r="AL39" s="110">
        <f t="shared" ref="AL39:BG39" si="51">AK39</f>
        <v>0.06</v>
      </c>
      <c r="AM39" s="110">
        <f t="shared" si="51"/>
        <v>0.06</v>
      </c>
      <c r="AN39" s="110">
        <f t="shared" si="51"/>
        <v>0.06</v>
      </c>
      <c r="AO39" s="110">
        <f t="shared" si="51"/>
        <v>0.06</v>
      </c>
      <c r="AP39" s="110">
        <f t="shared" si="51"/>
        <v>0.06</v>
      </c>
      <c r="AQ39" s="110">
        <f t="shared" si="51"/>
        <v>0.06</v>
      </c>
      <c r="AR39" s="110">
        <f t="shared" si="51"/>
        <v>0.06</v>
      </c>
      <c r="AS39" s="110">
        <f t="shared" si="51"/>
        <v>0.06</v>
      </c>
      <c r="AT39" s="110">
        <f t="shared" si="51"/>
        <v>0.06</v>
      </c>
      <c r="AU39" s="110">
        <f t="shared" si="51"/>
        <v>0.06</v>
      </c>
      <c r="AV39" s="110">
        <f t="shared" si="51"/>
        <v>0.06</v>
      </c>
      <c r="AW39" s="110">
        <f>AV39</f>
        <v>0.06</v>
      </c>
      <c r="AX39" s="110">
        <f t="shared" si="51"/>
        <v>0.06</v>
      </c>
      <c r="AY39" s="110">
        <f t="shared" si="51"/>
        <v>0.06</v>
      </c>
      <c r="AZ39" s="110">
        <f t="shared" si="51"/>
        <v>0.06</v>
      </c>
      <c r="BA39" s="110">
        <f t="shared" si="51"/>
        <v>0.06</v>
      </c>
      <c r="BB39" s="110">
        <f t="shared" si="51"/>
        <v>0.06</v>
      </c>
      <c r="BC39" s="110">
        <f t="shared" si="51"/>
        <v>0.06</v>
      </c>
      <c r="BD39" s="110">
        <f t="shared" si="51"/>
        <v>0.06</v>
      </c>
      <c r="BE39" s="110">
        <f t="shared" si="51"/>
        <v>0.06</v>
      </c>
      <c r="BF39" s="110">
        <f t="shared" si="51"/>
        <v>0.06</v>
      </c>
      <c r="BG39" s="110">
        <f t="shared" si="51"/>
        <v>0.06</v>
      </c>
    </row>
    <row r="40" spans="1:59" ht="13.75" customHeight="1">
      <c r="A40" s="141" t="s">
        <v>86</v>
      </c>
      <c r="B40" s="165"/>
      <c r="C40" s="165"/>
      <c r="D40" s="170" t="s">
        <v>98</v>
      </c>
      <c r="E40" s="167"/>
      <c r="F40" s="168" t="s">
        <v>152</v>
      </c>
      <c r="G40" s="168" t="s">
        <v>153</v>
      </c>
      <c r="H40" s="168"/>
      <c r="I40" s="168"/>
      <c r="J40" s="149">
        <v>1.6602999999999999</v>
      </c>
      <c r="K40" s="149">
        <v>1.3835999999999999</v>
      </c>
      <c r="L40" s="149">
        <v>1.2391000000000001</v>
      </c>
      <c r="M40" s="149">
        <v>1.1404000000000001</v>
      </c>
      <c r="N40" s="149">
        <v>1.3134000000000001</v>
      </c>
      <c r="O40" s="149">
        <v>1.2201</v>
      </c>
      <c r="P40" s="149">
        <v>1.1335</v>
      </c>
      <c r="Q40" s="149">
        <v>1.0687</v>
      </c>
      <c r="R40" s="149">
        <v>1.0351999999999999</v>
      </c>
      <c r="S40" s="149">
        <v>0.93520000000000003</v>
      </c>
      <c r="T40" s="149">
        <v>0.93810000000000004</v>
      </c>
      <c r="X40" s="111">
        <v>1.01</v>
      </c>
      <c r="Y40" s="111">
        <v>1.016</v>
      </c>
      <c r="Z40" s="111">
        <v>0.97399999999999998</v>
      </c>
      <c r="AA40" s="111">
        <v>0.98299999999999998</v>
      </c>
      <c r="AB40" s="111">
        <v>0.96760000000000002</v>
      </c>
      <c r="AC40" s="111">
        <v>0.88519999999999999</v>
      </c>
      <c r="AD40" s="111">
        <v>0.91290000000000004</v>
      </c>
      <c r="AE40" s="111">
        <v>0.91025641025641024</v>
      </c>
      <c r="AF40" s="111">
        <v>0.89830508474576276</v>
      </c>
      <c r="AG40" s="111">
        <v>0.88655462184873945</v>
      </c>
      <c r="AH40" s="111">
        <f>AI41</f>
        <v>0.88865546218487412</v>
      </c>
      <c r="AI40" s="111">
        <f t="shared" ref="AI40:AK40" si="52">AJ41</f>
        <v>0.88865546218487412</v>
      </c>
      <c r="AJ40" s="111">
        <f t="shared" si="52"/>
        <v>0.88865546218487412</v>
      </c>
      <c r="AK40" s="111">
        <f t="shared" si="52"/>
        <v>0.88865546218487412</v>
      </c>
      <c r="AL40" s="111">
        <f>AM41</f>
        <v>0.88865546218487412</v>
      </c>
      <c r="AM40" s="111">
        <f>AM41</f>
        <v>0.88865546218487412</v>
      </c>
      <c r="AN40" s="111">
        <f t="shared" ref="AN40:BA40" si="53">AO41</f>
        <v>0.88865546218487412</v>
      </c>
      <c r="AO40" s="111">
        <f t="shared" si="53"/>
        <v>0.88865546218487412</v>
      </c>
      <c r="AP40" s="111">
        <f t="shared" si="53"/>
        <v>0.88865546218487412</v>
      </c>
      <c r="AQ40" s="111">
        <f t="shared" si="53"/>
        <v>0.88865546218487412</v>
      </c>
      <c r="AR40" s="111">
        <f t="shared" si="53"/>
        <v>0.88865546218487412</v>
      </c>
      <c r="AS40" s="111">
        <f>AT41</f>
        <v>0.88865546218487412</v>
      </c>
      <c r="AT40" s="111">
        <f>AU41</f>
        <v>0.88865546218487412</v>
      </c>
      <c r="AU40" s="111">
        <f t="shared" si="53"/>
        <v>0.88865546218487412</v>
      </c>
      <c r="AV40" s="111">
        <f t="shared" si="53"/>
        <v>0.88865546218487412</v>
      </c>
      <c r="AW40" s="111">
        <f t="shared" si="53"/>
        <v>0.88865546218487412</v>
      </c>
      <c r="AX40" s="111">
        <f t="shared" si="53"/>
        <v>0.88865546218487412</v>
      </c>
      <c r="AY40" s="111">
        <f t="shared" si="53"/>
        <v>0.88865546218487412</v>
      </c>
      <c r="AZ40" s="111">
        <f t="shared" si="53"/>
        <v>0.88865546218487412</v>
      </c>
      <c r="BA40" s="111">
        <f t="shared" si="53"/>
        <v>0.88865546218487412</v>
      </c>
      <c r="BB40" s="111">
        <f>BB41</f>
        <v>0.88865546218487412</v>
      </c>
      <c r="BC40" s="111">
        <f t="shared" ref="BC40:BG40" si="54">BC41</f>
        <v>0.88865546218487412</v>
      </c>
      <c r="BD40" s="111">
        <f t="shared" si="54"/>
        <v>0.88865546218487412</v>
      </c>
      <c r="BE40" s="111">
        <f t="shared" si="54"/>
        <v>0.88865546218487412</v>
      </c>
      <c r="BF40" s="111">
        <f t="shared" si="54"/>
        <v>0.88865546218487412</v>
      </c>
      <c r="BG40" s="111">
        <f t="shared" si="54"/>
        <v>0.88865546218487412</v>
      </c>
    </row>
    <row r="41" spans="1:59" ht="13.75" customHeight="1">
      <c r="A41" s="141" t="s">
        <v>86</v>
      </c>
      <c r="B41" s="165"/>
      <c r="C41" s="165"/>
      <c r="D41" s="170" t="s">
        <v>87</v>
      </c>
      <c r="E41" s="167"/>
      <c r="F41" s="168" t="s">
        <v>154</v>
      </c>
      <c r="G41" s="168" t="s">
        <v>153</v>
      </c>
      <c r="H41" s="168"/>
      <c r="I41" s="168" t="s">
        <v>116</v>
      </c>
      <c r="J41" s="147">
        <v>1.6871386973180078</v>
      </c>
      <c r="K41" s="147">
        <v>1.5552532567049817</v>
      </c>
      <c r="L41" s="147">
        <v>1.3443716475095775</v>
      </c>
      <c r="M41" s="147">
        <v>1.2421034351145044</v>
      </c>
      <c r="N41" s="147">
        <v>1.2463265384615383</v>
      </c>
      <c r="O41" s="147">
        <v>1.2528880769230768</v>
      </c>
      <c r="P41" s="147">
        <v>1.2000164750957858</v>
      </c>
      <c r="Q41" s="147">
        <v>1.0823534351145039</v>
      </c>
      <c r="R41" s="147">
        <v>1.0849888888888892</v>
      </c>
      <c r="S41" s="147">
        <v>1.0423498084291187</v>
      </c>
      <c r="T41" s="147">
        <v>0.88658192307692352</v>
      </c>
      <c r="X41" s="111"/>
      <c r="Y41" s="113">
        <v>0.98173704755070879</v>
      </c>
      <c r="Z41" s="111">
        <v>0.98499999999999999</v>
      </c>
      <c r="AA41" s="111">
        <v>0.98499999999999999</v>
      </c>
      <c r="AB41" s="111">
        <v>0.99382499999999996</v>
      </c>
      <c r="AC41" s="111">
        <v>0.93884999999999996</v>
      </c>
      <c r="AD41" s="111">
        <v>0.91415000000000002</v>
      </c>
      <c r="AE41" s="111">
        <v>0.91682541554086427</v>
      </c>
      <c r="AF41" s="111">
        <v>0.91239316239316237</v>
      </c>
      <c r="AG41" s="111">
        <v>0.90042372881355937</v>
      </c>
      <c r="AH41" s="111">
        <v>0.88865546218487412</v>
      </c>
      <c r="AI41" s="111">
        <f t="shared" ref="AI41:AM43" si="55">AH41</f>
        <v>0.88865546218487412</v>
      </c>
      <c r="AJ41" s="111">
        <f t="shared" si="55"/>
        <v>0.88865546218487412</v>
      </c>
      <c r="AK41" s="111">
        <f t="shared" si="55"/>
        <v>0.88865546218487412</v>
      </c>
      <c r="AL41" s="111">
        <f t="shared" si="55"/>
        <v>0.88865546218487412</v>
      </c>
      <c r="AM41" s="111">
        <f>AL41</f>
        <v>0.88865546218487412</v>
      </c>
      <c r="AN41" s="111">
        <f t="shared" ref="AN41:BC43" si="56">AM41</f>
        <v>0.88865546218487412</v>
      </c>
      <c r="AO41" s="111">
        <f t="shared" si="56"/>
        <v>0.88865546218487412</v>
      </c>
      <c r="AP41" s="111">
        <f t="shared" si="56"/>
        <v>0.88865546218487412</v>
      </c>
      <c r="AQ41" s="111">
        <f t="shared" si="56"/>
        <v>0.88865546218487412</v>
      </c>
      <c r="AR41" s="111">
        <f t="shared" si="56"/>
        <v>0.88865546218487412</v>
      </c>
      <c r="AS41" s="111">
        <f t="shared" si="56"/>
        <v>0.88865546218487412</v>
      </c>
      <c r="AT41" s="111">
        <f>AS41</f>
        <v>0.88865546218487412</v>
      </c>
      <c r="AU41" s="111">
        <f t="shared" si="56"/>
        <v>0.88865546218487412</v>
      </c>
      <c r="AV41" s="111">
        <f t="shared" si="56"/>
        <v>0.88865546218487412</v>
      </c>
      <c r="AW41" s="111">
        <f t="shared" si="56"/>
        <v>0.88865546218487412</v>
      </c>
      <c r="AX41" s="111">
        <f t="shared" si="56"/>
        <v>0.88865546218487412</v>
      </c>
      <c r="AY41" s="111">
        <f t="shared" si="56"/>
        <v>0.88865546218487412</v>
      </c>
      <c r="AZ41" s="111">
        <f t="shared" si="56"/>
        <v>0.88865546218487412</v>
      </c>
      <c r="BA41" s="111">
        <f t="shared" si="56"/>
        <v>0.88865546218487412</v>
      </c>
      <c r="BB41" s="111">
        <f t="shared" si="56"/>
        <v>0.88865546218487412</v>
      </c>
      <c r="BC41" s="111">
        <f t="shared" si="56"/>
        <v>0.88865546218487412</v>
      </c>
      <c r="BD41" s="111">
        <f t="shared" ref="BB41:BG43" si="57">BC41</f>
        <v>0.88865546218487412</v>
      </c>
      <c r="BE41" s="111">
        <f t="shared" si="57"/>
        <v>0.88865546218487412</v>
      </c>
      <c r="BF41" s="111">
        <f t="shared" si="57"/>
        <v>0.88865546218487412</v>
      </c>
      <c r="BG41" s="111">
        <f t="shared" si="57"/>
        <v>0.88865546218487412</v>
      </c>
    </row>
    <row r="42" spans="1:59" ht="13.75" customHeight="1">
      <c r="A42" s="141" t="s">
        <v>86</v>
      </c>
      <c r="B42" s="165"/>
      <c r="C42" s="165"/>
      <c r="D42" s="170" t="s">
        <v>87</v>
      </c>
      <c r="E42" s="167"/>
      <c r="F42" s="168" t="s">
        <v>155</v>
      </c>
      <c r="G42" s="168" t="s">
        <v>3</v>
      </c>
      <c r="H42" s="168"/>
      <c r="I42" s="168" t="s">
        <v>116</v>
      </c>
      <c r="T42" s="114"/>
      <c r="W42" s="110">
        <v>8.4375000000000006E-2</v>
      </c>
      <c r="X42" s="110">
        <v>0.12625</v>
      </c>
      <c r="Y42" s="110">
        <v>0.10500000000000001</v>
      </c>
      <c r="Z42" s="110">
        <v>9.0312500000000004E-2</v>
      </c>
      <c r="AA42" s="110">
        <v>7.4374999999999997E-2</v>
      </c>
      <c r="AB42" s="110">
        <v>7.3124999999999996E-2</v>
      </c>
      <c r="AC42" s="110">
        <v>4.9999999999999996E-2</v>
      </c>
      <c r="AD42" s="110">
        <v>5.7812500000000003E-2</v>
      </c>
      <c r="AE42" s="110">
        <v>0.1125</v>
      </c>
      <c r="AF42" s="110">
        <v>9.6875000000000003E-2</v>
      </c>
      <c r="AG42" s="110">
        <v>0.13375000000000001</v>
      </c>
      <c r="AH42" s="110">
        <v>9.2499999999999999E-2</v>
      </c>
      <c r="AI42" s="110">
        <v>7.0000000000000007E-2</v>
      </c>
      <c r="AJ42" s="110">
        <f>AJ39</f>
        <v>0.06</v>
      </c>
      <c r="AK42" s="110">
        <f>AK39</f>
        <v>0.06</v>
      </c>
      <c r="AL42" s="110">
        <f t="shared" ref="AL42:BB42" si="58">AL39</f>
        <v>0.06</v>
      </c>
      <c r="AM42" s="110">
        <f t="shared" si="58"/>
        <v>0.06</v>
      </c>
      <c r="AN42" s="110">
        <f t="shared" si="58"/>
        <v>0.06</v>
      </c>
      <c r="AO42" s="110">
        <f t="shared" si="58"/>
        <v>0.06</v>
      </c>
      <c r="AP42" s="110">
        <f t="shared" si="58"/>
        <v>0.06</v>
      </c>
      <c r="AQ42" s="110">
        <f t="shared" si="58"/>
        <v>0.06</v>
      </c>
      <c r="AR42" s="110">
        <f t="shared" si="58"/>
        <v>0.06</v>
      </c>
      <c r="AS42" s="110">
        <f t="shared" si="58"/>
        <v>0.06</v>
      </c>
      <c r="AT42" s="110">
        <f t="shared" si="58"/>
        <v>0.06</v>
      </c>
      <c r="AU42" s="110">
        <f t="shared" si="58"/>
        <v>0.06</v>
      </c>
      <c r="AV42" s="110">
        <f t="shared" si="58"/>
        <v>0.06</v>
      </c>
      <c r="AW42" s="110">
        <f t="shared" si="58"/>
        <v>0.06</v>
      </c>
      <c r="AX42" s="110">
        <f t="shared" si="58"/>
        <v>0.06</v>
      </c>
      <c r="AY42" s="110">
        <f t="shared" si="58"/>
        <v>0.06</v>
      </c>
      <c r="AZ42" s="110">
        <f t="shared" si="58"/>
        <v>0.06</v>
      </c>
      <c r="BA42" s="110">
        <f t="shared" si="58"/>
        <v>0.06</v>
      </c>
      <c r="BB42" s="110">
        <f t="shared" si="58"/>
        <v>0.06</v>
      </c>
      <c r="BC42" s="110">
        <f>BC39</f>
        <v>0.06</v>
      </c>
      <c r="BD42" s="110">
        <f>BD39</f>
        <v>0.06</v>
      </c>
      <c r="BE42" s="110">
        <f>BE39</f>
        <v>0.06</v>
      </c>
      <c r="BF42" s="110">
        <f>BF39</f>
        <v>0.06</v>
      </c>
      <c r="BG42" s="110">
        <f>BG39</f>
        <v>0.06</v>
      </c>
    </row>
    <row r="43" spans="1:59" ht="13.75" customHeight="1">
      <c r="A43" s="141" t="s">
        <v>86</v>
      </c>
      <c r="B43" s="165"/>
      <c r="D43" s="166" t="s">
        <v>87</v>
      </c>
      <c r="E43" s="167"/>
      <c r="F43" s="168" t="s">
        <v>156</v>
      </c>
      <c r="G43" s="168" t="s">
        <v>157</v>
      </c>
      <c r="H43" s="168"/>
      <c r="I43" s="168"/>
      <c r="J43" s="147">
        <v>8.2770500000000009</v>
      </c>
      <c r="K43" s="147">
        <v>8.2769499999999994</v>
      </c>
      <c r="L43" s="147">
        <v>8.2770250000000001</v>
      </c>
      <c r="M43" s="147">
        <v>8.2767999999999997</v>
      </c>
      <c r="N43" s="147">
        <v>8.1930250000000004</v>
      </c>
      <c r="O43" s="147">
        <v>7.9728250000000003</v>
      </c>
      <c r="P43" s="147">
        <v>7.6060249999999998</v>
      </c>
      <c r="Q43" s="147">
        <v>6.9509249999999989</v>
      </c>
      <c r="R43" s="147">
        <v>6.8315000000000001</v>
      </c>
      <c r="S43" s="147">
        <v>6.7689500000000002</v>
      </c>
      <c r="T43" s="147">
        <v>6.4640249999999995</v>
      </c>
      <c r="U43" s="111">
        <v>6.3080499999999997</v>
      </c>
      <c r="V43" s="111">
        <v>6.1489750000000001</v>
      </c>
      <c r="W43" s="111">
        <v>6.1616</v>
      </c>
      <c r="X43" s="111">
        <v>6.284675</v>
      </c>
      <c r="Y43" s="111">
        <v>6.6475</v>
      </c>
      <c r="Z43" s="111">
        <v>6.757225</v>
      </c>
      <c r="AA43" s="111">
        <v>6.6168750000000003</v>
      </c>
      <c r="AB43" s="111">
        <v>6.9056250000000006</v>
      </c>
      <c r="AC43" s="111">
        <v>6.8985749999999992</v>
      </c>
      <c r="AD43" s="111">
        <v>6.5</v>
      </c>
      <c r="AE43" s="111">
        <v>6.7294999999999998</v>
      </c>
      <c r="AF43" s="111">
        <v>7.0978460763754168</v>
      </c>
      <c r="AG43" s="111">
        <v>7.1900000000000013</v>
      </c>
      <c r="AH43" s="111">
        <v>7.0150000000000041</v>
      </c>
      <c r="AI43" s="111">
        <v>6.9047500000000062</v>
      </c>
      <c r="AJ43" s="111">
        <f t="shared" si="55"/>
        <v>6.9047500000000062</v>
      </c>
      <c r="AK43" s="111">
        <f t="shared" si="55"/>
        <v>6.9047500000000062</v>
      </c>
      <c r="AL43" s="111">
        <f t="shared" si="55"/>
        <v>6.9047500000000062</v>
      </c>
      <c r="AM43" s="111">
        <f t="shared" si="55"/>
        <v>6.9047500000000062</v>
      </c>
      <c r="AN43" s="111">
        <f t="shared" si="56"/>
        <v>6.9047500000000062</v>
      </c>
      <c r="AO43" s="111">
        <f t="shared" si="56"/>
        <v>6.9047500000000062</v>
      </c>
      <c r="AP43" s="111">
        <f t="shared" si="56"/>
        <v>6.9047500000000062</v>
      </c>
      <c r="AQ43" s="111">
        <f t="shared" si="56"/>
        <v>6.9047500000000062</v>
      </c>
      <c r="AR43" s="111">
        <f t="shared" si="56"/>
        <v>6.9047500000000062</v>
      </c>
      <c r="AS43" s="111">
        <f>AR43</f>
        <v>6.9047500000000062</v>
      </c>
      <c r="AT43" s="111">
        <f>AS43</f>
        <v>6.9047500000000062</v>
      </c>
      <c r="AU43" s="111">
        <f t="shared" si="56"/>
        <v>6.9047500000000062</v>
      </c>
      <c r="AV43" s="111">
        <f t="shared" si="56"/>
        <v>6.9047500000000062</v>
      </c>
      <c r="AW43" s="111">
        <f t="shared" si="56"/>
        <v>6.9047500000000062</v>
      </c>
      <c r="AX43" s="111">
        <f t="shared" si="56"/>
        <v>6.9047500000000062</v>
      </c>
      <c r="AY43" s="111">
        <f t="shared" si="56"/>
        <v>6.9047500000000062</v>
      </c>
      <c r="AZ43" s="111">
        <f t="shared" si="56"/>
        <v>6.9047500000000062</v>
      </c>
      <c r="BA43" s="111">
        <f t="shared" si="56"/>
        <v>6.9047500000000062</v>
      </c>
      <c r="BB43" s="111">
        <f t="shared" si="57"/>
        <v>6.9047500000000062</v>
      </c>
      <c r="BC43" s="111">
        <f t="shared" si="57"/>
        <v>6.9047500000000062</v>
      </c>
      <c r="BD43" s="111">
        <f t="shared" si="57"/>
        <v>6.9047500000000062</v>
      </c>
      <c r="BE43" s="111">
        <f t="shared" si="57"/>
        <v>6.9047500000000062</v>
      </c>
      <c r="BF43" s="111">
        <f t="shared" si="57"/>
        <v>6.9047500000000062</v>
      </c>
      <c r="BG43" s="111">
        <f t="shared" si="57"/>
        <v>6.9047500000000062</v>
      </c>
    </row>
    <row r="44" spans="1:59" ht="13.75" customHeight="1">
      <c r="A44" s="141" t="s">
        <v>86</v>
      </c>
      <c r="B44" s="165"/>
      <c r="D44" s="166" t="s">
        <v>87</v>
      </c>
      <c r="E44" s="167"/>
      <c r="F44" s="168" t="s">
        <v>158</v>
      </c>
      <c r="G44" s="168" t="s">
        <v>157</v>
      </c>
      <c r="H44" s="168"/>
      <c r="I44" s="168"/>
      <c r="J44" s="147">
        <v>8.2765000000000004</v>
      </c>
      <c r="K44" s="147">
        <v>8.2769999999999992</v>
      </c>
      <c r="L44" s="147">
        <v>8.2766999999999999</v>
      </c>
      <c r="M44" s="147">
        <v>8.2765000000000004</v>
      </c>
      <c r="N44" s="147">
        <v>8.0701999999999998</v>
      </c>
      <c r="O44" s="147">
        <v>7.8045</v>
      </c>
      <c r="P44" s="147">
        <v>7.3037000000000001</v>
      </c>
      <c r="Q44" s="147">
        <v>6.8277000000000001</v>
      </c>
      <c r="R44" s="147">
        <v>6.8270999999999997</v>
      </c>
      <c r="S44" s="147">
        <v>6.6070000000000002</v>
      </c>
      <c r="T44" s="147">
        <v>6.2949999999999999</v>
      </c>
      <c r="U44" s="111">
        <v>6.2305999999999999</v>
      </c>
      <c r="V44" s="111">
        <v>6.0542999999999996</v>
      </c>
      <c r="W44" s="111">
        <v>6.2054999999999998</v>
      </c>
      <c r="X44" s="111">
        <v>6.4936999999999996</v>
      </c>
      <c r="Y44" s="111">
        <v>6.9450000000000003</v>
      </c>
      <c r="Z44" s="111">
        <v>6.5068000000000001</v>
      </c>
      <c r="AA44" s="111">
        <v>6.8784999999999998</v>
      </c>
      <c r="AB44" s="111">
        <v>6.9631999999999996</v>
      </c>
      <c r="AC44" s="111">
        <v>6.5271999999999997</v>
      </c>
      <c r="AD44" s="111">
        <v>6.3730000000000002</v>
      </c>
      <c r="AE44" s="111">
        <f t="shared" ref="AE44:BG44" si="59">AE43</f>
        <v>6.7294999999999998</v>
      </c>
      <c r="AF44" s="111">
        <f t="shared" si="59"/>
        <v>7.0978460763754168</v>
      </c>
      <c r="AG44" s="111">
        <f t="shared" si="59"/>
        <v>7.1900000000000013</v>
      </c>
      <c r="AH44" s="111">
        <f t="shared" si="59"/>
        <v>7.0150000000000041</v>
      </c>
      <c r="AI44" s="111">
        <f t="shared" si="59"/>
        <v>6.9047500000000062</v>
      </c>
      <c r="AJ44" s="111">
        <f t="shared" si="59"/>
        <v>6.9047500000000062</v>
      </c>
      <c r="AK44" s="111">
        <f t="shared" si="59"/>
        <v>6.9047500000000062</v>
      </c>
      <c r="AL44" s="111">
        <f t="shared" si="59"/>
        <v>6.9047500000000062</v>
      </c>
      <c r="AM44" s="111">
        <f t="shared" si="59"/>
        <v>6.9047500000000062</v>
      </c>
      <c r="AN44" s="111">
        <f t="shared" si="59"/>
        <v>6.9047500000000062</v>
      </c>
      <c r="AO44" s="111">
        <f t="shared" si="59"/>
        <v>6.9047500000000062</v>
      </c>
      <c r="AP44" s="111">
        <f t="shared" si="59"/>
        <v>6.9047500000000062</v>
      </c>
      <c r="AQ44" s="111">
        <f t="shared" si="59"/>
        <v>6.9047500000000062</v>
      </c>
      <c r="AR44" s="111">
        <f t="shared" si="59"/>
        <v>6.9047500000000062</v>
      </c>
      <c r="AS44" s="111">
        <f t="shared" si="59"/>
        <v>6.9047500000000062</v>
      </c>
      <c r="AT44" s="111">
        <f t="shared" si="59"/>
        <v>6.9047500000000062</v>
      </c>
      <c r="AU44" s="111">
        <f t="shared" si="59"/>
        <v>6.9047500000000062</v>
      </c>
      <c r="AV44" s="111">
        <f t="shared" si="59"/>
        <v>6.9047500000000062</v>
      </c>
      <c r="AW44" s="111">
        <f t="shared" si="59"/>
        <v>6.9047500000000062</v>
      </c>
      <c r="AX44" s="111">
        <f t="shared" si="59"/>
        <v>6.9047500000000062</v>
      </c>
      <c r="AY44" s="111">
        <f t="shared" si="59"/>
        <v>6.9047500000000062</v>
      </c>
      <c r="AZ44" s="111">
        <f t="shared" si="59"/>
        <v>6.9047500000000062</v>
      </c>
      <c r="BA44" s="111">
        <f t="shared" si="59"/>
        <v>6.9047500000000062</v>
      </c>
      <c r="BB44" s="111">
        <f t="shared" si="59"/>
        <v>6.9047500000000062</v>
      </c>
      <c r="BC44" s="111">
        <f t="shared" si="59"/>
        <v>6.9047500000000062</v>
      </c>
      <c r="BD44" s="111">
        <f t="shared" si="59"/>
        <v>6.9047500000000062</v>
      </c>
      <c r="BE44" s="111">
        <f t="shared" si="59"/>
        <v>6.9047500000000062</v>
      </c>
      <c r="BF44" s="111">
        <f t="shared" si="59"/>
        <v>6.9047500000000062</v>
      </c>
      <c r="BG44" s="111">
        <f t="shared" si="59"/>
        <v>6.9047500000000062</v>
      </c>
    </row>
    <row r="45" spans="1:59" ht="13.75" customHeight="1">
      <c r="A45" s="141" t="s">
        <v>86</v>
      </c>
      <c r="B45" s="165"/>
      <c r="D45" s="166" t="s">
        <v>87</v>
      </c>
      <c r="E45" s="167"/>
      <c r="F45" s="168" t="s">
        <v>159</v>
      </c>
      <c r="G45" s="168" t="s">
        <v>160</v>
      </c>
      <c r="H45" s="168"/>
      <c r="I45" s="168"/>
      <c r="J45" s="147">
        <v>3.5273250000000003</v>
      </c>
      <c r="K45" s="147">
        <v>3.7911750000000004</v>
      </c>
      <c r="L45" s="147">
        <v>3.7073</v>
      </c>
      <c r="M45" s="147">
        <v>3.4797500000000001</v>
      </c>
      <c r="N45" s="147">
        <v>3.4539500000000003</v>
      </c>
      <c r="O45" s="147">
        <v>3.4082249999999998</v>
      </c>
      <c r="P45" s="147">
        <v>3.3614999999999999</v>
      </c>
      <c r="Q45" s="147">
        <v>3.5812499999999998</v>
      </c>
      <c r="R45" s="147">
        <v>4.6491249999999997</v>
      </c>
      <c r="S45" s="147">
        <v>4.4869749999999993</v>
      </c>
      <c r="T45" s="147">
        <v>4.5507249999999999</v>
      </c>
      <c r="U45" s="111">
        <v>4.9221250000000003</v>
      </c>
      <c r="V45" s="111">
        <v>5.1818249999999999</v>
      </c>
      <c r="W45" s="111">
        <v>6.2628500000000003</v>
      </c>
      <c r="X45" s="111">
        <v>9.7380750000000003</v>
      </c>
      <c r="Y45" s="111">
        <v>10.094624999999999</v>
      </c>
      <c r="Z45" s="111">
        <v>8.6359999999999992</v>
      </c>
      <c r="AA45" s="111">
        <v>9.4852249999999998</v>
      </c>
      <c r="AB45" s="111">
        <v>9.3735749999999989</v>
      </c>
      <c r="AC45" s="111">
        <v>10.491275</v>
      </c>
      <c r="AD45" s="111">
        <v>11.331438461538461</v>
      </c>
      <c r="AE45" s="111">
        <f t="shared" ref="AE45" si="60">AE14/AE43</f>
        <v>10.176866780592912</v>
      </c>
      <c r="AF45" s="111">
        <f>AF14/AF43</f>
        <v>11.982038741265089</v>
      </c>
      <c r="AG45" s="111">
        <f>AG14/AG43</f>
        <v>12.719749652294846</v>
      </c>
      <c r="AH45" s="111">
        <f>AH14/AH43</f>
        <v>13.1846044191019</v>
      </c>
      <c r="AI45" s="111">
        <f>AI14/AI43</f>
        <v>13.568919946413661</v>
      </c>
      <c r="AJ45" s="111">
        <f t="shared" ref="AJ45:BF45" si="61">AJ14/AJ43</f>
        <v>13.840298345341935</v>
      </c>
      <c r="AK45" s="111">
        <f t="shared" si="61"/>
        <v>14.117104312248776</v>
      </c>
      <c r="AL45" s="111">
        <f t="shared" si="61"/>
        <v>14.399446398493751</v>
      </c>
      <c r="AM45" s="111">
        <f t="shared" si="61"/>
        <v>14.687435326463627</v>
      </c>
      <c r="AN45" s="111">
        <f t="shared" si="61"/>
        <v>14.9811840329929</v>
      </c>
      <c r="AO45" s="111">
        <f t="shared" si="61"/>
        <v>15.280807713652759</v>
      </c>
      <c r="AP45" s="111">
        <f t="shared" si="61"/>
        <v>15.586423867925815</v>
      </c>
      <c r="AQ45" s="111">
        <f t="shared" si="61"/>
        <v>15.898152345284332</v>
      </c>
      <c r="AR45" s="111">
        <f t="shared" si="61"/>
        <v>16.216115392190019</v>
      </c>
      <c r="AS45" s="111">
        <f t="shared" si="61"/>
        <v>16.54043770003382</v>
      </c>
      <c r="AT45" s="111">
        <f t="shared" si="61"/>
        <v>16.871246454034495</v>
      </c>
      <c r="AU45" s="111">
        <f t="shared" si="61"/>
        <v>17.208671383115185</v>
      </c>
      <c r="AV45" s="111">
        <f t="shared" si="61"/>
        <v>17.55284481077749</v>
      </c>
      <c r="AW45" s="111">
        <f t="shared" si="61"/>
        <v>17.903901706993043</v>
      </c>
      <c r="AX45" s="111">
        <f t="shared" si="61"/>
        <v>18.261979741132901</v>
      </c>
      <c r="AY45" s="111">
        <f t="shared" si="61"/>
        <v>18.627219335955562</v>
      </c>
      <c r="AZ45" s="111">
        <f t="shared" si="61"/>
        <v>18.999763722674672</v>
      </c>
      <c r="BA45" s="111">
        <f t="shared" si="61"/>
        <v>19.379758997128167</v>
      </c>
      <c r="BB45" s="111">
        <f t="shared" si="61"/>
        <v>19.767354177070732</v>
      </c>
      <c r="BC45" s="111">
        <f t="shared" si="61"/>
        <v>20.162701260612145</v>
      </c>
      <c r="BD45" s="111">
        <f t="shared" si="61"/>
        <v>20.565955285824391</v>
      </c>
      <c r="BE45" s="111">
        <f t="shared" si="61"/>
        <v>20.977274391540881</v>
      </c>
      <c r="BF45" s="111">
        <f t="shared" si="61"/>
        <v>21.396819879371694</v>
      </c>
      <c r="BG45" s="111">
        <f>BG14/BG43</f>
        <v>21.824756276959128</v>
      </c>
    </row>
    <row r="46" spans="1:59" ht="13.75" customHeight="1">
      <c r="A46" s="141" t="s">
        <v>86</v>
      </c>
      <c r="B46" s="165"/>
      <c r="D46" s="166" t="s">
        <v>87</v>
      </c>
      <c r="E46" s="167"/>
      <c r="F46" s="168" t="s">
        <v>161</v>
      </c>
      <c r="G46" s="168" t="s">
        <v>160</v>
      </c>
      <c r="H46" s="168"/>
      <c r="I46" s="168"/>
      <c r="J46" s="147">
        <v>3.6857000000000002</v>
      </c>
      <c r="K46" s="147">
        <v>3.8607</v>
      </c>
      <c r="L46" s="147">
        <v>3.5331000000000001</v>
      </c>
      <c r="M46" s="147">
        <v>3.3492000000000002</v>
      </c>
      <c r="N46" s="147">
        <v>3.5613999999999999</v>
      </c>
      <c r="O46" s="147">
        <v>3.3731</v>
      </c>
      <c r="P46" s="147">
        <v>3.3681999999999999</v>
      </c>
      <c r="Q46" s="147">
        <v>4.3064</v>
      </c>
      <c r="R46" s="147">
        <v>4.3994</v>
      </c>
      <c r="S46" s="147">
        <v>4.6219000000000001</v>
      </c>
      <c r="T46" s="147">
        <v>5.1024000000000003</v>
      </c>
      <c r="U46" s="111">
        <v>4.9036</v>
      </c>
      <c r="V46" s="111">
        <v>5.4329999999999998</v>
      </c>
      <c r="W46" s="111">
        <v>9.3539999999999992</v>
      </c>
      <c r="X46" s="111">
        <v>11.372</v>
      </c>
      <c r="Y46" s="111">
        <v>8.7827000000000002</v>
      </c>
      <c r="Z46" s="111">
        <v>8.85</v>
      </c>
      <c r="AA46" s="111">
        <v>10.0892</v>
      </c>
      <c r="AB46" s="111">
        <v>8.9053000000000004</v>
      </c>
      <c r="AC46" s="111">
        <v>11.3156</v>
      </c>
      <c r="AD46" s="111">
        <v>11.657398399497881</v>
      </c>
      <c r="AE46" s="111">
        <f>AE7/AE44</f>
        <v>10.45211382717884</v>
      </c>
      <c r="AF46" s="111">
        <f>AF7/AF44</f>
        <v>12.539015222692559</v>
      </c>
      <c r="AG46" s="111">
        <f>AG7/AG44</f>
        <v>12.495132127955481</v>
      </c>
      <c r="AH46" s="111">
        <f>AH7/AH44</f>
        <v>12.977904490377734</v>
      </c>
      <c r="AI46" s="111">
        <f>AI7/AI44</f>
        <v>13.358919584344067</v>
      </c>
      <c r="AJ46" s="111">
        <f t="shared" ref="AJ46:BA46" si="62">AJ7/AJ44</f>
        <v>13.840298345341935</v>
      </c>
      <c r="AK46" s="111">
        <f>AK7/AK44</f>
        <v>14.117104312248776</v>
      </c>
      <c r="AL46" s="111">
        <f>AL7/AL44</f>
        <v>14.399446398493751</v>
      </c>
      <c r="AM46" s="111">
        <f t="shared" si="62"/>
        <v>14.687435326463627</v>
      </c>
      <c r="AN46" s="111">
        <f t="shared" si="62"/>
        <v>14.9811840329929</v>
      </c>
      <c r="AO46" s="111">
        <f t="shared" si="62"/>
        <v>15.280807713652759</v>
      </c>
      <c r="AP46" s="111">
        <f t="shared" si="62"/>
        <v>15.586423867925815</v>
      </c>
      <c r="AQ46" s="111">
        <f t="shared" si="62"/>
        <v>15.898152345284332</v>
      </c>
      <c r="AR46" s="111">
        <f t="shared" si="62"/>
        <v>16.216115392190019</v>
      </c>
      <c r="AS46" s="111">
        <f t="shared" si="62"/>
        <v>16.54043770003382</v>
      </c>
      <c r="AT46" s="111">
        <f t="shared" si="62"/>
        <v>16.871246454034495</v>
      </c>
      <c r="AU46" s="111">
        <f t="shared" si="62"/>
        <v>17.208671383115185</v>
      </c>
      <c r="AV46" s="111">
        <f t="shared" si="62"/>
        <v>17.55284481077749</v>
      </c>
      <c r="AW46" s="111">
        <f t="shared" si="62"/>
        <v>17.903901706993043</v>
      </c>
      <c r="AX46" s="111">
        <f t="shared" si="62"/>
        <v>18.261979741132901</v>
      </c>
      <c r="AY46" s="111">
        <f t="shared" si="62"/>
        <v>18.627219335955562</v>
      </c>
      <c r="AZ46" s="111">
        <f t="shared" si="62"/>
        <v>18.999763722674672</v>
      </c>
      <c r="BA46" s="111">
        <f t="shared" si="62"/>
        <v>19.379758997128167</v>
      </c>
      <c r="BB46" s="111">
        <f>BB7/BB44</f>
        <v>19.767354177070732</v>
      </c>
      <c r="BC46" s="111">
        <f t="shared" ref="BC46:BG46" si="63">BC7/BC44</f>
        <v>20.162701260612145</v>
      </c>
      <c r="BD46" s="111">
        <f t="shared" si="63"/>
        <v>20.565955285824391</v>
      </c>
      <c r="BE46" s="111">
        <f t="shared" si="63"/>
        <v>20.977274391540881</v>
      </c>
      <c r="BF46" s="111">
        <f t="shared" si="63"/>
        <v>21.396819879371694</v>
      </c>
      <c r="BG46" s="111">
        <f t="shared" si="63"/>
        <v>21.824756276959128</v>
      </c>
    </row>
    <row r="47" spans="1:59" ht="13.75" customHeight="1">
      <c r="A47" s="141" t="s">
        <v>86</v>
      </c>
      <c r="B47" s="165"/>
      <c r="D47" s="166" t="s">
        <v>87</v>
      </c>
      <c r="E47" s="167"/>
      <c r="F47" s="168" t="s">
        <v>162</v>
      </c>
      <c r="G47" s="168" t="s">
        <v>163</v>
      </c>
      <c r="H47" s="168"/>
      <c r="I47" s="168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11"/>
      <c r="V47" s="111"/>
      <c r="W47" s="111">
        <v>61.02</v>
      </c>
      <c r="X47" s="111">
        <v>64.099999999999994</v>
      </c>
      <c r="Y47" s="111">
        <v>67.17</v>
      </c>
      <c r="Z47" s="111">
        <v>65.11</v>
      </c>
      <c r="AA47" s="111">
        <v>68.400000000000006</v>
      </c>
      <c r="AB47" s="111">
        <v>70.400000000000006</v>
      </c>
      <c r="AC47" s="111">
        <v>74.099999999999994</v>
      </c>
      <c r="AD47" s="111">
        <v>73.900000000000006</v>
      </c>
      <c r="AE47" s="111">
        <v>78.599999999999994</v>
      </c>
      <c r="AF47" s="111">
        <v>82.6</v>
      </c>
      <c r="AG47" s="111">
        <v>84</v>
      </c>
      <c r="AH47" s="111">
        <v>85.3</v>
      </c>
      <c r="AI47" s="111">
        <v>86.6</v>
      </c>
      <c r="AJ47" s="111">
        <f>AI47*(1+2%)</f>
        <v>88.331999999999994</v>
      </c>
      <c r="AK47" s="111">
        <f t="shared" ref="AK47:BG47" si="64">AJ47*(1+2%)</f>
        <v>90.098639999999989</v>
      </c>
      <c r="AL47" s="111">
        <f t="shared" si="64"/>
        <v>91.90061279999999</v>
      </c>
      <c r="AM47" s="111">
        <f t="shared" si="64"/>
        <v>93.738625055999989</v>
      </c>
      <c r="AN47" s="111">
        <f t="shared" si="64"/>
        <v>95.613397557119995</v>
      </c>
      <c r="AO47" s="111">
        <f t="shared" si="64"/>
        <v>97.525665508262392</v>
      </c>
      <c r="AP47" s="111">
        <f t="shared" si="64"/>
        <v>99.476178818427641</v>
      </c>
      <c r="AQ47" s="111">
        <f t="shared" si="64"/>
        <v>101.4657023947962</v>
      </c>
      <c r="AR47" s="111">
        <f t="shared" si="64"/>
        <v>103.49501644269212</v>
      </c>
      <c r="AS47" s="111">
        <f t="shared" si="64"/>
        <v>105.56491677154597</v>
      </c>
      <c r="AT47" s="111">
        <f t="shared" si="64"/>
        <v>107.67621510697688</v>
      </c>
      <c r="AU47" s="111">
        <f t="shared" si="64"/>
        <v>109.82973940911643</v>
      </c>
      <c r="AV47" s="111">
        <f t="shared" si="64"/>
        <v>112.02633419729875</v>
      </c>
      <c r="AW47" s="111">
        <f t="shared" si="64"/>
        <v>114.26686088124472</v>
      </c>
      <c r="AX47" s="111">
        <f t="shared" si="64"/>
        <v>116.55219809886962</v>
      </c>
      <c r="AY47" s="111">
        <f t="shared" si="64"/>
        <v>118.88324206084702</v>
      </c>
      <c r="AZ47" s="111">
        <f t="shared" si="64"/>
        <v>121.26090690206397</v>
      </c>
      <c r="BA47" s="111">
        <f t="shared" si="64"/>
        <v>123.68612504010525</v>
      </c>
      <c r="BB47" s="111">
        <f t="shared" si="64"/>
        <v>126.15984754090736</v>
      </c>
      <c r="BC47" s="111">
        <f t="shared" si="64"/>
        <v>128.68304449172552</v>
      </c>
      <c r="BD47" s="111">
        <f t="shared" si="64"/>
        <v>131.25670538156004</v>
      </c>
      <c r="BE47" s="111">
        <f t="shared" si="64"/>
        <v>133.88183948919124</v>
      </c>
      <c r="BF47" s="111">
        <f t="shared" si="64"/>
        <v>136.55947627897507</v>
      </c>
      <c r="BG47" s="111">
        <f t="shared" si="64"/>
        <v>139.29066580455458</v>
      </c>
    </row>
    <row r="48" spans="1:59" ht="13.75" customHeight="1">
      <c r="A48" s="141" t="s">
        <v>86</v>
      </c>
      <c r="B48" s="165"/>
      <c r="D48" s="166" t="s">
        <v>87</v>
      </c>
      <c r="E48" s="167"/>
      <c r="F48" s="168" t="s">
        <v>164</v>
      </c>
      <c r="G48" s="168" t="s">
        <v>163</v>
      </c>
      <c r="H48" s="168"/>
      <c r="I48" s="168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11"/>
      <c r="V48" s="111"/>
      <c r="W48" s="111">
        <v>63.034999999999997</v>
      </c>
      <c r="X48" s="111">
        <v>66.207999999999998</v>
      </c>
      <c r="Y48" s="111">
        <v>67.954999999999998</v>
      </c>
      <c r="Z48" s="111">
        <v>63.84</v>
      </c>
      <c r="AA48" s="111">
        <v>69.569999999999993</v>
      </c>
      <c r="AB48" s="111">
        <v>71.355000000000004</v>
      </c>
      <c r="AC48" s="111">
        <v>73.054000000000002</v>
      </c>
      <c r="AD48" s="111">
        <v>74.486000000000004</v>
      </c>
      <c r="AE48" s="111">
        <v>82.745000000000005</v>
      </c>
      <c r="AF48" s="111">
        <f>AF47</f>
        <v>82.6</v>
      </c>
      <c r="AG48" s="111">
        <f>AG47</f>
        <v>84</v>
      </c>
      <c r="AH48" s="111">
        <f t="shared" ref="AH48:AK48" si="65">AH47</f>
        <v>85.3</v>
      </c>
      <c r="AI48" s="111">
        <f t="shared" si="65"/>
        <v>86.6</v>
      </c>
      <c r="AJ48" s="111">
        <f t="shared" si="65"/>
        <v>88.331999999999994</v>
      </c>
      <c r="AK48" s="111">
        <f t="shared" si="65"/>
        <v>90.098639999999989</v>
      </c>
      <c r="AL48" s="111">
        <f>AL47</f>
        <v>91.90061279999999</v>
      </c>
      <c r="AM48" s="111">
        <f t="shared" ref="AM48:BG48" si="66">AM47</f>
        <v>93.738625055999989</v>
      </c>
      <c r="AN48" s="111">
        <f t="shared" si="66"/>
        <v>95.613397557119995</v>
      </c>
      <c r="AO48" s="111">
        <f t="shared" si="66"/>
        <v>97.525665508262392</v>
      </c>
      <c r="AP48" s="111">
        <f t="shared" si="66"/>
        <v>99.476178818427641</v>
      </c>
      <c r="AQ48" s="111">
        <f t="shared" si="66"/>
        <v>101.4657023947962</v>
      </c>
      <c r="AR48" s="111">
        <f t="shared" si="66"/>
        <v>103.49501644269212</v>
      </c>
      <c r="AS48" s="111">
        <f t="shared" si="66"/>
        <v>105.56491677154597</v>
      </c>
      <c r="AT48" s="111">
        <f t="shared" si="66"/>
        <v>107.67621510697688</v>
      </c>
      <c r="AU48" s="111">
        <f t="shared" si="66"/>
        <v>109.82973940911643</v>
      </c>
      <c r="AV48" s="111">
        <f t="shared" si="66"/>
        <v>112.02633419729875</v>
      </c>
      <c r="AW48" s="111">
        <f t="shared" si="66"/>
        <v>114.26686088124472</v>
      </c>
      <c r="AX48" s="111">
        <f t="shared" si="66"/>
        <v>116.55219809886962</v>
      </c>
      <c r="AY48" s="111">
        <f t="shared" si="66"/>
        <v>118.88324206084702</v>
      </c>
      <c r="AZ48" s="111">
        <f t="shared" si="66"/>
        <v>121.26090690206397</v>
      </c>
      <c r="BA48" s="111">
        <f t="shared" si="66"/>
        <v>123.68612504010525</v>
      </c>
      <c r="BB48" s="111">
        <f t="shared" si="66"/>
        <v>126.15984754090736</v>
      </c>
      <c r="BC48" s="111">
        <f t="shared" si="66"/>
        <v>128.68304449172552</v>
      </c>
      <c r="BD48" s="111">
        <f t="shared" si="66"/>
        <v>131.25670538156004</v>
      </c>
      <c r="BE48" s="111">
        <f t="shared" si="66"/>
        <v>133.88183948919124</v>
      </c>
      <c r="BF48" s="111">
        <f t="shared" si="66"/>
        <v>136.55947627897507</v>
      </c>
      <c r="BG48" s="111">
        <f t="shared" si="66"/>
        <v>139.29066580455458</v>
      </c>
    </row>
    <row r="49" spans="1:59" ht="13.75" customHeight="1" outlineLevel="1">
      <c r="A49" s="141" t="s">
        <v>86</v>
      </c>
      <c r="B49" s="165"/>
      <c r="D49" s="166" t="s">
        <v>87</v>
      </c>
      <c r="E49" s="167"/>
      <c r="F49" s="168" t="s">
        <v>165</v>
      </c>
      <c r="G49" s="168" t="s">
        <v>3</v>
      </c>
      <c r="H49" s="168"/>
      <c r="I49" s="168"/>
      <c r="W49" s="114">
        <v>0.21050000000000002</v>
      </c>
      <c r="X49" s="114">
        <v>0.10980000000000001</v>
      </c>
      <c r="Y49" s="114">
        <v>0.10050000000000001</v>
      </c>
      <c r="Z49" s="114">
        <v>7.5399999999999995E-2</v>
      </c>
      <c r="AA49" s="114">
        <v>7.7699999999999991E-2</v>
      </c>
      <c r="AB49" s="114">
        <v>6.1200000000000004E-2</v>
      </c>
      <c r="AC49" s="114">
        <v>4.2199999999999994E-2</v>
      </c>
      <c r="AD49" s="114">
        <v>8.6899999999999991E-2</v>
      </c>
      <c r="AE49" s="114">
        <v>7.6200000000000004E-2</v>
      </c>
      <c r="AF49" s="114">
        <v>0.14050000000000001</v>
      </c>
      <c r="AG49" s="114">
        <v>0.10800000000000001</v>
      </c>
      <c r="AH49" s="114">
        <v>7.9000000000000001E-2</v>
      </c>
      <c r="AI49" s="114">
        <v>6.0499999999999998E-2</v>
      </c>
      <c r="AJ49" s="114">
        <f>AI49+(AJ$39-AI$39)</f>
        <v>6.0499999999999998E-2</v>
      </c>
      <c r="AK49" s="114">
        <f t="shared" ref="AK49:BG49" si="67">AJ49+(AK$39-AJ$39)</f>
        <v>6.0499999999999998E-2</v>
      </c>
      <c r="AL49" s="114">
        <f t="shared" si="67"/>
        <v>6.0499999999999998E-2</v>
      </c>
      <c r="AM49" s="114">
        <f t="shared" si="67"/>
        <v>6.0499999999999998E-2</v>
      </c>
      <c r="AN49" s="114">
        <f t="shared" si="67"/>
        <v>6.0499999999999998E-2</v>
      </c>
      <c r="AO49" s="114">
        <f t="shared" si="67"/>
        <v>6.0499999999999998E-2</v>
      </c>
      <c r="AP49" s="114">
        <f t="shared" si="67"/>
        <v>6.0499999999999998E-2</v>
      </c>
      <c r="AQ49" s="114">
        <f t="shared" si="67"/>
        <v>6.0499999999999998E-2</v>
      </c>
      <c r="AR49" s="114">
        <f t="shared" si="67"/>
        <v>6.0499999999999998E-2</v>
      </c>
      <c r="AS49" s="114">
        <f t="shared" si="67"/>
        <v>6.0499999999999998E-2</v>
      </c>
      <c r="AT49" s="114">
        <f t="shared" si="67"/>
        <v>6.0499999999999998E-2</v>
      </c>
      <c r="AU49" s="114">
        <f t="shared" si="67"/>
        <v>6.0499999999999998E-2</v>
      </c>
      <c r="AV49" s="114">
        <f t="shared" si="67"/>
        <v>6.0499999999999998E-2</v>
      </c>
      <c r="AW49" s="114">
        <f t="shared" si="67"/>
        <v>6.0499999999999998E-2</v>
      </c>
      <c r="AX49" s="114">
        <f t="shared" si="67"/>
        <v>6.0499999999999998E-2</v>
      </c>
      <c r="AY49" s="114">
        <f t="shared" si="67"/>
        <v>6.0499999999999998E-2</v>
      </c>
      <c r="AZ49" s="114">
        <f t="shared" si="67"/>
        <v>6.0499999999999998E-2</v>
      </c>
      <c r="BA49" s="114">
        <f t="shared" si="67"/>
        <v>6.0499999999999998E-2</v>
      </c>
      <c r="BB49" s="114">
        <f t="shared" si="67"/>
        <v>6.0499999999999998E-2</v>
      </c>
      <c r="BC49" s="114">
        <f t="shared" si="67"/>
        <v>6.0499999999999998E-2</v>
      </c>
      <c r="BD49" s="114">
        <f t="shared" si="67"/>
        <v>6.0499999999999998E-2</v>
      </c>
      <c r="BE49" s="114">
        <f t="shared" si="67"/>
        <v>6.0499999999999998E-2</v>
      </c>
      <c r="BF49" s="114">
        <f t="shared" si="67"/>
        <v>6.0499999999999998E-2</v>
      </c>
      <c r="BG49" s="114">
        <f t="shared" si="67"/>
        <v>6.0499999999999998E-2</v>
      </c>
    </row>
    <row r="50" spans="1:59" ht="13.75" customHeight="1" outlineLevel="1">
      <c r="B50" s="165"/>
      <c r="C50" s="165"/>
      <c r="D50" s="165"/>
      <c r="E50" s="167"/>
      <c r="F50" s="168"/>
      <c r="G50" s="168"/>
      <c r="H50" s="168"/>
      <c r="I50" s="168"/>
      <c r="X50" s="115"/>
      <c r="Y50" s="115"/>
      <c r="Z50" s="115"/>
      <c r="AA50" s="115"/>
    </row>
    <row r="51" spans="1:59" ht="13.75" customHeight="1" outlineLevel="1">
      <c r="B51" s="165"/>
      <c r="C51" s="165"/>
      <c r="D51" s="165"/>
      <c r="E51" s="167"/>
      <c r="F51" s="168"/>
      <c r="G51" s="168"/>
      <c r="H51" s="168"/>
      <c r="I51" s="168"/>
      <c r="X51" s="115"/>
      <c r="Y51" s="115"/>
      <c r="Z51" s="115"/>
      <c r="AA51" s="115"/>
    </row>
    <row r="52" spans="1:59" ht="13.75" customHeight="1" outlineLevel="1">
      <c r="B52" s="165"/>
      <c r="C52" s="165"/>
      <c r="D52" s="165"/>
      <c r="E52" s="167"/>
      <c r="F52" s="168"/>
      <c r="G52" s="168"/>
      <c r="H52" s="168"/>
      <c r="I52" s="168"/>
      <c r="X52" s="115"/>
      <c r="Y52" s="115"/>
      <c r="Z52" s="115"/>
      <c r="AA52" s="115"/>
    </row>
    <row r="53" spans="1:59" ht="13.75" customHeight="1" outlineLevel="1">
      <c r="B53" s="165"/>
      <c r="C53" s="165"/>
      <c r="D53" s="165"/>
      <c r="E53" s="167"/>
      <c r="F53" s="168"/>
      <c r="G53" s="168"/>
      <c r="H53" s="168"/>
      <c r="I53" s="168"/>
      <c r="X53" s="115"/>
      <c r="Y53" s="115"/>
      <c r="Z53" s="115"/>
      <c r="AA53" s="115"/>
    </row>
    <row r="54" spans="1:59" ht="13.75" customHeight="1" outlineLevel="1">
      <c r="B54" s="165"/>
      <c r="C54" s="165"/>
      <c r="D54" s="165"/>
      <c r="E54" s="167"/>
      <c r="F54" s="168"/>
      <c r="G54" s="168"/>
      <c r="H54" s="168"/>
      <c r="I54" s="168"/>
      <c r="X54" s="115"/>
      <c r="Y54" s="115"/>
      <c r="Z54" s="115">
        <f>SUMIF(Inputs!$X$1:$AY$1,CL$1031-1,Inputs!$X58:$AY58)+0.25*(SUMIF(Inputs!$X$1:$AY$1,CL$1031,Inputs!$X58:$AY58)-SUMIF(Inputs!$X$1:$AY$1,CL$1031-1,Inputs!$X58:$AY58))</f>
        <v>0</v>
      </c>
      <c r="AA54" s="115"/>
      <c r="AB54" s="115"/>
      <c r="AC54" s="115"/>
      <c r="AD54" s="115"/>
      <c r="AE54" s="115"/>
      <c r="AF54" s="115"/>
      <c r="AG54" s="115"/>
      <c r="AH54" s="115"/>
    </row>
    <row r="55" spans="1:59" ht="13.75" customHeight="1" outlineLevel="1">
      <c r="B55" s="165"/>
      <c r="C55" s="165"/>
      <c r="D55" s="165"/>
      <c r="E55" s="167"/>
      <c r="F55" s="168"/>
      <c r="G55" s="168"/>
      <c r="H55" s="168"/>
      <c r="I55" s="168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</row>
    <row r="56" spans="1:59" ht="13.75" customHeight="1" outlineLevel="1">
      <c r="B56" s="165"/>
      <c r="C56" s="165"/>
      <c r="D56" s="165"/>
      <c r="E56" s="167"/>
      <c r="F56" s="168"/>
      <c r="G56" s="168"/>
      <c r="H56" s="168"/>
      <c r="I56" s="168"/>
      <c r="X56" s="115"/>
      <c r="Y56" s="115"/>
      <c r="Z56" s="115"/>
      <c r="AA56" s="115"/>
    </row>
    <row r="57" spans="1:59" ht="13.75" customHeight="1" outlineLevel="1">
      <c r="B57" s="165"/>
      <c r="C57" s="165"/>
      <c r="D57" s="165"/>
      <c r="E57" s="167"/>
      <c r="F57" s="168"/>
      <c r="G57" s="168"/>
      <c r="H57" s="168"/>
      <c r="I57" s="168"/>
      <c r="X57" s="115"/>
      <c r="Y57" s="115"/>
      <c r="Z57" s="115"/>
      <c r="AA57" s="115"/>
      <c r="AB57" s="117"/>
    </row>
    <row r="58" spans="1:59" ht="13.75" customHeight="1">
      <c r="A58" s="171" t="s">
        <v>166</v>
      </c>
      <c r="B58" s="165" t="s">
        <v>167</v>
      </c>
      <c r="C58" s="165"/>
      <c r="D58" s="165" t="s">
        <v>168</v>
      </c>
      <c r="E58" s="167"/>
      <c r="F58" s="168" t="s">
        <v>169</v>
      </c>
      <c r="G58" s="168" t="s">
        <v>4</v>
      </c>
      <c r="H58" s="168"/>
      <c r="I58" s="168"/>
      <c r="U58" s="119">
        <v>192</v>
      </c>
      <c r="V58" s="119">
        <v>149</v>
      </c>
      <c r="W58" s="119">
        <v>117</v>
      </c>
      <c r="X58" s="118">
        <v>90</v>
      </c>
      <c r="Y58" s="118">
        <v>143.19999999999999</v>
      </c>
      <c r="Z58" s="118">
        <v>187</v>
      </c>
      <c r="AA58" s="118">
        <v>207</v>
      </c>
      <c r="AB58" s="117">
        <v>177</v>
      </c>
      <c r="AC58" s="119">
        <v>125</v>
      </c>
      <c r="AD58" s="119">
        <v>225</v>
      </c>
      <c r="AE58" s="117">
        <v>364.53099999999984</v>
      </c>
      <c r="AF58" s="117">
        <v>274.55400514251176</v>
      </c>
      <c r="AG58" s="117">
        <v>240</v>
      </c>
      <c r="AH58" s="117">
        <v>200</v>
      </c>
      <c r="AI58" s="117">
        <v>195</v>
      </c>
      <c r="AJ58" s="117">
        <v>197.73</v>
      </c>
      <c r="AK58" s="117">
        <v>200.49822</v>
      </c>
      <c r="AL58" s="117">
        <v>203.30519508</v>
      </c>
      <c r="AM58" s="117">
        <v>206.15146781112</v>
      </c>
      <c r="AN58" s="117">
        <v>209.0375883604757</v>
      </c>
      <c r="AO58" s="117">
        <v>211.96411459752235</v>
      </c>
      <c r="AP58" s="117">
        <v>214.93161220188767</v>
      </c>
      <c r="AQ58" s="117">
        <v>217.94065477271411</v>
      </c>
      <c r="AR58" s="117">
        <v>220.99182393953211</v>
      </c>
      <c r="AS58" s="117">
        <v>224.08570947468556</v>
      </c>
      <c r="AT58" s="117">
        <v>227.22290940733114</v>
      </c>
      <c r="AU58" s="117">
        <v>230.40403013903378</v>
      </c>
      <c r="AV58" s="117">
        <v>233.62968656098025</v>
      </c>
      <c r="AW58" s="117">
        <v>236.90050217283397</v>
      </c>
      <c r="AX58" s="117">
        <v>240.21710920325364</v>
      </c>
      <c r="AY58" s="117">
        <v>243.58014873209919</v>
      </c>
      <c r="AZ58" s="117">
        <v>246.99027081434858</v>
      </c>
      <c r="BA58" s="117">
        <v>250.44813460574946</v>
      </c>
      <c r="BB58" s="117">
        <v>253.95440849022995</v>
      </c>
      <c r="BC58" s="117">
        <v>257.50977020909318</v>
      </c>
      <c r="BD58" s="117">
        <v>261.11490699202051</v>
      </c>
      <c r="BE58" s="117">
        <v>264.77051568990879</v>
      </c>
      <c r="BF58" s="117">
        <v>268.47730290956753</v>
      </c>
      <c r="BG58" s="117">
        <v>272.23598515030147</v>
      </c>
    </row>
    <row r="59" spans="1:59" ht="13.75" customHeight="1">
      <c r="A59" s="171" t="s">
        <v>166</v>
      </c>
      <c r="B59" s="165" t="s">
        <v>167</v>
      </c>
      <c r="C59" s="165"/>
      <c r="D59" s="165" t="s">
        <v>168</v>
      </c>
      <c r="E59" s="167"/>
      <c r="F59" s="168" t="s">
        <v>170</v>
      </c>
      <c r="G59" s="168" t="s">
        <v>4</v>
      </c>
      <c r="H59" s="168"/>
      <c r="I59" s="168"/>
      <c r="U59" s="119">
        <v>169</v>
      </c>
      <c r="V59" s="119">
        <v>132</v>
      </c>
      <c r="W59" s="119">
        <v>108</v>
      </c>
      <c r="X59" s="118">
        <v>100</v>
      </c>
      <c r="Y59" s="118">
        <v>92</v>
      </c>
      <c r="Z59" s="118">
        <v>116</v>
      </c>
      <c r="AA59" s="117">
        <v>133.77083333333334</v>
      </c>
      <c r="AB59" s="119">
        <v>140.02083333333334</v>
      </c>
      <c r="AC59" s="119">
        <v>114.625</v>
      </c>
      <c r="AD59" s="119">
        <v>129.80500686569519</v>
      </c>
      <c r="AE59" s="119">
        <v>136.34877207438129</v>
      </c>
      <c r="AF59" s="119">
        <v>125.19967515376445</v>
      </c>
      <c r="AG59" s="119">
        <v>121.66928742269502</v>
      </c>
      <c r="AH59" s="119">
        <v>122.37387890644379</v>
      </c>
      <c r="AI59" s="119">
        <v>124.7652722945994</v>
      </c>
      <c r="AJ59" s="119">
        <v>127.12619747809744</v>
      </c>
      <c r="AK59" s="119">
        <v>129.52489746453148</v>
      </c>
      <c r="AL59" s="119">
        <v>131.96197665074843</v>
      </c>
      <c r="AM59" s="119">
        <v>134.43804910394485</v>
      </c>
      <c r="AN59" s="119">
        <v>136.63927751483646</v>
      </c>
      <c r="AO59" s="119">
        <v>138.87132312348058</v>
      </c>
      <c r="AP59" s="119">
        <v>141.13461737064569</v>
      </c>
      <c r="AQ59" s="119">
        <v>143.42959773727117</v>
      </c>
      <c r="AR59" s="119">
        <v>145.75670782902932</v>
      </c>
      <c r="AS59" s="119">
        <v>148.11639746207214</v>
      </c>
      <c r="AT59" s="119">
        <v>150.50912274997754</v>
      </c>
      <c r="AU59" s="119">
        <v>152.93534619191365</v>
      </c>
      <c r="AV59" s="119">
        <v>155.39553676203684</v>
      </c>
      <c r="AW59" s="119">
        <v>157.89017000014175</v>
      </c>
      <c r="AX59" s="119">
        <v>160.41972810358013</v>
      </c>
      <c r="AY59" s="119">
        <v>162.98470002046662</v>
      </c>
      <c r="AZ59" s="119">
        <v>165.58558154418955</v>
      </c>
      <c r="BA59" s="119">
        <v>168.22287540924461</v>
      </c>
      <c r="BB59" s="119">
        <v>170.89709138841042</v>
      </c>
      <c r="BC59" s="119">
        <v>173.60874639128457</v>
      </c>
      <c r="BD59" s="119">
        <v>176.35836456419892</v>
      </c>
      <c r="BE59" s="119">
        <v>179.14647739153412</v>
      </c>
      <c r="BF59" s="119">
        <v>181.97362379845197</v>
      </c>
      <c r="BG59" s="119">
        <v>184.84035025506674</v>
      </c>
    </row>
    <row r="60" spans="1:59" ht="13.75" customHeight="1">
      <c r="A60" s="171" t="s">
        <v>166</v>
      </c>
      <c r="B60" s="165" t="s">
        <v>167</v>
      </c>
      <c r="C60" s="165"/>
      <c r="D60" s="165" t="s">
        <v>168</v>
      </c>
      <c r="E60" s="167"/>
      <c r="F60" s="168" t="s">
        <v>171</v>
      </c>
      <c r="G60" s="168" t="s">
        <v>4</v>
      </c>
      <c r="H60" s="168"/>
      <c r="I60" s="168"/>
      <c r="U60" s="119">
        <v>93</v>
      </c>
      <c r="V60" s="119">
        <v>82</v>
      </c>
      <c r="W60" s="119">
        <v>76</v>
      </c>
      <c r="X60" s="118">
        <v>56.7</v>
      </c>
      <c r="Y60" s="117">
        <v>59.41</v>
      </c>
      <c r="Z60" s="117">
        <v>84.29</v>
      </c>
      <c r="AA60" s="117">
        <v>91.98</v>
      </c>
      <c r="AB60" s="117">
        <v>61.44087301587296</v>
      </c>
      <c r="AC60" s="119">
        <v>50.45316205533598</v>
      </c>
      <c r="AD60" s="119">
        <v>120.05</v>
      </c>
      <c r="AE60" s="117">
        <v>290.03916334661346</v>
      </c>
      <c r="AF60" s="117">
        <v>128.97192952508956</v>
      </c>
      <c r="AG60" s="117">
        <v>120</v>
      </c>
      <c r="AH60" s="117">
        <v>108</v>
      </c>
      <c r="AI60" s="117">
        <v>108</v>
      </c>
      <c r="AJ60" s="117">
        <v>109.72800000000001</v>
      </c>
      <c r="AK60" s="117">
        <v>111.48364800000002</v>
      </c>
      <c r="AL60" s="117">
        <v>113.26738636800002</v>
      </c>
      <c r="AM60" s="117">
        <v>115.07966454988802</v>
      </c>
      <c r="AN60" s="117">
        <v>116.46062052448669</v>
      </c>
      <c r="AO60" s="117">
        <v>117.85814797078052</v>
      </c>
      <c r="AP60" s="117">
        <v>119.2724457464299</v>
      </c>
      <c r="AQ60" s="117">
        <v>120.70371509538705</v>
      </c>
      <c r="AR60" s="117">
        <v>122.1521596765317</v>
      </c>
      <c r="AS60" s="117">
        <v>123.61798559265007</v>
      </c>
      <c r="AT60" s="117">
        <v>125.10140141976187</v>
      </c>
      <c r="AU60" s="117">
        <v>126.60261823679902</v>
      </c>
      <c r="AV60" s="117">
        <v>128.1218496556406</v>
      </c>
      <c r="AW60" s="117">
        <v>129.65931185150828</v>
      </c>
      <c r="AX60" s="117">
        <v>131.21522359372639</v>
      </c>
      <c r="AY60" s="117">
        <v>132.78980627685112</v>
      </c>
      <c r="AZ60" s="117">
        <v>134.38328395217334</v>
      </c>
      <c r="BA60" s="117">
        <v>135.99588335959942</v>
      </c>
      <c r="BB60" s="117">
        <v>137.62783395991462</v>
      </c>
      <c r="BC60" s="117">
        <v>139.27936796743361</v>
      </c>
      <c r="BD60" s="117">
        <v>140.95072038304281</v>
      </c>
      <c r="BE60" s="117">
        <v>142.64212902763933</v>
      </c>
      <c r="BF60" s="117">
        <v>144.35383457597101</v>
      </c>
      <c r="BG60" s="117">
        <v>146.08608059088266</v>
      </c>
    </row>
    <row r="61" spans="1:59" ht="13.75" customHeight="1">
      <c r="A61" s="171" t="s">
        <v>166</v>
      </c>
      <c r="B61" s="165" t="s">
        <v>167</v>
      </c>
      <c r="C61" s="165"/>
      <c r="D61" s="165" t="s">
        <v>168</v>
      </c>
      <c r="E61" s="167"/>
      <c r="F61" s="168" t="s">
        <v>172</v>
      </c>
      <c r="G61" s="168" t="s">
        <v>4</v>
      </c>
      <c r="H61" s="168"/>
      <c r="I61" s="168"/>
      <c r="U61" s="119">
        <v>95</v>
      </c>
      <c r="V61" s="119">
        <v>84</v>
      </c>
      <c r="W61" s="119">
        <v>71</v>
      </c>
      <c r="X61" s="118">
        <v>57.73</v>
      </c>
      <c r="Y61" s="117">
        <v>65.42</v>
      </c>
      <c r="Z61" s="117">
        <v>87.53</v>
      </c>
      <c r="AA61" s="117">
        <v>105.78</v>
      </c>
      <c r="AB61" s="117">
        <v>78.498653846153886</v>
      </c>
      <c r="AC61" s="119">
        <v>61.196551724137912</v>
      </c>
      <c r="AD61" s="119">
        <v>132.98158914728685</v>
      </c>
      <c r="AE61" s="117">
        <v>344.61073359073356</v>
      </c>
      <c r="AF61" s="117">
        <v>179.6332692307692</v>
      </c>
      <c r="AG61" s="117">
        <v>160</v>
      </c>
      <c r="AH61" s="117">
        <v>140</v>
      </c>
      <c r="AI61" s="117">
        <v>130</v>
      </c>
      <c r="AJ61" s="117">
        <v>132.08000000000001</v>
      </c>
      <c r="AK61" s="117">
        <v>134.19328000000002</v>
      </c>
      <c r="AL61" s="117">
        <v>136.34037248000001</v>
      </c>
      <c r="AM61" s="117">
        <v>138.52181843968</v>
      </c>
      <c r="AN61" s="117">
        <v>140.18408026095616</v>
      </c>
      <c r="AO61" s="117">
        <v>141.86628922408764</v>
      </c>
      <c r="AP61" s="117">
        <v>143.56868469477669</v>
      </c>
      <c r="AQ61" s="117">
        <v>145.29150891111402</v>
      </c>
      <c r="AR61" s="117">
        <v>147.03500701804739</v>
      </c>
      <c r="AS61" s="117">
        <v>148.79942710226396</v>
      </c>
      <c r="AT61" s="117">
        <v>150.58502022749113</v>
      </c>
      <c r="AU61" s="117">
        <v>152.39204047022102</v>
      </c>
      <c r="AV61" s="117">
        <v>154.22074495586367</v>
      </c>
      <c r="AW61" s="117">
        <v>156.07139389533404</v>
      </c>
      <c r="AX61" s="117">
        <v>157.94425062207804</v>
      </c>
      <c r="AY61" s="117">
        <v>159.83958162954298</v>
      </c>
      <c r="AZ61" s="117">
        <v>161.75765660909749</v>
      </c>
      <c r="BA61" s="117">
        <v>163.69874848840666</v>
      </c>
      <c r="BB61" s="117">
        <v>165.66313347026755</v>
      </c>
      <c r="BC61" s="117">
        <v>167.65109107191077</v>
      </c>
      <c r="BD61" s="117">
        <v>169.66290416477369</v>
      </c>
      <c r="BE61" s="117">
        <v>171.69885901475098</v>
      </c>
      <c r="BF61" s="117">
        <v>173.759245322928</v>
      </c>
      <c r="BG61" s="117">
        <v>175.84435626680315</v>
      </c>
    </row>
    <row r="62" spans="1:59" ht="13.75" customHeight="1" outlineLevel="1">
      <c r="A62" s="171"/>
      <c r="B62" s="165"/>
      <c r="C62" s="165"/>
      <c r="D62" s="165"/>
      <c r="E62" s="167"/>
      <c r="F62" s="168"/>
      <c r="G62" s="168"/>
      <c r="H62" s="168"/>
      <c r="I62" s="168"/>
      <c r="U62" s="119"/>
      <c r="V62" s="119"/>
      <c r="W62" s="119"/>
      <c r="X62" s="120"/>
      <c r="Y62" s="120"/>
      <c r="Z62" s="120"/>
      <c r="AA62" s="120"/>
      <c r="AB62" s="119"/>
      <c r="AC62" s="119"/>
      <c r="AD62" s="119"/>
      <c r="AE62" s="119"/>
      <c r="AF62" s="119"/>
      <c r="AG62" s="119"/>
      <c r="AH62" s="119"/>
    </row>
    <row r="63" spans="1:59" ht="13.75" customHeight="1">
      <c r="A63" s="171" t="s">
        <v>166</v>
      </c>
      <c r="B63" s="165" t="s">
        <v>173</v>
      </c>
      <c r="C63" s="165" t="s">
        <v>174</v>
      </c>
      <c r="D63" s="165" t="s">
        <v>168</v>
      </c>
      <c r="E63" s="167"/>
      <c r="F63" s="168" t="s">
        <v>175</v>
      </c>
      <c r="G63" s="168" t="s">
        <v>4</v>
      </c>
      <c r="H63" s="168"/>
      <c r="I63" s="168"/>
      <c r="U63" s="119">
        <v>2052</v>
      </c>
      <c r="V63" s="119">
        <v>1888</v>
      </c>
      <c r="W63" s="119">
        <v>1895</v>
      </c>
      <c r="X63" s="118">
        <v>1681</v>
      </c>
      <c r="Y63" s="118">
        <v>1611</v>
      </c>
      <c r="Z63" s="118">
        <v>2111</v>
      </c>
      <c r="AA63" s="118">
        <v>2114</v>
      </c>
      <c r="AB63" s="119">
        <v>1794</v>
      </c>
      <c r="AC63" s="119">
        <v>1706</v>
      </c>
      <c r="AD63" s="119">
        <v>2477</v>
      </c>
      <c r="AE63" s="119">
        <v>2701</v>
      </c>
      <c r="AF63" s="119">
        <v>2252.6109072597792</v>
      </c>
      <c r="AG63" s="119">
        <v>2360</v>
      </c>
      <c r="AH63" s="119">
        <v>2550</v>
      </c>
      <c r="AI63" s="119">
        <v>2693.6546690117821</v>
      </c>
      <c r="AJ63" s="119">
        <v>2736.7531437159705</v>
      </c>
      <c r="AK63" s="119">
        <v>2780.5411940154263</v>
      </c>
      <c r="AL63" s="119">
        <v>2825.0298531196731</v>
      </c>
      <c r="AM63" s="119">
        <v>2870.2303307695879</v>
      </c>
      <c r="AN63" s="119">
        <v>2904.6730947388228</v>
      </c>
      <c r="AO63" s="119">
        <v>2939.5291718756885</v>
      </c>
      <c r="AP63" s="119">
        <v>2974.8035219381968</v>
      </c>
      <c r="AQ63" s="119">
        <v>3010.5011642014551</v>
      </c>
      <c r="AR63" s="119">
        <v>3046.6271781718729</v>
      </c>
      <c r="AS63" s="119">
        <v>3083.1867043099355</v>
      </c>
      <c r="AT63" s="119">
        <v>3120.1849447616546</v>
      </c>
      <c r="AU63" s="119">
        <v>3157.6271640987943</v>
      </c>
      <c r="AV63" s="119">
        <v>3195.5186900679801</v>
      </c>
      <c r="AW63" s="119">
        <v>3233.864914348796</v>
      </c>
      <c r="AX63" s="119">
        <v>3272.6712933209815</v>
      </c>
      <c r="AY63" s="119">
        <v>3311.9433488408331</v>
      </c>
      <c r="AZ63" s="119">
        <v>3351.686669026923</v>
      </c>
      <c r="BA63" s="119">
        <v>3391.9069090552462</v>
      </c>
      <c r="BB63" s="119">
        <v>3432.6097919639092</v>
      </c>
      <c r="BC63" s="119">
        <v>3473.8011094674762</v>
      </c>
      <c r="BD63" s="119">
        <v>3515.486722781086</v>
      </c>
      <c r="BE63" s="119">
        <v>3557.6725634544591</v>
      </c>
      <c r="BF63" s="119">
        <v>3600.3646342159127</v>
      </c>
      <c r="BG63" s="119">
        <v>3643.5690098265036</v>
      </c>
    </row>
    <row r="64" spans="1:59" ht="13.75" customHeight="1">
      <c r="A64" s="171" t="s">
        <v>166</v>
      </c>
      <c r="B64" s="165" t="s">
        <v>173</v>
      </c>
      <c r="C64" s="165" t="s">
        <v>176</v>
      </c>
      <c r="D64" s="165" t="s">
        <v>168</v>
      </c>
      <c r="E64" s="167"/>
      <c r="F64" s="168" t="s">
        <v>177</v>
      </c>
      <c r="G64" s="168" t="s">
        <v>4</v>
      </c>
      <c r="H64" s="168"/>
      <c r="I64" s="168"/>
      <c r="U64" s="119">
        <v>634</v>
      </c>
      <c r="V64" s="119">
        <v>543</v>
      </c>
      <c r="W64" s="119">
        <v>489</v>
      </c>
      <c r="X64" s="118">
        <v>332.18515662994662</v>
      </c>
      <c r="Y64" s="118">
        <v>363.50507929756145</v>
      </c>
      <c r="Z64" s="118">
        <v>451.97061747756311</v>
      </c>
      <c r="AA64" s="118">
        <v>501.82639263071042</v>
      </c>
      <c r="AB64" s="119">
        <v>493.82920670833295</v>
      </c>
      <c r="AC64" s="119">
        <v>423.67847260472058</v>
      </c>
      <c r="AD64" s="119">
        <v>718.47756102481583</v>
      </c>
      <c r="AE64" s="119">
        <v>644.36337077487042</v>
      </c>
      <c r="AF64" s="119">
        <v>525.88468019517268</v>
      </c>
      <c r="AG64" s="119">
        <v>533.77865431643818</v>
      </c>
      <c r="AH64" s="119">
        <v>534.0464218012678</v>
      </c>
      <c r="AI64" s="119">
        <v>538.27765858978307</v>
      </c>
      <c r="AJ64" s="119">
        <v>536.12777277792168</v>
      </c>
      <c r="AK64" s="119">
        <v>544.09393619618038</v>
      </c>
      <c r="AL64" s="119">
        <v>552.17787189588466</v>
      </c>
      <c r="AM64" s="119">
        <v>560.38132862487214</v>
      </c>
      <c r="AN64" s="119">
        <v>568.70608121242435</v>
      </c>
      <c r="AO64" s="119">
        <v>577.15393095999127</v>
      </c>
      <c r="AP64" s="119">
        <v>585.72670603779363</v>
      </c>
      <c r="AQ64" s="119">
        <v>594.42626188739507</v>
      </c>
      <c r="AR64" s="119">
        <v>603.25448163033207</v>
      </c>
      <c r="AS64" s="119">
        <v>612.21327648289434</v>
      </c>
      <c r="AT64" s="119">
        <v>621.30458617714839</v>
      </c>
      <c r="AU64" s="119">
        <v>630.53037938829766</v>
      </c>
      <c r="AV64" s="119">
        <v>639.89265416847797</v>
      </c>
      <c r="AW64" s="119">
        <v>649.39343838708055</v>
      </c>
      <c r="AX64" s="119">
        <v>659.03479017770758</v>
      </c>
      <c r="AY64" s="119">
        <v>668.81879839185467</v>
      </c>
      <c r="AZ64" s="119">
        <v>678.74758305942646</v>
      </c>
      <c r="BA64" s="119">
        <v>688.8232958561855</v>
      </c>
      <c r="BB64" s="119">
        <v>699.04812057824199</v>
      </c>
      <c r="BC64" s="119">
        <v>709.42427362368835</v>
      </c>
      <c r="BD64" s="119">
        <v>719.95400448148871</v>
      </c>
      <c r="BE64" s="119">
        <v>730.63959622773132</v>
      </c>
      <c r="BF64" s="119">
        <v>741.4833660293574</v>
      </c>
      <c r="BG64" s="119">
        <v>752.48766565547726</v>
      </c>
    </row>
    <row r="65" spans="1:59" ht="13.75" customHeight="1">
      <c r="A65" s="171" t="s">
        <v>166</v>
      </c>
      <c r="B65" s="165" t="s">
        <v>173</v>
      </c>
      <c r="C65" s="165" t="s">
        <v>176</v>
      </c>
      <c r="D65" s="165" t="s">
        <v>168</v>
      </c>
      <c r="E65" s="167"/>
      <c r="F65" s="168" t="s">
        <v>178</v>
      </c>
      <c r="G65" s="168" t="s">
        <v>4</v>
      </c>
      <c r="H65" s="168"/>
      <c r="I65" s="168"/>
      <c r="U65" s="119">
        <v>619</v>
      </c>
      <c r="V65" s="119">
        <v>586</v>
      </c>
      <c r="W65" s="119">
        <v>527</v>
      </c>
      <c r="X65" s="118">
        <v>361.41666666666669</v>
      </c>
      <c r="Y65" s="118">
        <v>372.83333333333331</v>
      </c>
      <c r="Z65" s="118">
        <v>465.5</v>
      </c>
      <c r="AA65" s="118">
        <v>530.41666666666663</v>
      </c>
      <c r="AB65" s="119">
        <v>449</v>
      </c>
      <c r="AC65" s="119">
        <v>445.08333333333331</v>
      </c>
      <c r="AD65" s="119">
        <v>705.41666666666663</v>
      </c>
      <c r="AE65" s="119">
        <v>642.41666666666663</v>
      </c>
      <c r="AF65" s="119">
        <v>536.91666666666674</v>
      </c>
      <c r="AG65" s="119">
        <v>543.77865431643818</v>
      </c>
      <c r="AH65" s="119">
        <v>539.0464218012678</v>
      </c>
      <c r="AI65" s="119">
        <v>543.27765858978307</v>
      </c>
      <c r="AJ65" s="119">
        <v>541.12777277792168</v>
      </c>
      <c r="AK65" s="119">
        <v>549.09393619618038</v>
      </c>
      <c r="AL65" s="119">
        <v>557.17787189588466</v>
      </c>
      <c r="AM65" s="119">
        <v>565.38132862487214</v>
      </c>
      <c r="AN65" s="119">
        <v>573.70608121242435</v>
      </c>
      <c r="AO65" s="119">
        <v>582.15393095999127</v>
      </c>
      <c r="AP65" s="119">
        <v>590.72670603779363</v>
      </c>
      <c r="AQ65" s="119">
        <v>599.42626188739507</v>
      </c>
      <c r="AR65" s="119">
        <v>608.25448163033207</v>
      </c>
      <c r="AS65" s="119">
        <v>617.21327648289434</v>
      </c>
      <c r="AT65" s="119">
        <v>626.30458617714839</v>
      </c>
      <c r="AU65" s="119">
        <v>635.53037938829766</v>
      </c>
      <c r="AV65" s="119">
        <v>644.89265416847797</v>
      </c>
      <c r="AW65" s="119">
        <v>654.39343838708055</v>
      </c>
      <c r="AX65" s="119">
        <v>664.03479017770758</v>
      </c>
      <c r="AY65" s="119">
        <v>673.81879839185467</v>
      </c>
      <c r="AZ65" s="119">
        <v>683.74758305942646</v>
      </c>
      <c r="BA65" s="119">
        <v>693.8232958561855</v>
      </c>
      <c r="BB65" s="119">
        <v>704.04812057824199</v>
      </c>
      <c r="BC65" s="119">
        <v>714.42427362368835</v>
      </c>
      <c r="BD65" s="119">
        <v>724.95400448148871</v>
      </c>
      <c r="BE65" s="119">
        <v>735.63959622773132</v>
      </c>
      <c r="BF65" s="119">
        <v>746.4833660293574</v>
      </c>
      <c r="BG65" s="119">
        <v>757.48766565547726</v>
      </c>
    </row>
    <row r="66" spans="1:59" ht="13.75" customHeight="1">
      <c r="A66" s="171" t="s">
        <v>166</v>
      </c>
      <c r="B66" s="165" t="s">
        <v>173</v>
      </c>
      <c r="C66" s="165" t="s">
        <v>179</v>
      </c>
      <c r="D66" s="165" t="s">
        <v>168</v>
      </c>
      <c r="E66" s="167"/>
      <c r="F66" s="168" t="s">
        <v>180</v>
      </c>
      <c r="G66" s="168" t="s">
        <v>4</v>
      </c>
      <c r="H66" s="168"/>
      <c r="I66" s="168" t="s">
        <v>181</v>
      </c>
      <c r="U66" s="119">
        <v>1288.809462504023</v>
      </c>
      <c r="V66" s="119">
        <v>1218.3526084223759</v>
      </c>
      <c r="W66" s="119">
        <v>1040.3367875647668</v>
      </c>
      <c r="X66" s="118">
        <v>1078</v>
      </c>
      <c r="Y66" s="118">
        <v>970</v>
      </c>
      <c r="Z66" s="118">
        <v>1152</v>
      </c>
      <c r="AA66" s="118">
        <v>1294</v>
      </c>
      <c r="AB66" s="118">
        <v>1300</v>
      </c>
      <c r="AC66" s="118">
        <v>1166</v>
      </c>
      <c r="AD66" s="118">
        <v>1149</v>
      </c>
      <c r="AE66" s="118">
        <v>1241.1373005604119</v>
      </c>
      <c r="AF66" s="118">
        <v>1182.7746891243269</v>
      </c>
      <c r="AG66" s="118">
        <v>1137.0669169651774</v>
      </c>
      <c r="AH66" s="118">
        <v>1128.9183693535613</v>
      </c>
      <c r="AI66" s="118">
        <v>1133.3054984479713</v>
      </c>
      <c r="AJ66" s="118">
        <v>1133.5707720568689</v>
      </c>
      <c r="AK66" s="118">
        <v>1140.3023547418761</v>
      </c>
      <c r="AL66" s="118">
        <v>1167.1124650076981</v>
      </c>
      <c r="AM66" s="118">
        <v>1174.0022266782553</v>
      </c>
      <c r="AN66" s="118">
        <v>1180.9727802537493</v>
      </c>
      <c r="AO66" s="118">
        <v>1188.0252831603198</v>
      </c>
      <c r="AP66" s="118">
        <v>1195.1609100034543</v>
      </c>
      <c r="AQ66" s="118">
        <v>1202.3808528252139</v>
      </c>
      <c r="AR66" s="118">
        <v>1209.6863213653289</v>
      </c>
      <c r="AS66" s="118">
        <v>1217.0785433262245</v>
      </c>
      <c r="AT66" s="118">
        <v>1224.5587646420331</v>
      </c>
      <c r="AU66" s="118">
        <v>1232.1282497516586</v>
      </c>
      <c r="AV66" s="118">
        <v>1239.7882818759476</v>
      </c>
      <c r="AW66" s="118">
        <v>1247.5401632990361</v>
      </c>
      <c r="AX66" s="118">
        <v>1255.3852156539288</v>
      </c>
      <c r="AY66" s="118">
        <v>1263.3247802123815</v>
      </c>
      <c r="AZ66" s="118">
        <v>1271.360218179143</v>
      </c>
      <c r="BA66" s="118">
        <v>1279.4929109906325</v>
      </c>
      <c r="BB66" s="118">
        <v>1287.7242606181114</v>
      </c>
      <c r="BC66" s="118">
        <v>1296.0556898754216</v>
      </c>
      <c r="BD66" s="118">
        <v>1304.4886427313593</v>
      </c>
      <c r="BE66" s="118">
        <v>1313.0245846267505</v>
      </c>
      <c r="BF66" s="118">
        <v>1321.6650027963074</v>
      </c>
      <c r="BG66" s="118">
        <v>1330.4114065953281</v>
      </c>
    </row>
    <row r="67" spans="1:59" ht="13.75" customHeight="1">
      <c r="A67" s="171" t="s">
        <v>166</v>
      </c>
      <c r="B67" s="165" t="s">
        <v>173</v>
      </c>
      <c r="C67" s="165" t="s">
        <v>176</v>
      </c>
      <c r="D67" s="165" t="s">
        <v>168</v>
      </c>
      <c r="E67" s="167"/>
      <c r="F67" s="168" t="s">
        <v>182</v>
      </c>
      <c r="G67" s="168" t="s">
        <v>4</v>
      </c>
      <c r="H67" s="168"/>
      <c r="I67" s="168" t="s">
        <v>181</v>
      </c>
      <c r="U67" s="119">
        <v>395</v>
      </c>
      <c r="V67" s="119">
        <v>369</v>
      </c>
      <c r="W67" s="119">
        <v>370</v>
      </c>
      <c r="X67" s="118">
        <v>262</v>
      </c>
      <c r="Y67" s="118">
        <v>216.90683358824506</v>
      </c>
      <c r="Z67" s="118">
        <v>219.89667083788646</v>
      </c>
      <c r="AA67" s="118">
        <v>272.25247867111841</v>
      </c>
      <c r="AB67" s="119">
        <v>242</v>
      </c>
      <c r="AC67" s="119">
        <v>217</v>
      </c>
      <c r="AD67" s="119">
        <v>414</v>
      </c>
      <c r="AE67" s="119">
        <v>326</v>
      </c>
      <c r="AF67" s="119">
        <v>246.36336816394464</v>
      </c>
      <c r="AG67" s="119">
        <v>244.49895076506598</v>
      </c>
      <c r="AH67" s="119">
        <v>249.18787978059004</v>
      </c>
      <c r="AI67" s="119">
        <v>251.66233016356585</v>
      </c>
      <c r="AJ67" s="119">
        <v>250.40404656332049</v>
      </c>
      <c r="AK67" s="119">
        <v>255.06331580758706</v>
      </c>
      <c r="AL67" s="119">
        <v>259.79147257954583</v>
      </c>
      <c r="AM67" s="119">
        <v>264.58953979626745</v>
      </c>
      <c r="AN67" s="119">
        <v>269.45890182025829</v>
      </c>
      <c r="AO67" s="119">
        <v>274.4002702753188</v>
      </c>
      <c r="AP67" s="119">
        <v>279.41471457574488</v>
      </c>
      <c r="AQ67" s="119">
        <v>284.50332008865485</v>
      </c>
      <c r="AR67" s="119">
        <v>289.66718837302409</v>
      </c>
      <c r="AS67" s="119">
        <v>294.90743742231837</v>
      </c>
      <c r="AT67" s="119">
        <v>300.22520191077831</v>
      </c>
      <c r="AU67" s="119">
        <v>305.62163344341172</v>
      </c>
      <c r="AV67" s="119">
        <v>311.09790080974875</v>
      </c>
      <c r="AW67" s="119">
        <v>316.6551902414169</v>
      </c>
      <c r="AX67" s="119">
        <v>322.29470567359573</v>
      </c>
      <c r="AY67" s="119">
        <v>328.01766901040526</v>
      </c>
      <c r="AZ67" s="119">
        <v>333.82532039429299</v>
      </c>
      <c r="BA67" s="119">
        <v>339.71891847947626</v>
      </c>
      <c r="BB67" s="119">
        <v>345.69974070950263</v>
      </c>
      <c r="BC67" s="119">
        <v>351.76945115111999</v>
      </c>
      <c r="BD67" s="119">
        <v>357.92899959408157</v>
      </c>
      <c r="BE67" s="119">
        <v>364.17972156328887</v>
      </c>
      <c r="BF67" s="119">
        <v>370.52297252567797</v>
      </c>
      <c r="BG67" s="119">
        <v>376.96012818932331</v>
      </c>
    </row>
    <row r="68" spans="1:59" ht="13.75" customHeight="1">
      <c r="A68" s="171" t="s">
        <v>166</v>
      </c>
      <c r="B68" s="165" t="s">
        <v>173</v>
      </c>
      <c r="C68" s="165" t="s">
        <v>176</v>
      </c>
      <c r="D68" s="165" t="s">
        <v>168</v>
      </c>
      <c r="E68" s="167"/>
      <c r="F68" s="168" t="s">
        <v>183</v>
      </c>
      <c r="G68" s="168" t="s">
        <v>4</v>
      </c>
      <c r="H68" s="168"/>
      <c r="I68" s="168" t="s">
        <v>181</v>
      </c>
      <c r="U68" s="119">
        <v>371</v>
      </c>
      <c r="V68" s="119">
        <v>350</v>
      </c>
      <c r="W68" s="119">
        <v>363</v>
      </c>
      <c r="X68" s="118">
        <v>257</v>
      </c>
      <c r="Y68" s="118">
        <v>236</v>
      </c>
      <c r="Z68" s="118">
        <v>240</v>
      </c>
      <c r="AA68" s="118">
        <v>297</v>
      </c>
      <c r="AB68" s="119">
        <v>262</v>
      </c>
      <c r="AC68" s="119">
        <v>256</v>
      </c>
      <c r="AD68" s="119">
        <v>435</v>
      </c>
      <c r="AE68" s="119">
        <v>363</v>
      </c>
      <c r="AF68" s="119">
        <v>281.16666666666669</v>
      </c>
      <c r="AG68" s="119">
        <v>288.86979665672834</v>
      </c>
      <c r="AH68" s="119">
        <v>291.086130471334</v>
      </c>
      <c r="AI68" s="119">
        <v>293.57509328810772</v>
      </c>
      <c r="AJ68" s="119">
        <v>292.31045457524806</v>
      </c>
      <c r="AK68" s="119">
        <v>296.99643305657668</v>
      </c>
      <c r="AL68" s="119">
        <v>301.75168935052039</v>
      </c>
      <c r="AM68" s="119">
        <v>306.57725213227775</v>
      </c>
      <c r="AN68" s="119">
        <v>311.47416541907313</v>
      </c>
      <c r="AO68" s="119">
        <v>316.4434887999949</v>
      </c>
      <c r="AP68" s="119">
        <v>321.48629766929037</v>
      </c>
      <c r="AQ68" s="119">
        <v>326.60368346317358</v>
      </c>
      <c r="AR68" s="119">
        <v>331.79675390019537</v>
      </c>
      <c r="AS68" s="119">
        <v>337.06663322523195</v>
      </c>
      <c r="AT68" s="119">
        <v>342.4144624571461</v>
      </c>
      <c r="AU68" s="119">
        <v>347.8413996401751</v>
      </c>
      <c r="AV68" s="119">
        <v>353.34862009910472</v>
      </c>
      <c r="AW68" s="119">
        <v>358.9373166982827</v>
      </c>
      <c r="AX68" s="119">
        <v>364.60870010453385</v>
      </c>
      <c r="AY68" s="119">
        <v>370.36399905403215</v>
      </c>
      <c r="AZ68" s="119">
        <v>376.20446062319206</v>
      </c>
      <c r="BA68" s="119">
        <v>382.13135050363854</v>
      </c>
      <c r="BB68" s="119">
        <v>388.14595328131884</v>
      </c>
      <c r="BC68" s="119">
        <v>394.24957271981668</v>
      </c>
      <c r="BD68" s="119">
        <v>400.44353204793453</v>
      </c>
      <c r="BE68" s="119">
        <v>406.72917425160665</v>
      </c>
      <c r="BF68" s="119">
        <v>413.10786237021023</v>
      </c>
      <c r="BG68" s="119">
        <v>419.58097979733958</v>
      </c>
    </row>
    <row r="69" spans="1:59" ht="13.75" customHeight="1">
      <c r="A69" s="171" t="s">
        <v>166</v>
      </c>
      <c r="B69" s="165" t="s">
        <v>173</v>
      </c>
      <c r="C69" s="165" t="s">
        <v>176</v>
      </c>
      <c r="D69" s="165" t="s">
        <v>168</v>
      </c>
      <c r="E69" s="167"/>
      <c r="F69" s="168" t="s">
        <v>184</v>
      </c>
      <c r="G69" s="168" t="s">
        <v>4</v>
      </c>
      <c r="H69" s="168"/>
      <c r="I69" s="168"/>
      <c r="U69" s="119">
        <v>561</v>
      </c>
      <c r="V69" s="119">
        <v>509</v>
      </c>
      <c r="W69" s="119">
        <v>477</v>
      </c>
      <c r="X69" s="118">
        <v>0</v>
      </c>
      <c r="Y69" s="118">
        <v>424</v>
      </c>
      <c r="Z69" s="118">
        <v>534</v>
      </c>
      <c r="AA69" s="118">
        <v>549.21675752137571</v>
      </c>
      <c r="AB69" s="119">
        <v>527</v>
      </c>
      <c r="AC69" s="119">
        <v>478</v>
      </c>
      <c r="AD69" s="119">
        <v>895</v>
      </c>
      <c r="AE69" s="119">
        <v>787.25497291335125</v>
      </c>
      <c r="AF69" s="119">
        <v>658.98539599572189</v>
      </c>
      <c r="AG69" s="119">
        <v>664.48629494939667</v>
      </c>
      <c r="AH69" s="119">
        <v>657.02548470702618</v>
      </c>
      <c r="AI69" s="119">
        <v>673.38323719090715</v>
      </c>
      <c r="AJ69" s="119">
        <v>682.47699893711331</v>
      </c>
      <c r="AK69" s="119">
        <v>692.32905051410421</v>
      </c>
      <c r="AL69" s="119">
        <v>702.32378879064299</v>
      </c>
      <c r="AM69" s="119">
        <v>712.46328750816269</v>
      </c>
      <c r="AN69" s="119">
        <v>722.74965065851893</v>
      </c>
      <c r="AO69" s="119">
        <v>733.18501292698397</v>
      </c>
      <c r="AP69" s="119">
        <v>743.77154014175562</v>
      </c>
      <c r="AQ69" s="119">
        <v>754.51142973007472</v>
      </c>
      <c r="AR69" s="119">
        <v>765.40691118105156</v>
      </c>
      <c r="AS69" s="119">
        <v>776.46024651529819</v>
      </c>
      <c r="AT69" s="119">
        <v>787.67373076146771</v>
      </c>
      <c r="AU69" s="119">
        <v>799.04969243980281</v>
      </c>
      <c r="AV69" s="119">
        <v>810.59049405279734</v>
      </c>
      <c r="AW69" s="119">
        <v>822.29853258307548</v>
      </c>
      <c r="AX69" s="119">
        <v>834.17623999859393</v>
      </c>
      <c r="AY69" s="119">
        <v>846.22608376527933</v>
      </c>
      <c r="AZ69" s="119">
        <v>858.45056736720551</v>
      </c>
      <c r="BA69" s="119">
        <v>870.85223083442611</v>
      </c>
      <c r="BB69" s="119">
        <v>883.43365127857317</v>
      </c>
      <c r="BC69" s="119">
        <v>896.19744343633761</v>
      </c>
      <c r="BD69" s="119">
        <v>909.14626022094876</v>
      </c>
      <c r="BE69" s="119">
        <v>922.28279328176848</v>
      </c>
      <c r="BF69" s="119">
        <v>935.60977357212323</v>
      </c>
      <c r="BG69" s="119">
        <v>949.12997192549346</v>
      </c>
    </row>
    <row r="70" spans="1:59" ht="13.75" customHeight="1">
      <c r="A70" s="171" t="s">
        <v>166</v>
      </c>
      <c r="B70" s="165" t="s">
        <v>173</v>
      </c>
      <c r="C70" s="165" t="s">
        <v>176</v>
      </c>
      <c r="D70" s="165" t="s">
        <v>168</v>
      </c>
      <c r="E70" s="167"/>
      <c r="F70" s="168" t="s">
        <v>185</v>
      </c>
      <c r="G70" s="168" t="s">
        <v>4</v>
      </c>
      <c r="H70" s="168"/>
      <c r="I70" s="168"/>
      <c r="U70" s="119">
        <v>581</v>
      </c>
      <c r="V70" s="119">
        <v>543</v>
      </c>
      <c r="W70" s="119">
        <v>522</v>
      </c>
      <c r="X70" s="118">
        <v>349.83333333333331</v>
      </c>
      <c r="Y70" s="118">
        <v>388.83333333333331</v>
      </c>
      <c r="Z70" s="118">
        <v>503.75</v>
      </c>
      <c r="AA70" s="118">
        <v>555.16666666666663</v>
      </c>
      <c r="AB70" s="118">
        <v>464</v>
      </c>
      <c r="AC70" s="118">
        <v>471</v>
      </c>
      <c r="AD70" s="118">
        <v>860</v>
      </c>
      <c r="AE70" s="118">
        <v>705.91666666666663</v>
      </c>
      <c r="AF70" s="118">
        <v>584.08333333333337</v>
      </c>
      <c r="AG70" s="118">
        <v>611.61688459923653</v>
      </c>
      <c r="AH70" s="118">
        <v>607.01518789116244</v>
      </c>
      <c r="AI70" s="118">
        <v>606.38072977965192</v>
      </c>
      <c r="AJ70" s="118">
        <v>604.73214542530604</v>
      </c>
      <c r="AK70" s="118">
        <v>614.1095354333296</v>
      </c>
      <c r="AL70" s="118">
        <v>623.63278714101864</v>
      </c>
      <c r="AM70" s="118">
        <v>633.30417586400131</v>
      </c>
      <c r="AN70" s="118">
        <v>663.12601250435387</v>
      </c>
      <c r="AO70" s="118">
        <v>673.1006441085234</v>
      </c>
      <c r="AP70" s="118">
        <v>683.23045443401713</v>
      </c>
      <c r="AQ70" s="118">
        <v>693.51786452499528</v>
      </c>
      <c r="AR70" s="118">
        <v>703.96533329690965</v>
      </c>
      <c r="AS70" s="118">
        <v>714.57535813032769</v>
      </c>
      <c r="AT70" s="118">
        <v>725.35047547408999</v>
      </c>
      <c r="AU70" s="118">
        <v>736.2932614579438</v>
      </c>
      <c r="AV70" s="118">
        <v>747.40633251480699</v>
      </c>
      <c r="AW70" s="118">
        <v>758.69234601280959</v>
      </c>
      <c r="AX70" s="118">
        <v>770.15400089726904</v>
      </c>
      <c r="AY70" s="118">
        <v>781.79403834275536</v>
      </c>
      <c r="AZ70" s="118">
        <v>793.61524241540519</v>
      </c>
      <c r="BA70" s="118">
        <v>805.62044074564574</v>
      </c>
      <c r="BB70" s="118">
        <v>817.81250521149241</v>
      </c>
      <c r="BC70" s="118">
        <v>830.19435263258765</v>
      </c>
      <c r="BD70" s="118">
        <v>842.76894547514826</v>
      </c>
      <c r="BE70" s="118">
        <v>855.53929256799597</v>
      </c>
      <c r="BF70" s="118">
        <v>868.50844982984268</v>
      </c>
      <c r="BG70" s="118">
        <v>881.67952100800971</v>
      </c>
    </row>
    <row r="71" spans="1:59" ht="13.75" customHeight="1">
      <c r="A71" s="171" t="s">
        <v>166</v>
      </c>
      <c r="B71" s="165" t="s">
        <v>173</v>
      </c>
      <c r="C71" s="165" t="s">
        <v>176</v>
      </c>
      <c r="D71" s="165" t="s">
        <v>168</v>
      </c>
      <c r="E71" s="167"/>
      <c r="F71" s="168" t="s">
        <v>186</v>
      </c>
      <c r="G71" s="168" t="s">
        <v>4</v>
      </c>
      <c r="H71" s="168"/>
      <c r="I71" s="168"/>
      <c r="U71" s="119">
        <v>957</v>
      </c>
      <c r="V71" s="119">
        <v>815</v>
      </c>
      <c r="W71" s="119">
        <v>716</v>
      </c>
      <c r="X71" s="118">
        <v>562</v>
      </c>
      <c r="Y71" s="118">
        <v>647</v>
      </c>
      <c r="Z71" s="118">
        <v>700</v>
      </c>
      <c r="AA71" s="118">
        <v>769</v>
      </c>
      <c r="AB71" s="119">
        <v>732</v>
      </c>
      <c r="AC71" s="119">
        <v>714</v>
      </c>
      <c r="AD71" s="119">
        <v>1161</v>
      </c>
      <c r="AE71" s="119">
        <v>999.39553675450816</v>
      </c>
      <c r="AF71" s="119">
        <v>824.13168534793385</v>
      </c>
      <c r="AG71" s="119">
        <v>874.01286116320273</v>
      </c>
      <c r="AH71" s="119">
        <v>870.00367842922424</v>
      </c>
      <c r="AI71" s="119">
        <v>889.86991866920698</v>
      </c>
      <c r="AJ71" s="119">
        <v>902.42746731906595</v>
      </c>
      <c r="AK71" s="119">
        <v>915.79872639016821</v>
      </c>
      <c r="AL71" s="119">
        <v>929.36897948072397</v>
      </c>
      <c r="AM71" s="119">
        <v>943.1412012492849</v>
      </c>
      <c r="AN71" s="119">
        <v>957.11841101949915</v>
      </c>
      <c r="AO71" s="119">
        <v>971.30367345373986</v>
      </c>
      <c r="AP71" s="119">
        <v>985.70009923693965</v>
      </c>
      <c r="AQ71" s="119">
        <v>1000.3108457707817</v>
      </c>
      <c r="AR71" s="119">
        <v>1015.1391178784098</v>
      </c>
      <c r="AS71" s="119">
        <v>1030.1881685198141</v>
      </c>
      <c r="AT71" s="119">
        <v>1045.461299518056</v>
      </c>
      <c r="AU71" s="119">
        <v>1060.9618622964965</v>
      </c>
      <c r="AV71" s="119">
        <v>1076.6932586271982</v>
      </c>
      <c r="AW71" s="119">
        <v>1092.6589413906668</v>
      </c>
      <c r="AX71" s="119">
        <v>1108.8624153471064</v>
      </c>
      <c r="AY71" s="119">
        <v>1125.3072379193682</v>
      </c>
      <c r="AZ71" s="119">
        <v>1141.9970199877598</v>
      </c>
      <c r="BA71" s="119">
        <v>1158.9354266969092</v>
      </c>
      <c r="BB71" s="119">
        <v>1176.1261782748559</v>
      </c>
      <c r="BC71" s="119">
        <v>1193.5730508645611</v>
      </c>
      <c r="BD71" s="119">
        <v>1211.2798773680238</v>
      </c>
      <c r="BE71" s="119">
        <v>1229.2505483031966</v>
      </c>
      <c r="BF71" s="119">
        <v>1247.4890126738944</v>
      </c>
      <c r="BG71" s="119">
        <v>1265.9992788528928</v>
      </c>
    </row>
    <row r="72" spans="1:59" ht="13.75" customHeight="1">
      <c r="A72" s="171" t="s">
        <v>166</v>
      </c>
      <c r="B72" s="165" t="s">
        <v>173</v>
      </c>
      <c r="C72" s="165" t="s">
        <v>176</v>
      </c>
      <c r="D72" s="165" t="s">
        <v>168</v>
      </c>
      <c r="E72" s="167"/>
      <c r="F72" s="168" t="s">
        <v>187</v>
      </c>
      <c r="G72" s="168" t="s">
        <v>4</v>
      </c>
      <c r="H72" s="168"/>
      <c r="I72" s="168"/>
      <c r="U72" s="119">
        <v>737.64407700208335</v>
      </c>
      <c r="V72" s="119">
        <v>692.30197291666661</v>
      </c>
      <c r="W72" s="119">
        <v>649.52198020833328</v>
      </c>
      <c r="X72" s="118">
        <v>613</v>
      </c>
      <c r="Y72" s="118">
        <v>657</v>
      </c>
      <c r="Z72" s="118">
        <v>735</v>
      </c>
      <c r="AA72" s="118">
        <v>760.125</v>
      </c>
      <c r="AB72" s="119">
        <v>647</v>
      </c>
      <c r="AC72" s="119">
        <v>663</v>
      </c>
      <c r="AD72" s="119">
        <v>1164</v>
      </c>
      <c r="AE72" s="119">
        <v>1023.3417330969603</v>
      </c>
      <c r="AF72" s="119">
        <v>816.80216142193763</v>
      </c>
      <c r="AG72" s="119">
        <v>878.63106849014127</v>
      </c>
      <c r="AH72" s="119">
        <v>870.96790795869686</v>
      </c>
      <c r="AI72" s="119">
        <v>907.01840036625345</v>
      </c>
      <c r="AJ72" s="119">
        <v>929.52063070523707</v>
      </c>
      <c r="AK72" s="119">
        <v>942.55612430329654</v>
      </c>
      <c r="AL72" s="119">
        <v>955.77447008801971</v>
      </c>
      <c r="AM72" s="119">
        <v>969.17823367444043</v>
      </c>
      <c r="AN72" s="119">
        <v>962.77001668715423</v>
      </c>
      <c r="AO72" s="119">
        <v>976.55245726590624</v>
      </c>
      <c r="AP72" s="119">
        <v>990.52823057828323</v>
      </c>
      <c r="AQ72" s="119">
        <v>1004.700049339604</v>
      </c>
      <c r="AR72" s="119">
        <v>1019.0706643401144</v>
      </c>
      <c r="AS72" s="119">
        <v>1033.6428649795882</v>
      </c>
      <c r="AT72" s="119">
        <v>1048.4194798094343</v>
      </c>
      <c r="AU72" s="119">
        <v>1063.4033770824201</v>
      </c>
      <c r="AV72" s="119">
        <v>1078.5974653101182</v>
      </c>
      <c r="AW72" s="119">
        <v>1094.0046938281812</v>
      </c>
      <c r="AX72" s="119">
        <v>1109.6280533695558</v>
      </c>
      <c r="AY72" s="119">
        <v>1125.4705766457546</v>
      </c>
      <c r="AZ72" s="119">
        <v>1141.5353389362842</v>
      </c>
      <c r="BA72" s="119">
        <v>1157.8254586863613</v>
      </c>
      <c r="BB72" s="119">
        <v>1174.3440981130191</v>
      </c>
      <c r="BC72" s="119">
        <v>1191.0944638197309</v>
      </c>
      <c r="BD72" s="119">
        <v>1208.0798074196668</v>
      </c>
      <c r="BE72" s="119">
        <v>1225.3034261677051</v>
      </c>
      <c r="BF72" s="119">
        <v>1242.7686636013229</v>
      </c>
      <c r="BG72" s="119">
        <v>1260.4789101904867</v>
      </c>
    </row>
    <row r="73" spans="1:59" s="118" customFormat="1" ht="13.75" customHeight="1">
      <c r="A73" s="171" t="s">
        <v>166</v>
      </c>
      <c r="B73" s="165" t="s">
        <v>173</v>
      </c>
      <c r="C73" s="165" t="s">
        <v>176</v>
      </c>
      <c r="D73" s="165" t="s">
        <v>168</v>
      </c>
      <c r="E73" s="167"/>
      <c r="F73" s="168" t="s">
        <v>188</v>
      </c>
      <c r="G73" s="168" t="s">
        <v>4</v>
      </c>
      <c r="U73" s="118">
        <v>129</v>
      </c>
      <c r="V73" s="118">
        <v>136</v>
      </c>
      <c r="W73" s="118">
        <v>97</v>
      </c>
      <c r="X73" s="118">
        <v>55</v>
      </c>
      <c r="Y73" s="118">
        <v>58</v>
      </c>
      <c r="Z73" s="118">
        <v>71</v>
      </c>
      <c r="AA73" s="118">
        <v>68.930000000000007</v>
      </c>
      <c r="AB73" s="118">
        <v>93</v>
      </c>
      <c r="AC73" s="119">
        <v>108</v>
      </c>
      <c r="AD73" s="118">
        <v>159</v>
      </c>
      <c r="AE73" s="118">
        <v>120.90780303030304</v>
      </c>
      <c r="AF73" s="118">
        <v>115.66546538461539</v>
      </c>
      <c r="AG73" s="118">
        <v>110</v>
      </c>
      <c r="AH73" s="118">
        <v>105</v>
      </c>
      <c r="AI73" s="118">
        <v>106.72971330046684</v>
      </c>
      <c r="AJ73" s="118">
        <v>108.43738871327432</v>
      </c>
      <c r="AK73" s="118">
        <v>110.17238693268671</v>
      </c>
      <c r="AL73" s="118">
        <v>111.9351451236097</v>
      </c>
      <c r="AM73" s="118">
        <v>113.72610744558746</v>
      </c>
      <c r="AN73" s="118">
        <v>115.54572516471686</v>
      </c>
      <c r="AO73" s="118">
        <v>117.39445676735232</v>
      </c>
      <c r="AP73" s="118">
        <v>119.27276807562997</v>
      </c>
      <c r="AQ73" s="118">
        <v>121.18113236484005</v>
      </c>
      <c r="AR73" s="118">
        <v>123.12003048267749</v>
      </c>
      <c r="AS73" s="118">
        <v>125.08995097040034</v>
      </c>
      <c r="AT73" s="118">
        <v>127.09139018592674</v>
      </c>
      <c r="AU73" s="118">
        <v>129.12485242890156</v>
      </c>
      <c r="AV73" s="118">
        <v>131.19085006776399</v>
      </c>
      <c r="AW73" s="118">
        <v>133.28990366884821</v>
      </c>
      <c r="AX73" s="118">
        <v>135.42254212754978</v>
      </c>
      <c r="AY73" s="118">
        <v>137.58930280159058</v>
      </c>
      <c r="AZ73" s="118">
        <v>139.79073164641602</v>
      </c>
      <c r="BA73" s="118">
        <v>142.02738335275868</v>
      </c>
      <c r="BB73" s="118">
        <v>144.29982148640281</v>
      </c>
      <c r="BC73" s="118">
        <v>146.60861863018525</v>
      </c>
      <c r="BD73" s="118">
        <v>148.95435652826822</v>
      </c>
      <c r="BE73" s="118">
        <v>151.33762623272051</v>
      </c>
      <c r="BF73" s="118">
        <v>153.75902825244404</v>
      </c>
      <c r="BG73" s="118">
        <v>156.21917270448316</v>
      </c>
    </row>
    <row r="74" spans="1:59" ht="13.75" customHeight="1">
      <c r="A74" s="171" t="s">
        <v>166</v>
      </c>
      <c r="B74" s="165" t="s">
        <v>173</v>
      </c>
      <c r="C74" s="165" t="s">
        <v>176</v>
      </c>
      <c r="D74" s="165" t="s">
        <v>168</v>
      </c>
      <c r="E74" s="167"/>
      <c r="F74" s="168" t="s">
        <v>189</v>
      </c>
      <c r="G74" s="168" t="s">
        <v>4</v>
      </c>
      <c r="H74" s="168"/>
      <c r="I74" s="168"/>
      <c r="U74" s="119">
        <v>574.97961911591722</v>
      </c>
      <c r="V74" s="119">
        <v>467.93014601299592</v>
      </c>
      <c r="W74" s="119">
        <v>445.59876825650304</v>
      </c>
      <c r="X74" s="118">
        <v>300.76848996327993</v>
      </c>
      <c r="Y74" s="118">
        <v>274.67174596422814</v>
      </c>
      <c r="Z74" s="118">
        <v>452.47061747756311</v>
      </c>
      <c r="AA74" s="118">
        <v>460.30972596404376</v>
      </c>
      <c r="AB74" s="119">
        <v>413</v>
      </c>
      <c r="AC74" s="119">
        <v>367</v>
      </c>
      <c r="AD74" s="119">
        <v>623</v>
      </c>
      <c r="AE74" s="119">
        <v>599.49572371604688</v>
      </c>
      <c r="AF74" s="119">
        <v>499.05134686183925</v>
      </c>
      <c r="AG74" s="119">
        <v>501.074307085741</v>
      </c>
      <c r="AH74" s="119">
        <v>494.18602317436682</v>
      </c>
      <c r="AI74" s="119">
        <v>496.72866053153246</v>
      </c>
      <c r="AJ74" s="119">
        <v>503.27628524402172</v>
      </c>
      <c r="AK74" s="119">
        <v>510.81697265439709</v>
      </c>
      <c r="AL74" s="119">
        <v>518.4700267991891</v>
      </c>
      <c r="AM74" s="119">
        <v>526.23712956645022</v>
      </c>
      <c r="AN74" s="119">
        <v>534.11998813072614</v>
      </c>
      <c r="AO74" s="119">
        <v>542.1203353349074</v>
      </c>
      <c r="AP74" s="119">
        <v>550.23993007787305</v>
      </c>
      <c r="AQ74" s="119">
        <v>558.4805577080125</v>
      </c>
      <c r="AR74" s="119">
        <v>566.84403042271867</v>
      </c>
      <c r="AS74" s="119">
        <v>575.33218767393942</v>
      </c>
      <c r="AT74" s="119">
        <v>583.94689657988226</v>
      </c>
      <c r="AU74" s="119">
        <v>592.69005234296424</v>
      </c>
      <c r="AV74" s="119">
        <v>601.56357867410486</v>
      </c>
      <c r="AW74" s="119">
        <v>610.56942822345491</v>
      </c>
      <c r="AX74" s="119">
        <v>619.70958301766234</v>
      </c>
      <c r="AY74" s="119">
        <v>628.98605490377406</v>
      </c>
      <c r="AZ74" s="119">
        <v>638.40088599987314</v>
      </c>
      <c r="BA74" s="119">
        <v>647.95614915255669</v>
      </c>
      <c r="BB74" s="119">
        <v>657.65394840135684</v>
      </c>
      <c r="BC74" s="119">
        <v>667.49641945021085</v>
      </c>
      <c r="BD74" s="119">
        <v>677.48573014608849</v>
      </c>
      <c r="BE74" s="119">
        <v>687.62408096488571</v>
      </c>
      <c r="BF74" s="119">
        <v>697.91370550469412</v>
      </c>
      <c r="BG74" s="119">
        <v>708.35687098656058</v>
      </c>
    </row>
    <row r="75" spans="1:59" ht="13.75" customHeight="1">
      <c r="A75" s="171" t="s">
        <v>166</v>
      </c>
      <c r="B75" s="165" t="s">
        <v>173</v>
      </c>
      <c r="C75" s="165" t="s">
        <v>176</v>
      </c>
      <c r="D75" s="165" t="s">
        <v>168</v>
      </c>
      <c r="E75" s="167"/>
      <c r="F75" s="168" t="s">
        <v>190</v>
      </c>
      <c r="G75" s="168" t="s">
        <v>4</v>
      </c>
      <c r="H75" s="168"/>
      <c r="I75" s="168"/>
      <c r="U75" s="119">
        <v>560</v>
      </c>
      <c r="V75" s="119">
        <v>511</v>
      </c>
      <c r="W75" s="119">
        <v>483</v>
      </c>
      <c r="X75" s="118">
        <v>330</v>
      </c>
      <c r="Y75" s="118">
        <v>284</v>
      </c>
      <c r="Z75" s="118">
        <v>466</v>
      </c>
      <c r="AA75" s="118">
        <v>488.9</v>
      </c>
      <c r="AB75" s="119">
        <v>411.1320754716981</v>
      </c>
      <c r="AC75" s="119">
        <v>402.5980392156863</v>
      </c>
      <c r="AD75" s="119">
        <v>615.18867924528297</v>
      </c>
      <c r="AE75" s="119">
        <v>597.54901960784309</v>
      </c>
      <c r="AF75" s="119">
        <v>510.08333333333331</v>
      </c>
      <c r="AG75" s="119">
        <v>506.074307085741</v>
      </c>
      <c r="AH75" s="119">
        <v>499.18602317436682</v>
      </c>
      <c r="AI75" s="119">
        <v>501.72866053153246</v>
      </c>
      <c r="AJ75" s="119">
        <v>508.27628524402172</v>
      </c>
      <c r="AK75" s="119">
        <v>515.81697265439709</v>
      </c>
      <c r="AL75" s="119">
        <v>523.4700267991891</v>
      </c>
      <c r="AM75" s="119">
        <v>531.23712956645022</v>
      </c>
      <c r="AN75" s="119">
        <v>539.11998813072614</v>
      </c>
      <c r="AO75" s="119">
        <v>547.1203353349074</v>
      </c>
      <c r="AP75" s="119">
        <v>555.23993007787305</v>
      </c>
      <c r="AQ75" s="119">
        <v>563.4805577080125</v>
      </c>
      <c r="AR75" s="119">
        <v>571.84403042271867</v>
      </c>
      <c r="AS75" s="119">
        <v>580.33218767393942</v>
      </c>
      <c r="AT75" s="119">
        <v>588.94689657988226</v>
      </c>
      <c r="AU75" s="119">
        <v>597.69005234296424</v>
      </c>
      <c r="AV75" s="119">
        <v>606.56357867410486</v>
      </c>
      <c r="AW75" s="119">
        <v>615.56942822345491</v>
      </c>
      <c r="AX75" s="119">
        <v>624.70958301766234</v>
      </c>
      <c r="AY75" s="119">
        <v>633.98605490377406</v>
      </c>
      <c r="AZ75" s="119">
        <v>643.40088599987314</v>
      </c>
      <c r="BA75" s="119">
        <v>652.95614915255669</v>
      </c>
      <c r="BB75" s="119">
        <v>662.65394840135684</v>
      </c>
      <c r="BC75" s="119">
        <v>672.49641945021085</v>
      </c>
      <c r="BD75" s="119">
        <v>682.48573014608849</v>
      </c>
      <c r="BE75" s="119">
        <v>692.62408096488571</v>
      </c>
      <c r="BF75" s="119">
        <v>702.91370550469412</v>
      </c>
      <c r="BG75" s="119">
        <v>713.35687098656058</v>
      </c>
    </row>
    <row r="76" spans="1:59" ht="13.75" customHeight="1">
      <c r="A76" s="171" t="s">
        <v>166</v>
      </c>
      <c r="B76" s="165" t="s">
        <v>173</v>
      </c>
      <c r="C76" s="165" t="s">
        <v>176</v>
      </c>
      <c r="D76" s="165" t="s">
        <v>168</v>
      </c>
      <c r="E76" s="167"/>
      <c r="F76" s="168" t="s">
        <v>191</v>
      </c>
      <c r="G76" s="168" t="s">
        <v>4</v>
      </c>
      <c r="H76" s="168"/>
      <c r="I76" s="168" t="s">
        <v>181</v>
      </c>
      <c r="U76" s="119">
        <v>529.97961911591722</v>
      </c>
      <c r="V76" s="119">
        <v>439.93014601299592</v>
      </c>
      <c r="W76" s="119">
        <v>451.59876825650304</v>
      </c>
      <c r="X76" s="118">
        <v>477.07302208901859</v>
      </c>
      <c r="Y76" s="118">
        <v>451.94479907155807</v>
      </c>
      <c r="Z76" s="118">
        <v>586.3576641434978</v>
      </c>
      <c r="AA76" s="118">
        <v>677.09416467778328</v>
      </c>
      <c r="AB76" s="119">
        <v>471</v>
      </c>
      <c r="AC76" s="119">
        <v>421</v>
      </c>
      <c r="AD76" s="119">
        <v>779</v>
      </c>
      <c r="AE76" s="119">
        <v>590.90163934426232</v>
      </c>
      <c r="AF76" s="119">
        <v>525.33333333333326</v>
      </c>
      <c r="AG76" s="119">
        <v>561.52336757684077</v>
      </c>
      <c r="AH76" s="119">
        <v>540.43848127015531</v>
      </c>
      <c r="AI76" s="119">
        <v>523.29640991900931</v>
      </c>
      <c r="AJ76" s="119">
        <v>520.1593863411066</v>
      </c>
      <c r="AK76" s="119">
        <v>528.02453119693848</v>
      </c>
      <c r="AL76" s="119">
        <v>536.01135101993259</v>
      </c>
      <c r="AM76" s="119">
        <v>544.12173422989576</v>
      </c>
      <c r="AN76" s="119">
        <v>552.35759864366992</v>
      </c>
      <c r="AO76" s="119">
        <v>560.72089193403144</v>
      </c>
      <c r="AP76" s="119">
        <v>569.21359209577577</v>
      </c>
      <c r="AQ76" s="119">
        <v>577.83770791909501</v>
      </c>
      <c r="AR76" s="119">
        <v>586.59527947036531</v>
      </c>
      <c r="AS76" s="119">
        <v>595.48837858045988</v>
      </c>
      <c r="AT76" s="119">
        <v>604.51910934070406</v>
      </c>
      <c r="AU76" s="119">
        <v>613.68960860659661</v>
      </c>
      <c r="AV76" s="119">
        <v>623.00204650941282</v>
      </c>
      <c r="AW76" s="119">
        <v>632.45862697581924</v>
      </c>
      <c r="AX76" s="119">
        <v>642.06158825562181</v>
      </c>
      <c r="AY76" s="119">
        <v>651.81320345777635</v>
      </c>
      <c r="AZ76" s="119">
        <v>661.71578109479026</v>
      </c>
      <c r="BA76" s="119">
        <v>671.77166563565038</v>
      </c>
      <c r="BB76" s="119">
        <v>681.98323806740359</v>
      </c>
      <c r="BC76" s="119">
        <v>692.29496294839214</v>
      </c>
      <c r="BD76" s="119">
        <v>702.76631129020438</v>
      </c>
      <c r="BE76" s="119">
        <v>713.39976197029182</v>
      </c>
      <c r="BF76" s="119">
        <v>724.19783247677412</v>
      </c>
      <c r="BG76" s="119">
        <v>735.16307951149076</v>
      </c>
    </row>
    <row r="77" spans="1:59" ht="13.75" customHeight="1">
      <c r="A77" s="171" t="s">
        <v>166</v>
      </c>
      <c r="B77" s="165" t="s">
        <v>173</v>
      </c>
      <c r="C77" s="165" t="s">
        <v>176</v>
      </c>
      <c r="D77" s="165" t="s">
        <v>168</v>
      </c>
      <c r="E77" s="167"/>
      <c r="F77" s="168" t="s">
        <v>192</v>
      </c>
      <c r="G77" s="168" t="s">
        <v>4</v>
      </c>
      <c r="H77" s="168"/>
      <c r="I77" s="168"/>
      <c r="U77" s="119">
        <v>515</v>
      </c>
      <c r="V77" s="119">
        <v>483</v>
      </c>
      <c r="W77" s="119">
        <v>489</v>
      </c>
      <c r="X77" s="118">
        <v>295.75</v>
      </c>
      <c r="Y77" s="118">
        <v>330</v>
      </c>
      <c r="Z77" s="118">
        <v>440.5</v>
      </c>
      <c r="AA77" s="118">
        <v>507.16666666666669</v>
      </c>
      <c r="AB77" s="119">
        <v>409</v>
      </c>
      <c r="AC77" s="119">
        <v>414</v>
      </c>
      <c r="AD77" s="119">
        <v>749</v>
      </c>
      <c r="AE77" s="119">
        <v>560.90163934426232</v>
      </c>
      <c r="AF77" s="119">
        <v>495.33333333333331</v>
      </c>
      <c r="AG77" s="119">
        <v>531.52336757684077</v>
      </c>
      <c r="AH77" s="119">
        <v>520.43848127015531</v>
      </c>
      <c r="AI77" s="119">
        <v>513.29640991900931</v>
      </c>
      <c r="AJ77" s="119">
        <v>520.1593863411066</v>
      </c>
      <c r="AK77" s="119">
        <v>528.02453119693848</v>
      </c>
      <c r="AL77" s="119">
        <v>536.01135101993259</v>
      </c>
      <c r="AM77" s="119">
        <v>544.12173422989576</v>
      </c>
      <c r="AN77" s="119">
        <v>552.35759864366992</v>
      </c>
      <c r="AO77" s="119">
        <v>560.72089193403144</v>
      </c>
      <c r="AP77" s="119">
        <v>569.21359209577577</v>
      </c>
      <c r="AQ77" s="119">
        <v>577.83770791909501</v>
      </c>
      <c r="AR77" s="119">
        <v>586.59527947036531</v>
      </c>
      <c r="AS77" s="119">
        <v>595.48837858045988</v>
      </c>
      <c r="AT77" s="119">
        <v>604.51910934070406</v>
      </c>
      <c r="AU77" s="119">
        <v>613.68960860659661</v>
      </c>
      <c r="AV77" s="119">
        <v>623.00204650941282</v>
      </c>
      <c r="AW77" s="119">
        <v>632.45862697581924</v>
      </c>
      <c r="AX77" s="119">
        <v>642.06158825562181</v>
      </c>
      <c r="AY77" s="119">
        <v>651.81320345777635</v>
      </c>
      <c r="AZ77" s="119">
        <v>661.71578109479026</v>
      </c>
      <c r="BA77" s="119">
        <v>671.77166563565038</v>
      </c>
      <c r="BB77" s="119">
        <v>681.98323806740359</v>
      </c>
      <c r="BC77" s="119">
        <v>692.29496294839214</v>
      </c>
      <c r="BD77" s="119">
        <v>702.76631129020438</v>
      </c>
      <c r="BE77" s="119">
        <v>713.39976197029182</v>
      </c>
      <c r="BF77" s="119">
        <v>724.19783247677412</v>
      </c>
      <c r="BG77" s="119">
        <v>735.16307951149076</v>
      </c>
    </row>
    <row r="78" spans="1:59" ht="13.75" customHeight="1">
      <c r="A78" s="171" t="s">
        <v>166</v>
      </c>
      <c r="B78" s="165" t="s">
        <v>173</v>
      </c>
      <c r="C78" s="165" t="s">
        <v>174</v>
      </c>
      <c r="D78" s="165" t="s">
        <v>168</v>
      </c>
      <c r="E78" s="167"/>
      <c r="F78" s="168" t="s">
        <v>193</v>
      </c>
      <c r="G78" s="168" t="s">
        <v>194</v>
      </c>
      <c r="H78" s="168"/>
      <c r="I78" s="168"/>
      <c r="U78" s="119">
        <v>1669</v>
      </c>
      <c r="V78" s="119">
        <v>1412</v>
      </c>
      <c r="W78" s="119">
        <v>1266</v>
      </c>
      <c r="X78" s="118">
        <v>1160</v>
      </c>
      <c r="Y78" s="118">
        <v>1249</v>
      </c>
      <c r="Z78" s="118">
        <v>1258.75</v>
      </c>
      <c r="AA78" s="118">
        <v>1269.21</v>
      </c>
      <c r="AB78" s="119">
        <v>1393</v>
      </c>
      <c r="AC78" s="119">
        <v>1772</v>
      </c>
      <c r="AD78" s="119">
        <v>1799</v>
      </c>
      <c r="AE78" s="119">
        <v>1802</v>
      </c>
      <c r="AF78" s="119">
        <v>1933.5741250589176</v>
      </c>
      <c r="AG78" s="119">
        <v>1900</v>
      </c>
      <c r="AH78" s="119">
        <v>1820</v>
      </c>
      <c r="AI78" s="119">
        <v>1750</v>
      </c>
      <c r="AJ78" s="119">
        <v>1750</v>
      </c>
      <c r="AK78" s="119">
        <v>1771</v>
      </c>
      <c r="AL78" s="119">
        <v>1792.252</v>
      </c>
      <c r="AM78" s="119">
        <v>1813.759024</v>
      </c>
      <c r="AN78" s="119">
        <v>1821.0140600959999</v>
      </c>
      <c r="AO78" s="119">
        <v>1828.2981163363838</v>
      </c>
      <c r="AP78" s="119">
        <v>1835.6113088017294</v>
      </c>
      <c r="AQ78" s="119">
        <v>1842.9537540369363</v>
      </c>
      <c r="AR78" s="119">
        <v>1850.3255690530841</v>
      </c>
      <c r="AS78" s="119">
        <v>1857.7268713292965</v>
      </c>
      <c r="AT78" s="119">
        <v>1865.1577788146137</v>
      </c>
      <c r="AU78" s="119">
        <v>1872.6184099298721</v>
      </c>
      <c r="AV78" s="119">
        <v>1880.1088835695916</v>
      </c>
      <c r="AW78" s="119">
        <v>1887.6293191038701</v>
      </c>
      <c r="AX78" s="119">
        <v>1895.1798363802857</v>
      </c>
      <c r="AY78" s="119">
        <v>1902.7605557258069</v>
      </c>
      <c r="AZ78" s="119">
        <v>1910.3715979487101</v>
      </c>
      <c r="BA78" s="119">
        <v>1918.013084340505</v>
      </c>
      <c r="BB78" s="119">
        <v>1925.6851366778669</v>
      </c>
      <c r="BC78" s="119">
        <v>1933.3878772245785</v>
      </c>
      <c r="BD78" s="119">
        <v>1941.1214287334767</v>
      </c>
      <c r="BE78" s="119">
        <v>1948.8859144484106</v>
      </c>
      <c r="BF78" s="119">
        <v>1956.6814581062042</v>
      </c>
      <c r="BG78" s="119">
        <v>1964.5081839386291</v>
      </c>
    </row>
    <row r="79" spans="1:59" ht="13.75" customHeight="1">
      <c r="A79" s="171" t="s">
        <v>166</v>
      </c>
      <c r="B79" s="165" t="s">
        <v>173</v>
      </c>
      <c r="C79" s="165" t="s">
        <v>174</v>
      </c>
      <c r="D79" s="165" t="s">
        <v>168</v>
      </c>
      <c r="E79" s="167"/>
      <c r="F79" s="168" t="s">
        <v>195</v>
      </c>
      <c r="G79" s="168" t="s">
        <v>4</v>
      </c>
      <c r="H79" s="168"/>
      <c r="I79" s="168"/>
      <c r="U79" s="119">
        <v>7953</v>
      </c>
      <c r="V79" s="119">
        <v>7349</v>
      </c>
      <c r="W79" s="119">
        <v>6827</v>
      </c>
      <c r="X79" s="118">
        <v>5493</v>
      </c>
      <c r="Y79" s="118">
        <v>4871</v>
      </c>
      <c r="Z79" s="118">
        <v>6173</v>
      </c>
      <c r="AA79" s="118">
        <v>6544</v>
      </c>
      <c r="AB79" s="118">
        <v>6005</v>
      </c>
      <c r="AC79" s="119">
        <v>6186</v>
      </c>
      <c r="AD79" s="119">
        <v>9320</v>
      </c>
      <c r="AE79" s="118">
        <v>8805</v>
      </c>
      <c r="AF79" s="118">
        <v>8650</v>
      </c>
      <c r="AG79" s="118">
        <v>8450</v>
      </c>
      <c r="AH79" s="118">
        <v>8600</v>
      </c>
      <c r="AI79" s="118">
        <v>8700</v>
      </c>
      <c r="AJ79" s="118">
        <v>8800</v>
      </c>
      <c r="AK79" s="118">
        <v>8940.7999999999993</v>
      </c>
      <c r="AL79" s="118">
        <v>9083.8527999999988</v>
      </c>
      <c r="AM79" s="118">
        <v>9229.1944447999995</v>
      </c>
      <c r="AN79" s="118">
        <v>9321.4863892479989</v>
      </c>
      <c r="AO79" s="118">
        <v>9414.7012531404798</v>
      </c>
      <c r="AP79" s="118">
        <v>9508.8482656718843</v>
      </c>
      <c r="AQ79" s="118">
        <v>9603.9367483286023</v>
      </c>
      <c r="AR79" s="118">
        <v>9699.976115811889</v>
      </c>
      <c r="AS79" s="118">
        <v>9796.9758769700074</v>
      </c>
      <c r="AT79" s="118">
        <v>9894.9456357397085</v>
      </c>
      <c r="AU79" s="118">
        <v>9993.8950920971056</v>
      </c>
      <c r="AV79" s="118">
        <v>10093.834043018076</v>
      </c>
      <c r="AW79" s="118">
        <v>10194.772383448257</v>
      </c>
      <c r="AX79" s="118">
        <v>10296.720107282739</v>
      </c>
      <c r="AY79" s="118">
        <v>10399.687308355567</v>
      </c>
      <c r="AZ79" s="118">
        <v>10503.684181439123</v>
      </c>
      <c r="BA79" s="118">
        <v>10608.721023253514</v>
      </c>
      <c r="BB79" s="118">
        <v>10714.80823348605</v>
      </c>
      <c r="BC79" s="118">
        <v>10821.956315820911</v>
      </c>
      <c r="BD79" s="118">
        <v>10930.17587897912</v>
      </c>
      <c r="BE79" s="118">
        <v>11039.477637768912</v>
      </c>
      <c r="BF79" s="118">
        <v>11149.872414146601</v>
      </c>
      <c r="BG79" s="118">
        <v>11261.371138288067</v>
      </c>
    </row>
    <row r="80" spans="1:59" ht="13.75" customHeight="1">
      <c r="A80" s="171" t="s">
        <v>166</v>
      </c>
      <c r="B80" s="165" t="s">
        <v>173</v>
      </c>
      <c r="C80" s="165" t="s">
        <v>176</v>
      </c>
      <c r="D80" s="165" t="s">
        <v>168</v>
      </c>
      <c r="E80" s="167"/>
      <c r="F80" s="168" t="s">
        <v>196</v>
      </c>
      <c r="G80" s="168" t="s">
        <v>4</v>
      </c>
      <c r="H80" s="168"/>
      <c r="I80" s="168"/>
      <c r="U80" s="119">
        <v>318</v>
      </c>
      <c r="V80" s="119">
        <v>296</v>
      </c>
      <c r="W80" s="119">
        <v>273</v>
      </c>
      <c r="X80" s="118">
        <v>179.99403380856606</v>
      </c>
      <c r="Y80" s="118">
        <v>176.84500683424548</v>
      </c>
      <c r="Z80" s="118">
        <v>250.7955832171543</v>
      </c>
      <c r="AA80" s="118">
        <v>279.41005419985783</v>
      </c>
      <c r="AB80" s="118">
        <v>254.41696276790017</v>
      </c>
      <c r="AC80" s="118">
        <v>236.89839513417959</v>
      </c>
      <c r="AD80" s="118">
        <v>373.06568275027195</v>
      </c>
      <c r="AE80" s="118">
        <v>373.06568275027195</v>
      </c>
      <c r="AF80" s="118">
        <v>322.5160407418071</v>
      </c>
      <c r="AG80" s="118">
        <v>296.54369684246564</v>
      </c>
      <c r="AH80" s="118">
        <v>296.69245655625986</v>
      </c>
      <c r="AI80" s="118">
        <v>299.04314366099061</v>
      </c>
      <c r="AJ80" s="118">
        <v>297.8487626544009</v>
      </c>
      <c r="AK80" s="118">
        <v>302.27440899787797</v>
      </c>
      <c r="AL80" s="118">
        <v>306.76548438660257</v>
      </c>
      <c r="AM80" s="118">
        <v>311.3229603471512</v>
      </c>
      <c r="AN80" s="118">
        <v>315.94782289579132</v>
      </c>
      <c r="AO80" s="118">
        <v>320.64107275555068</v>
      </c>
      <c r="AP80" s="118">
        <v>325.40372557655201</v>
      </c>
      <c r="AQ80" s="118">
        <v>330.23681215966394</v>
      </c>
      <c r="AR80" s="118">
        <v>335.14137868351781</v>
      </c>
      <c r="AS80" s="118">
        <v>340.1184869349413</v>
      </c>
      <c r="AT80" s="118">
        <v>345.16921454286023</v>
      </c>
      <c r="AU80" s="118">
        <v>350.29465521572092</v>
      </c>
      <c r="AV80" s="118">
        <v>355.49591898248775</v>
      </c>
      <c r="AW80" s="118">
        <v>360.77413243726699</v>
      </c>
      <c r="AX80" s="118">
        <v>366.13043898761532</v>
      </c>
      <c r="AY80" s="118">
        <v>371.56599910658593</v>
      </c>
      <c r="AZ80" s="118">
        <v>377.08199058857025</v>
      </c>
      <c r="BA80" s="118">
        <v>382.67960880899193</v>
      </c>
      <c r="BB80" s="118">
        <v>388.36006698791221</v>
      </c>
      <c r="BC80" s="118">
        <v>394.12459645760464</v>
      </c>
      <c r="BD80" s="118">
        <v>399.97444693416037</v>
      </c>
      <c r="BE80" s="118">
        <v>405.91088679318403</v>
      </c>
      <c r="BF80" s="118">
        <v>411.93520334964296</v>
      </c>
      <c r="BG80" s="118">
        <v>418.04870314193181</v>
      </c>
    </row>
    <row r="81" spans="1:59" ht="13.75" customHeight="1">
      <c r="A81" s="171" t="s">
        <v>166</v>
      </c>
      <c r="B81" s="165" t="s">
        <v>173</v>
      </c>
      <c r="C81" s="165" t="s">
        <v>176</v>
      </c>
      <c r="D81" s="165" t="s">
        <v>168</v>
      </c>
      <c r="E81" s="167"/>
      <c r="F81" s="168" t="s">
        <v>197</v>
      </c>
      <c r="G81" s="168" t="s">
        <v>4</v>
      </c>
      <c r="H81" s="168"/>
      <c r="I81" s="168"/>
      <c r="U81" s="119"/>
      <c r="V81" s="119"/>
      <c r="W81" s="119"/>
      <c r="X81" s="118">
        <v>210.33333333333334</v>
      </c>
      <c r="Y81" s="118">
        <v>204.33333333333334</v>
      </c>
      <c r="Z81" s="118">
        <v>268.91666666666669</v>
      </c>
      <c r="AA81" s="118">
        <v>301.5</v>
      </c>
      <c r="AB81" s="118">
        <v>255</v>
      </c>
      <c r="AC81" s="118">
        <v>262</v>
      </c>
      <c r="AD81" s="118">
        <v>421</v>
      </c>
      <c r="AE81" s="118">
        <v>387.08333333333331</v>
      </c>
      <c r="AF81" s="118">
        <v>327.16666666666669</v>
      </c>
      <c r="AG81" s="118">
        <v>319.86979665672834</v>
      </c>
      <c r="AH81" s="118">
        <v>317.086130471334</v>
      </c>
      <c r="AI81" s="118">
        <v>319.57509328810772</v>
      </c>
      <c r="AJ81" s="118">
        <v>318.31045457524806</v>
      </c>
      <c r="AK81" s="118">
        <v>322.99643305657668</v>
      </c>
      <c r="AL81" s="118">
        <v>327.75168935052039</v>
      </c>
      <c r="AM81" s="118">
        <v>332.57725213227775</v>
      </c>
      <c r="AN81" s="118">
        <v>337.47416541907313</v>
      </c>
      <c r="AO81" s="118">
        <v>342.4434887999949</v>
      </c>
      <c r="AP81" s="118">
        <v>347.48629766929037</v>
      </c>
      <c r="AQ81" s="118">
        <v>352.60368346317358</v>
      </c>
      <c r="AR81" s="118">
        <v>357.79675390019537</v>
      </c>
      <c r="AS81" s="118">
        <v>363.06663322523195</v>
      </c>
      <c r="AT81" s="118">
        <v>368.4144624571461</v>
      </c>
      <c r="AU81" s="118">
        <v>373.8413996401751</v>
      </c>
      <c r="AV81" s="118">
        <v>379.34862009910472</v>
      </c>
      <c r="AW81" s="118">
        <v>384.9373166982827</v>
      </c>
      <c r="AX81" s="118">
        <v>390.60870010453385</v>
      </c>
      <c r="AY81" s="118">
        <v>396.36399905403215</v>
      </c>
      <c r="AZ81" s="118">
        <v>402.20446062319206</v>
      </c>
      <c r="BA81" s="118">
        <v>408.13135050363854</v>
      </c>
      <c r="BB81" s="118">
        <v>414.14595328131884</v>
      </c>
      <c r="BC81" s="118">
        <v>420.24957271981668</v>
      </c>
      <c r="BD81" s="118">
        <v>426.44353204793453</v>
      </c>
      <c r="BE81" s="118">
        <v>432.72917425160665</v>
      </c>
      <c r="BF81" s="118">
        <v>439.10786237021023</v>
      </c>
      <c r="BG81" s="118">
        <v>445.58097979733958</v>
      </c>
    </row>
    <row r="82" spans="1:59" ht="13.75" customHeight="1">
      <c r="A82" s="171" t="s">
        <v>166</v>
      </c>
      <c r="B82" s="165" t="s">
        <v>173</v>
      </c>
      <c r="C82" s="165" t="s">
        <v>174</v>
      </c>
      <c r="D82" s="165" t="s">
        <v>168</v>
      </c>
      <c r="E82" s="167"/>
      <c r="F82" s="168" t="s">
        <v>198</v>
      </c>
      <c r="G82" s="168" t="s">
        <v>4</v>
      </c>
      <c r="H82" s="168"/>
      <c r="I82" s="168"/>
      <c r="U82" s="119">
        <v>17519</v>
      </c>
      <c r="V82" s="119">
        <v>15089</v>
      </c>
      <c r="W82" s="119">
        <v>16960</v>
      </c>
      <c r="X82" s="118">
        <v>11877</v>
      </c>
      <c r="Y82" s="118">
        <v>9645</v>
      </c>
      <c r="Z82" s="118">
        <v>10471</v>
      </c>
      <c r="AA82" s="118">
        <v>13186</v>
      </c>
      <c r="AB82" s="119">
        <v>13944</v>
      </c>
      <c r="AC82" s="119">
        <v>13803</v>
      </c>
      <c r="AD82" s="119">
        <v>18474</v>
      </c>
      <c r="AE82" s="119">
        <v>25623</v>
      </c>
      <c r="AF82" s="119">
        <v>22369.225097204508</v>
      </c>
      <c r="AG82" s="119">
        <v>19700</v>
      </c>
      <c r="AH82" s="119">
        <v>19800</v>
      </c>
      <c r="AI82" s="119">
        <v>20000</v>
      </c>
      <c r="AJ82" s="119">
        <v>20320</v>
      </c>
      <c r="AK82" s="119">
        <v>20645.12</v>
      </c>
      <c r="AL82" s="119">
        <v>20975.441919999997</v>
      </c>
      <c r="AM82" s="119">
        <v>21311.048990719999</v>
      </c>
      <c r="AN82" s="119">
        <v>21609.403676590078</v>
      </c>
      <c r="AO82" s="119">
        <v>21911.93532806234</v>
      </c>
      <c r="AP82" s="119">
        <v>22218.702422655213</v>
      </c>
      <c r="AQ82" s="119">
        <v>22529.764256572387</v>
      </c>
      <c r="AR82" s="119">
        <v>22845.1809561644</v>
      </c>
      <c r="AS82" s="119">
        <v>23165.013489550704</v>
      </c>
      <c r="AT82" s="119">
        <v>23489.323678404413</v>
      </c>
      <c r="AU82" s="119">
        <v>23818.174209902074</v>
      </c>
      <c r="AV82" s="119">
        <v>24151.628648840702</v>
      </c>
      <c r="AW82" s="119">
        <v>24489.751449924472</v>
      </c>
      <c r="AX82" s="119">
        <v>24832.607970223413</v>
      </c>
      <c r="AY82" s="119">
        <v>25180.264481806542</v>
      </c>
      <c r="AZ82" s="119">
        <v>25532.788184551835</v>
      </c>
      <c r="BA82" s="119">
        <v>25890.247219135563</v>
      </c>
      <c r="BB82" s="119">
        <v>26252.710680203461</v>
      </c>
      <c r="BC82" s="119">
        <v>26620.248629726309</v>
      </c>
      <c r="BD82" s="119">
        <v>26992.932110542479</v>
      </c>
      <c r="BE82" s="119">
        <v>27370.833160090075</v>
      </c>
      <c r="BF82" s="119">
        <v>27754.024824331336</v>
      </c>
      <c r="BG82" s="119">
        <v>28142.581171871974</v>
      </c>
    </row>
    <row r="83" spans="1:59" ht="13.75" customHeight="1">
      <c r="A83" s="171" t="s">
        <v>166</v>
      </c>
      <c r="B83" s="165" t="s">
        <v>173</v>
      </c>
      <c r="C83" s="165" t="s">
        <v>176</v>
      </c>
      <c r="D83" s="165" t="s">
        <v>168</v>
      </c>
      <c r="E83" s="167"/>
      <c r="F83" s="168" t="s">
        <v>199</v>
      </c>
      <c r="G83" s="168" t="s">
        <v>4</v>
      </c>
      <c r="H83" s="168"/>
      <c r="I83" s="168" t="s">
        <v>181</v>
      </c>
      <c r="U83" s="119">
        <v>113</v>
      </c>
      <c r="V83" s="119">
        <v>102</v>
      </c>
      <c r="W83" s="119">
        <v>73</v>
      </c>
      <c r="X83" s="118">
        <v>51.846830279905781</v>
      </c>
      <c r="Y83" s="118">
        <v>48.906833588245064</v>
      </c>
      <c r="Z83" s="118">
        <v>75.438337504553118</v>
      </c>
      <c r="AA83" s="118">
        <v>81.127478671118411</v>
      </c>
      <c r="AB83" s="119">
        <v>105</v>
      </c>
      <c r="AC83" s="119">
        <v>87</v>
      </c>
      <c r="AD83" s="119">
        <v>157</v>
      </c>
      <c r="AE83" s="119">
        <v>107.25225838659343</v>
      </c>
      <c r="AF83" s="119">
        <v>87.982582353451846</v>
      </c>
      <c r="AG83" s="119">
        <v>94.721315818365582</v>
      </c>
      <c r="AH83" s="119">
        <v>99.349259073922596</v>
      </c>
      <c r="AI83" s="119">
        <v>100.56771181815925</v>
      </c>
      <c r="AJ83" s="119">
        <v>101.76089290840243</v>
      </c>
      <c r="AK83" s="119">
        <v>102.96361944736752</v>
      </c>
      <c r="AL83" s="119">
        <v>104.17596779864438</v>
      </c>
      <c r="AM83" s="119">
        <v>105.39801493673134</v>
      </c>
      <c r="AN83" s="119">
        <v>106.63059237461037</v>
      </c>
      <c r="AO83" s="119">
        <v>107.87303344768317</v>
      </c>
      <c r="AP83" s="119">
        <v>109.12541707709407</v>
      </c>
      <c r="AQ83" s="119">
        <v>110.38782281540479</v>
      </c>
      <c r="AR83" s="119">
        <v>111.66033085164595</v>
      </c>
      <c r="AS83" s="119">
        <v>112.9430220164091</v>
      </c>
      <c r="AT83" s="119">
        <v>114.23597778697935</v>
      </c>
      <c r="AU83" s="119">
        <v>115.53928029250922</v>
      </c>
      <c r="AV83" s="119">
        <v>116.85301231923343</v>
      </c>
      <c r="AW83" s="119">
        <v>118.17725731572612</v>
      </c>
      <c r="AX83" s="119">
        <v>119.51209939819977</v>
      </c>
      <c r="AY83" s="119">
        <v>120.85762335584626</v>
      </c>
      <c r="AZ83" s="119">
        <v>122.21391465622084</v>
      </c>
      <c r="BA83" s="119">
        <v>123.58105945066988</v>
      </c>
      <c r="BB83" s="119">
        <v>124.95914457980048</v>
      </c>
      <c r="BC83" s="119">
        <v>126.34905802585403</v>
      </c>
      <c r="BD83" s="119">
        <v>127.750090779476</v>
      </c>
      <c r="BE83" s="119">
        <v>129.16233179512693</v>
      </c>
      <c r="BF83" s="119">
        <v>130.58587073890311</v>
      </c>
      <c r="BG83" s="119">
        <v>132.02079799422944</v>
      </c>
    </row>
    <row r="84" spans="1:59" ht="13.75" customHeight="1">
      <c r="A84" s="171" t="s">
        <v>166</v>
      </c>
      <c r="B84" s="165" t="s">
        <v>173</v>
      </c>
      <c r="C84" s="165" t="s">
        <v>176</v>
      </c>
      <c r="D84" s="165" t="s">
        <v>168</v>
      </c>
      <c r="E84" s="167"/>
      <c r="F84" s="168" t="s">
        <v>200</v>
      </c>
      <c r="G84" s="168" t="s">
        <v>4</v>
      </c>
      <c r="H84" s="168"/>
      <c r="I84" s="168" t="s">
        <v>181</v>
      </c>
      <c r="U84" s="119">
        <v>112</v>
      </c>
      <c r="V84" s="119">
        <v>107</v>
      </c>
      <c r="W84" s="119">
        <v>101</v>
      </c>
      <c r="X84" s="118">
        <v>66.916666666666671</v>
      </c>
      <c r="Y84" s="118">
        <v>68</v>
      </c>
      <c r="Z84" s="118">
        <v>95.541666666666671</v>
      </c>
      <c r="AA84" s="118">
        <v>105.875</v>
      </c>
      <c r="AB84" s="119">
        <v>125</v>
      </c>
      <c r="AC84" s="119">
        <v>126</v>
      </c>
      <c r="AD84" s="119">
        <v>178</v>
      </c>
      <c r="AE84" s="119">
        <v>159.00162133568847</v>
      </c>
      <c r="AF84" s="119">
        <v>132.41595126013354</v>
      </c>
      <c r="AG84" s="119">
        <v>137.15468472504728</v>
      </c>
      <c r="AH84" s="119">
        <v>138.80556952393815</v>
      </c>
      <c r="AI84" s="119">
        <v>140.0247832266121</v>
      </c>
      <c r="AJ84" s="119">
        <v>141.21870949242501</v>
      </c>
      <c r="AK84" s="119">
        <v>142.42218716836439</v>
      </c>
      <c r="AL84" s="119">
        <v>143.63529266571132</v>
      </c>
      <c r="AM84" s="119">
        <v>144.85810300703696</v>
      </c>
      <c r="AN84" s="119">
        <v>146.09106509934824</v>
      </c>
      <c r="AO84" s="119">
        <v>147.33389236547106</v>
      </c>
      <c r="AP84" s="119">
        <v>148.58666373270415</v>
      </c>
      <c r="AQ84" s="119">
        <v>149.84945875978835</v>
      </c>
      <c r="AR84" s="119">
        <v>151.1223576419581</v>
      </c>
      <c r="AS84" s="119">
        <v>152.40544121603355</v>
      </c>
      <c r="AT84" s="119">
        <v>153.69879096555337</v>
      </c>
      <c r="AU84" s="119">
        <v>155.00248902594856</v>
      </c>
      <c r="AV84" s="119">
        <v>156.31661818975758</v>
      </c>
      <c r="AW84" s="119">
        <v>157.64126191188345</v>
      </c>
      <c r="AX84" s="119">
        <v>158.97650431489276</v>
      </c>
      <c r="AY84" s="119">
        <v>160.32243019435705</v>
      </c>
      <c r="AZ84" s="119">
        <v>161.67912502423675</v>
      </c>
      <c r="BA84" s="119">
        <v>163.04667496230888</v>
      </c>
      <c r="BB84" s="119">
        <v>164.42516685563709</v>
      </c>
      <c r="BC84" s="119">
        <v>165.81508030169064</v>
      </c>
      <c r="BD84" s="119">
        <v>167.2161130553126</v>
      </c>
      <c r="BE84" s="119">
        <v>168.62835407096352</v>
      </c>
      <c r="BF84" s="119">
        <v>170.0518930147397</v>
      </c>
      <c r="BG84" s="119">
        <v>171.48682027006606</v>
      </c>
    </row>
    <row r="85" spans="1:59" ht="13.75" customHeight="1">
      <c r="A85" s="171" t="s">
        <v>166</v>
      </c>
      <c r="B85" s="165" t="s">
        <v>173</v>
      </c>
      <c r="C85" s="165" t="s">
        <v>174</v>
      </c>
      <c r="D85" s="165" t="s">
        <v>168</v>
      </c>
      <c r="E85" s="167"/>
      <c r="F85" s="168" t="s">
        <v>201</v>
      </c>
      <c r="G85" s="168" t="s">
        <v>4</v>
      </c>
      <c r="H85" s="168"/>
      <c r="I85" s="168"/>
      <c r="U85" s="119">
        <v>2074</v>
      </c>
      <c r="V85" s="119">
        <v>2155</v>
      </c>
      <c r="W85" s="119">
        <v>2112</v>
      </c>
      <c r="X85" s="118">
        <v>1794</v>
      </c>
      <c r="Y85" s="118">
        <v>1875</v>
      </c>
      <c r="Z85" s="118">
        <v>2250</v>
      </c>
      <c r="AA85" s="118">
        <v>2248</v>
      </c>
      <c r="AB85" s="119">
        <v>1999</v>
      </c>
      <c r="AC85" s="119">
        <v>1826</v>
      </c>
      <c r="AD85" s="119">
        <v>2202</v>
      </c>
      <c r="AE85" s="119">
        <v>2147</v>
      </c>
      <c r="AF85" s="119">
        <v>2151.1357648809521</v>
      </c>
      <c r="AG85" s="119">
        <v>2100</v>
      </c>
      <c r="AH85" s="119">
        <v>2100</v>
      </c>
      <c r="AI85" s="119">
        <v>2134.5942660093365</v>
      </c>
      <c r="AJ85" s="119">
        <v>2168.747774265486</v>
      </c>
      <c r="AK85" s="119">
        <v>2203.4477386537337</v>
      </c>
      <c r="AL85" s="119">
        <v>2238.7029024721933</v>
      </c>
      <c r="AM85" s="119">
        <v>2274.5221489117484</v>
      </c>
      <c r="AN85" s="119">
        <v>2274.5221489117484</v>
      </c>
      <c r="AO85" s="119">
        <v>2274.5221489117484</v>
      </c>
      <c r="AP85" s="119">
        <v>2274.5221489117484</v>
      </c>
      <c r="AQ85" s="119">
        <v>2274.5221489117484</v>
      </c>
      <c r="AR85" s="119">
        <v>2274.5221489117484</v>
      </c>
      <c r="AS85" s="119">
        <v>2274.5221489117484</v>
      </c>
      <c r="AT85" s="119">
        <v>2274.5221489117484</v>
      </c>
      <c r="AU85" s="119">
        <v>2274.5221489117484</v>
      </c>
      <c r="AV85" s="119">
        <v>2274.5221489117484</v>
      </c>
      <c r="AW85" s="119">
        <v>2274.5221489117484</v>
      </c>
      <c r="AX85" s="119">
        <v>2274.5221489117484</v>
      </c>
      <c r="AY85" s="119">
        <v>2274.5221489117484</v>
      </c>
      <c r="AZ85" s="119">
        <v>2274.5221489117484</v>
      </c>
      <c r="BA85" s="119">
        <v>2274.5221489117484</v>
      </c>
      <c r="BB85" s="119">
        <v>2274.5221489117484</v>
      </c>
      <c r="BC85" s="119">
        <v>2274.5221489117484</v>
      </c>
      <c r="BD85" s="119">
        <v>2274.5221489117484</v>
      </c>
      <c r="BE85" s="119">
        <v>2274.5221489117484</v>
      </c>
      <c r="BF85" s="119">
        <v>2274.5221489117484</v>
      </c>
      <c r="BG85" s="119">
        <v>2274.5221489117484</v>
      </c>
    </row>
    <row r="86" spans="1:59" ht="13.75" customHeight="1">
      <c r="A86" s="171" t="s">
        <v>166</v>
      </c>
      <c r="B86" s="165" t="s">
        <v>173</v>
      </c>
      <c r="C86" s="165" t="s">
        <v>174</v>
      </c>
      <c r="D86" s="165" t="s">
        <v>168</v>
      </c>
      <c r="E86" s="167"/>
      <c r="F86" s="168" t="s">
        <v>202</v>
      </c>
      <c r="G86" s="168" t="s">
        <v>194</v>
      </c>
      <c r="H86" s="168"/>
      <c r="I86" s="168"/>
      <c r="U86" s="119">
        <v>31.2</v>
      </c>
      <c r="V86" s="119">
        <v>23.9</v>
      </c>
      <c r="W86" s="119">
        <v>19.100000000000001</v>
      </c>
      <c r="X86" s="121">
        <v>15.7</v>
      </c>
      <c r="Y86" s="121">
        <v>17.116700000000002</v>
      </c>
      <c r="Z86" s="121">
        <v>17.074200000000001</v>
      </c>
      <c r="AA86" s="118">
        <v>15.71</v>
      </c>
      <c r="AB86" s="119">
        <v>16</v>
      </c>
      <c r="AC86" s="119">
        <v>21</v>
      </c>
      <c r="AD86" s="119">
        <v>25</v>
      </c>
      <c r="AE86" s="119">
        <v>22</v>
      </c>
      <c r="AF86" s="119">
        <v>23.551874600183826</v>
      </c>
      <c r="AG86" s="119">
        <v>23.7</v>
      </c>
      <c r="AH86" s="119">
        <v>23.5</v>
      </c>
      <c r="AI86" s="119">
        <v>23.3</v>
      </c>
      <c r="AJ86" s="119">
        <v>23.626200000000001</v>
      </c>
      <c r="AK86" s="119">
        <v>23.9569668</v>
      </c>
      <c r="AL86" s="119">
        <v>24.292364335200002</v>
      </c>
      <c r="AM86" s="119">
        <v>24.632457435892803</v>
      </c>
      <c r="AN86" s="119">
        <v>24.878782010251733</v>
      </c>
      <c r="AO86" s="119">
        <v>25.127569830354251</v>
      </c>
      <c r="AP86" s="119">
        <v>25.378845528657795</v>
      </c>
      <c r="AQ86" s="119">
        <v>25.632633983944373</v>
      </c>
      <c r="AR86" s="119">
        <v>25.888960323783817</v>
      </c>
      <c r="AS86" s="119">
        <v>26.147849927021657</v>
      </c>
      <c r="AT86" s="119">
        <v>26.409328426291875</v>
      </c>
      <c r="AU86" s="119">
        <v>26.673421710554795</v>
      </c>
      <c r="AV86" s="119">
        <v>26.940155927660342</v>
      </c>
      <c r="AW86" s="119">
        <v>27.209557486936944</v>
      </c>
      <c r="AX86" s="119">
        <v>27.481653061806313</v>
      </c>
      <c r="AY86" s="119">
        <v>27.756469592424377</v>
      </c>
      <c r="AZ86" s="119">
        <v>28.034034288348622</v>
      </c>
      <c r="BA86" s="119">
        <v>28.314374631232109</v>
      </c>
      <c r="BB86" s="119">
        <v>28.597518377544432</v>
      </c>
      <c r="BC86" s="119">
        <v>28.883493561319877</v>
      </c>
      <c r="BD86" s="119">
        <v>29.172328496933076</v>
      </c>
      <c r="BE86" s="119">
        <v>29.464051781902409</v>
      </c>
      <c r="BF86" s="119">
        <v>29.758692299721435</v>
      </c>
      <c r="BG86" s="119">
        <v>30.056279222718651</v>
      </c>
    </row>
    <row r="87" spans="1:59" ht="13.75" customHeight="1">
      <c r="A87" s="171" t="s">
        <v>166</v>
      </c>
      <c r="B87" s="165" t="s">
        <v>173</v>
      </c>
      <c r="C87" s="165" t="s">
        <v>179</v>
      </c>
      <c r="D87" s="165" t="s">
        <v>168</v>
      </c>
      <c r="E87" s="167"/>
      <c r="F87" s="168" t="s">
        <v>203</v>
      </c>
      <c r="G87" s="168" t="s">
        <v>4</v>
      </c>
      <c r="H87" s="168"/>
      <c r="I87" s="168" t="s">
        <v>181</v>
      </c>
      <c r="U87" s="119">
        <v>1777.5638861281996</v>
      </c>
      <c r="V87" s="119">
        <v>1777.5638861281996</v>
      </c>
      <c r="W87" s="119">
        <v>1813.1151638507636</v>
      </c>
      <c r="X87" s="118">
        <v>1272</v>
      </c>
      <c r="Y87" s="118">
        <v>1179</v>
      </c>
      <c r="Z87" s="118">
        <v>1373</v>
      </c>
      <c r="AA87" s="118">
        <v>1083</v>
      </c>
      <c r="AB87" s="118">
        <v>979</v>
      </c>
      <c r="AC87" s="118">
        <v>840</v>
      </c>
      <c r="AD87" s="118">
        <v>923</v>
      </c>
      <c r="AE87" s="118">
        <v>995.50235037700008</v>
      </c>
      <c r="AF87" s="118">
        <v>971.23676477967842</v>
      </c>
      <c r="AG87" s="118">
        <v>981.39901872480289</v>
      </c>
      <c r="AH87" s="118">
        <v>982.44302951785733</v>
      </c>
      <c r="AI87" s="118">
        <v>992.42564381993191</v>
      </c>
      <c r="AJ87" s="118">
        <v>997.3038349781433</v>
      </c>
      <c r="AK87" s="118">
        <v>1006.9532122591692</v>
      </c>
      <c r="AL87" s="118">
        <v>1016.7177678174758</v>
      </c>
      <c r="AM87" s="118">
        <v>1026.5990313901402</v>
      </c>
      <c r="AN87" s="118">
        <v>1036.5985542654066</v>
      </c>
      <c r="AO87" s="118">
        <v>1046.7179095956653</v>
      </c>
      <c r="AP87" s="118">
        <v>1056.9586927150524</v>
      </c>
      <c r="AQ87" s="118">
        <v>1067.3225214617351</v>
      </c>
      <c r="AR87" s="118">
        <v>1077.8110365049567</v>
      </c>
      <c r="AS87" s="118">
        <v>1088.4259016769111</v>
      </c>
      <c r="AT87" s="118">
        <v>1099.1688043095164</v>
      </c>
      <c r="AU87" s="118">
        <v>1110.0414555761638</v>
      </c>
      <c r="AV87" s="118">
        <v>1121.0455908385156</v>
      </c>
      <c r="AW87" s="118">
        <v>1132.1829699984232</v>
      </c>
      <c r="AX87" s="118">
        <v>1143.4553778550501</v>
      </c>
      <c r="AY87" s="118">
        <v>1154.8646244672684</v>
      </c>
      <c r="AZ87" s="118">
        <v>1166.4125455214107</v>
      </c>
      <c r="BA87" s="118">
        <v>1178.101002704464</v>
      </c>
      <c r="BB87" s="118">
        <v>1189.9318840827741</v>
      </c>
      <c r="BC87" s="118">
        <v>1201.9428959448749</v>
      </c>
      <c r="BD87" s="118">
        <v>1214.1004762210794</v>
      </c>
      <c r="BE87" s="118">
        <v>1226.4065967466315</v>
      </c>
      <c r="BF87" s="118">
        <v>1238.8632573261991</v>
      </c>
      <c r="BG87" s="118">
        <v>1251.4724861415732</v>
      </c>
    </row>
    <row r="88" spans="1:59" ht="13.75" customHeight="1">
      <c r="A88" s="171" t="s">
        <v>166</v>
      </c>
      <c r="B88" s="165" t="s">
        <v>173</v>
      </c>
      <c r="C88" s="165" t="s">
        <v>174</v>
      </c>
      <c r="D88" s="165" t="s">
        <v>168</v>
      </c>
      <c r="E88" s="167"/>
      <c r="F88" s="168" t="s">
        <v>204</v>
      </c>
      <c r="G88" s="168" t="s">
        <v>4</v>
      </c>
      <c r="H88" s="168"/>
      <c r="I88" s="168"/>
      <c r="U88" s="119"/>
      <c r="V88" s="119"/>
      <c r="W88" s="119"/>
      <c r="X88" s="118">
        <v>0</v>
      </c>
      <c r="Y88" s="118">
        <v>845</v>
      </c>
      <c r="Z88" s="118">
        <v>1217</v>
      </c>
      <c r="AA88" s="118">
        <v>1179.3308679237093</v>
      </c>
      <c r="AB88" s="118">
        <v>1069.6653497942382</v>
      </c>
      <c r="AC88" s="118">
        <v>1014.6449180327866</v>
      </c>
      <c r="AD88" s="118">
        <v>1704.231833333333</v>
      </c>
      <c r="AE88" s="118">
        <v>1615.663729508198</v>
      </c>
      <c r="AF88" s="118">
        <v>1173.0888362628582</v>
      </c>
      <c r="AG88" s="118">
        <v>1173.0888362628582</v>
      </c>
      <c r="AH88" s="118">
        <v>1173.0888362628582</v>
      </c>
      <c r="AI88" s="118">
        <v>1185.1668562790073</v>
      </c>
      <c r="AJ88" s="118">
        <v>1197.0185248417974</v>
      </c>
      <c r="AK88" s="118">
        <v>1208.9887100902154</v>
      </c>
      <c r="AL88" s="118">
        <v>1221.0785971911175</v>
      </c>
      <c r="AM88" s="118">
        <v>1233.2893831630288</v>
      </c>
      <c r="AN88" s="118">
        <v>1245.6222769946592</v>
      </c>
      <c r="AO88" s="118">
        <v>1258.0784997646058</v>
      </c>
      <c r="AP88" s="118">
        <v>1270.6592847622519</v>
      </c>
      <c r="AQ88" s="118">
        <v>1283.3658776098744</v>
      </c>
      <c r="AR88" s="118">
        <v>1296.199536385973</v>
      </c>
      <c r="AS88" s="118">
        <v>1309.1615317498329</v>
      </c>
      <c r="AT88" s="118">
        <v>1322.2531470673312</v>
      </c>
      <c r="AU88" s="118">
        <v>1335.4756785380046</v>
      </c>
      <c r="AV88" s="118">
        <v>1348.8304353233846</v>
      </c>
      <c r="AW88" s="118">
        <v>1362.3187396766184</v>
      </c>
      <c r="AX88" s="118">
        <v>1375.9419270733847</v>
      </c>
      <c r="AY88" s="118">
        <v>1389.7013463441185</v>
      </c>
      <c r="AZ88" s="118">
        <v>1403.5983598075597</v>
      </c>
      <c r="BA88" s="118">
        <v>1417.6343434056353</v>
      </c>
      <c r="BB88" s="118">
        <v>1431.8106868396917</v>
      </c>
      <c r="BC88" s="118">
        <v>1446.1287937080886</v>
      </c>
      <c r="BD88" s="118">
        <v>1460.5900816451694</v>
      </c>
      <c r="BE88" s="118">
        <v>1475.195982461621</v>
      </c>
      <c r="BF88" s="118">
        <v>1489.9479422862373</v>
      </c>
      <c r="BG88" s="118">
        <v>1504.8474217090998</v>
      </c>
    </row>
    <row r="89" spans="1:59" ht="13.75" customHeight="1">
      <c r="A89" s="171" t="s">
        <v>166</v>
      </c>
      <c r="B89" s="165" t="s">
        <v>173</v>
      </c>
      <c r="C89" s="165" t="s">
        <v>174</v>
      </c>
      <c r="D89" s="165" t="s">
        <v>168</v>
      </c>
      <c r="E89" s="167"/>
      <c r="F89" s="168" t="s">
        <v>205</v>
      </c>
      <c r="G89" s="168" t="s">
        <v>4</v>
      </c>
      <c r="H89" s="168"/>
      <c r="I89" s="168"/>
      <c r="U89" s="119"/>
      <c r="V89" s="119"/>
      <c r="W89" s="119"/>
      <c r="X89" s="118">
        <v>0</v>
      </c>
      <c r="Y89" s="118">
        <v>1028</v>
      </c>
      <c r="Z89" s="118">
        <v>1461</v>
      </c>
      <c r="AA89" s="118">
        <v>1386.4785956062919</v>
      </c>
      <c r="AB89" s="118">
        <v>1126.7142857142858</v>
      </c>
      <c r="AC89" s="118">
        <v>1079.1803278688524</v>
      </c>
      <c r="AD89" s="118">
        <v>1983.3541666666667</v>
      </c>
      <c r="AE89" s="118">
        <v>1850.983606557377</v>
      </c>
      <c r="AF89" s="118">
        <v>1460.8257598455341</v>
      </c>
      <c r="AG89" s="118">
        <v>1460.8257598455341</v>
      </c>
      <c r="AH89" s="118">
        <v>1369.3993361381499</v>
      </c>
      <c r="AI89" s="118">
        <v>1373.216061484585</v>
      </c>
      <c r="AJ89" s="118">
        <v>1386.9482220994307</v>
      </c>
      <c r="AK89" s="118">
        <v>1400.817704320425</v>
      </c>
      <c r="AL89" s="118">
        <v>1414.8258813636294</v>
      </c>
      <c r="AM89" s="118">
        <v>1428.9741401772658</v>
      </c>
      <c r="AN89" s="118">
        <v>1443.2638815790385</v>
      </c>
      <c r="AO89" s="118">
        <v>1457.6965203948289</v>
      </c>
      <c r="AP89" s="118">
        <v>1472.2734855987774</v>
      </c>
      <c r="AQ89" s="118">
        <v>1486.9962204547651</v>
      </c>
      <c r="AR89" s="118">
        <v>1501.8661826593125</v>
      </c>
      <c r="AS89" s="118">
        <v>1516.8848444859059</v>
      </c>
      <c r="AT89" s="118">
        <v>1532.0536929307648</v>
      </c>
      <c r="AU89" s="118">
        <v>1547.3742298600725</v>
      </c>
      <c r="AV89" s="118">
        <v>1562.8479721586732</v>
      </c>
      <c r="AW89" s="118">
        <v>1578.4764518802599</v>
      </c>
      <c r="AX89" s="118">
        <v>1594.2612163990627</v>
      </c>
      <c r="AY89" s="118">
        <v>1610.2038285630533</v>
      </c>
      <c r="AZ89" s="118">
        <v>1626.3058668486838</v>
      </c>
      <c r="BA89" s="118">
        <v>1642.5689255171706</v>
      </c>
      <c r="BB89" s="118">
        <v>1658.9946147723424</v>
      </c>
      <c r="BC89" s="118">
        <v>1675.5845609200658</v>
      </c>
      <c r="BD89" s="118">
        <v>1692.3404065292664</v>
      </c>
      <c r="BE89" s="118">
        <v>1709.2638105945589</v>
      </c>
      <c r="BF89" s="118">
        <v>1726.3564487005046</v>
      </c>
      <c r="BG89" s="118">
        <v>1743.6200131875098</v>
      </c>
    </row>
    <row r="90" spans="1:59" ht="13.75" customHeight="1">
      <c r="A90" s="171" t="s">
        <v>166</v>
      </c>
      <c r="B90" s="165" t="s">
        <v>173</v>
      </c>
      <c r="C90" s="165" t="s">
        <v>174</v>
      </c>
      <c r="D90" s="165" t="s">
        <v>168</v>
      </c>
      <c r="E90" s="167"/>
      <c r="F90" s="168" t="s">
        <v>206</v>
      </c>
      <c r="G90" s="168" t="s">
        <v>207</v>
      </c>
      <c r="H90" s="168"/>
      <c r="I90" s="168" t="s">
        <v>181</v>
      </c>
      <c r="U90" s="119">
        <v>107.9</v>
      </c>
      <c r="V90" s="119">
        <v>99.6</v>
      </c>
      <c r="W90" s="119">
        <v>108.1</v>
      </c>
      <c r="X90" s="118">
        <v>96.8</v>
      </c>
      <c r="Y90" s="118">
        <v>103</v>
      </c>
      <c r="Z90" s="118">
        <v>120</v>
      </c>
      <c r="AA90" s="118">
        <v>125</v>
      </c>
      <c r="AB90" s="119">
        <v>87.81224489795909</v>
      </c>
      <c r="AC90" s="119">
        <v>81.192622950819555</v>
      </c>
      <c r="AD90" s="119">
        <v>124.68749999999989</v>
      </c>
      <c r="AE90" s="119">
        <v>190</v>
      </c>
      <c r="AF90" s="119">
        <v>227.67318319517966</v>
      </c>
      <c r="AG90" s="119">
        <v>170</v>
      </c>
      <c r="AH90" s="119">
        <v>150</v>
      </c>
      <c r="AI90" s="119">
        <v>130</v>
      </c>
      <c r="AJ90" s="119">
        <v>134.5471529538838</v>
      </c>
      <c r="AK90" s="119">
        <v>135.92715295388379</v>
      </c>
      <c r="AL90" s="119">
        <v>137.32371295388378</v>
      </c>
      <c r="AM90" s="119">
        <v>138.73703167388379</v>
      </c>
      <c r="AN90" s="119">
        <v>139.56945386392709</v>
      </c>
      <c r="AO90" s="119">
        <v>140.40687058711066</v>
      </c>
      <c r="AP90" s="119">
        <v>141.24931181063332</v>
      </c>
      <c r="AQ90" s="119">
        <v>142.09680768149713</v>
      </c>
      <c r="AR90" s="119">
        <v>142.94938852758611</v>
      </c>
      <c r="AS90" s="119">
        <v>143.80708485875164</v>
      </c>
      <c r="AT90" s="119">
        <v>144.66992736790414</v>
      </c>
      <c r="AU90" s="119">
        <v>145.53794693211157</v>
      </c>
      <c r="AV90" s="119">
        <v>146.41117461370425</v>
      </c>
      <c r="AW90" s="119">
        <v>147.28964166138647</v>
      </c>
      <c r="AX90" s="119">
        <v>148.1733795113548</v>
      </c>
      <c r="AY90" s="119">
        <v>149.06241978842291</v>
      </c>
      <c r="AZ90" s="119">
        <v>149.95679430715344</v>
      </c>
      <c r="BA90" s="119">
        <v>150.85653507299637</v>
      </c>
      <c r="BB90" s="119">
        <v>151.76167428343433</v>
      </c>
      <c r="BC90" s="119">
        <v>152.67224432913494</v>
      </c>
      <c r="BD90" s="119">
        <v>153.58827779510975</v>
      </c>
      <c r="BE90" s="119">
        <v>154.5098074618804</v>
      </c>
      <c r="BF90" s="119">
        <v>155.43686630665169</v>
      </c>
      <c r="BG90" s="119">
        <v>156.36948750449162</v>
      </c>
    </row>
    <row r="91" spans="1:59" ht="13.75" customHeight="1">
      <c r="A91" s="171" t="s">
        <v>166</v>
      </c>
      <c r="B91" s="165" t="s">
        <v>173</v>
      </c>
      <c r="C91" s="165" t="s">
        <v>176</v>
      </c>
      <c r="D91" s="165" t="s">
        <v>168</v>
      </c>
      <c r="E91" s="167"/>
      <c r="F91" s="168" t="s">
        <v>208</v>
      </c>
      <c r="G91" s="168" t="s">
        <v>4</v>
      </c>
      <c r="H91" s="168"/>
      <c r="I91" s="168"/>
      <c r="U91" s="119">
        <v>679</v>
      </c>
      <c r="V91" s="119">
        <v>596</v>
      </c>
      <c r="W91" s="119">
        <v>538</v>
      </c>
      <c r="X91" s="118">
        <v>459</v>
      </c>
      <c r="Y91" s="118">
        <v>479</v>
      </c>
      <c r="Z91" s="118">
        <v>600</v>
      </c>
      <c r="AA91" s="118">
        <v>623.39733984283941</v>
      </c>
      <c r="AB91" s="119">
        <v>658.83925739491031</v>
      </c>
      <c r="AC91" s="119">
        <v>595.70838533157939</v>
      </c>
      <c r="AD91" s="119">
        <v>1040.4122306920442</v>
      </c>
      <c r="AE91" s="119">
        <v>855</v>
      </c>
      <c r="AF91" s="119">
        <v>704.08714274067052</v>
      </c>
      <c r="AG91" s="119">
        <v>751.99076958454657</v>
      </c>
      <c r="AH91" s="119">
        <v>745.9714608052883</v>
      </c>
      <c r="AI91" s="119">
        <v>763.7944612689804</v>
      </c>
      <c r="AJ91" s="119">
        <v>774.33480260043575</v>
      </c>
      <c r="AK91" s="119">
        <v>785.65657903603983</v>
      </c>
      <c r="AL91" s="119">
        <v>797.14455776892953</v>
      </c>
      <c r="AM91" s="119">
        <v>808.80118879010183</v>
      </c>
      <c r="AN91" s="119">
        <v>820.62895836096914</v>
      </c>
      <c r="AO91" s="119">
        <v>832.63038955267336</v>
      </c>
      <c r="AP91" s="119">
        <v>844.80804279345602</v>
      </c>
      <c r="AQ91" s="119">
        <v>857.16451642420236</v>
      </c>
      <c r="AR91" s="119">
        <v>869.7024472622852</v>
      </c>
      <c r="AS91" s="119">
        <v>882.42451117383155</v>
      </c>
      <c r="AT91" s="119">
        <v>895.33342365453768</v>
      </c>
      <c r="AU91" s="119">
        <v>908.43194041916183</v>
      </c>
      <c r="AV91" s="119">
        <v>921.72285799982615</v>
      </c>
      <c r="AW91" s="119">
        <v>935.20901435325675</v>
      </c>
      <c r="AX91" s="119">
        <v>948.89328947709805</v>
      </c>
      <c r="AY91" s="119">
        <v>962.77860603543957</v>
      </c>
      <c r="AZ91" s="119">
        <v>976.86792999368822</v>
      </c>
      <c r="BA91" s="119">
        <v>991.16427126293263</v>
      </c>
      <c r="BB91" s="119">
        <v>1005.6706843539357</v>
      </c>
      <c r="BC91" s="119">
        <v>1020.390269040906</v>
      </c>
      <c r="BD91" s="119">
        <v>1035.3261710351903</v>
      </c>
      <c r="BE91" s="119">
        <v>1050.4815826690378</v>
      </c>
      <c r="BF91" s="119">
        <v>1065.859743589589</v>
      </c>
      <c r="BG91" s="119">
        <v>1081.4639414632386</v>
      </c>
    </row>
    <row r="92" spans="1:59" ht="13.75" customHeight="1">
      <c r="A92" s="171" t="s">
        <v>166</v>
      </c>
      <c r="B92" s="165" t="s">
        <v>173</v>
      </c>
      <c r="C92" s="165" t="s">
        <v>176</v>
      </c>
      <c r="D92" s="165" t="s">
        <v>168</v>
      </c>
      <c r="E92" s="167"/>
      <c r="F92" s="168" t="s">
        <v>209</v>
      </c>
      <c r="G92" s="168" t="s">
        <v>4</v>
      </c>
      <c r="H92" s="168"/>
      <c r="I92" s="168"/>
      <c r="U92" s="119">
        <v>679</v>
      </c>
      <c r="V92" s="119">
        <v>622</v>
      </c>
      <c r="W92" s="119">
        <v>608</v>
      </c>
      <c r="X92" s="118">
        <v>427.75</v>
      </c>
      <c r="Y92" s="118">
        <v>442.25</v>
      </c>
      <c r="Z92" s="118">
        <v>554.08333333333337</v>
      </c>
      <c r="AA92" s="118">
        <v>616.25</v>
      </c>
      <c r="AB92" s="119">
        <v>527</v>
      </c>
      <c r="AC92" s="119">
        <v>499</v>
      </c>
      <c r="AD92" s="119">
        <v>1001</v>
      </c>
      <c r="AE92" s="119">
        <v>838.25</v>
      </c>
      <c r="AF92" s="119">
        <v>711.41666666666674</v>
      </c>
      <c r="AG92" s="119">
        <v>747.37256225760802</v>
      </c>
      <c r="AH92" s="119">
        <v>745.00723127581568</v>
      </c>
      <c r="AI92" s="119">
        <v>746.64597957193394</v>
      </c>
      <c r="AJ92" s="119">
        <v>747.24163921426464</v>
      </c>
      <c r="AK92" s="119">
        <v>758.8991811229115</v>
      </c>
      <c r="AL92" s="119">
        <v>770.73906716163378</v>
      </c>
      <c r="AM92" s="119">
        <v>782.7641563649463</v>
      </c>
      <c r="AN92" s="119">
        <v>814.97735269331406</v>
      </c>
      <c r="AO92" s="119">
        <v>827.38160574050698</v>
      </c>
      <c r="AP92" s="119">
        <v>839.97991145211245</v>
      </c>
      <c r="AQ92" s="119">
        <v>852.77531285538009</v>
      </c>
      <c r="AR92" s="119">
        <v>865.77090080058065</v>
      </c>
      <c r="AS92" s="119">
        <v>878.96981471405741</v>
      </c>
      <c r="AT92" s="119">
        <v>892.37524336315937</v>
      </c>
      <c r="AU92" s="119">
        <v>905.99042563323826</v>
      </c>
      <c r="AV92" s="119">
        <v>919.8186513169062</v>
      </c>
      <c r="AW92" s="119">
        <v>933.86326191574244</v>
      </c>
      <c r="AX92" s="119">
        <v>948.1276514546488</v>
      </c>
      <c r="AY92" s="119">
        <v>962.61526730905314</v>
      </c>
      <c r="AZ92" s="119">
        <v>977.3296110451638</v>
      </c>
      <c r="BA92" s="119">
        <v>992.27423927348048</v>
      </c>
      <c r="BB92" s="119">
        <v>1007.4527645157725</v>
      </c>
      <c r="BC92" s="119">
        <v>1022.8688560857362</v>
      </c>
      <c r="BD92" s="119">
        <v>1038.5262409835473</v>
      </c>
      <c r="BE92" s="119">
        <v>1054.4287048045294</v>
      </c>
      <c r="BF92" s="119">
        <v>1070.5800926621605</v>
      </c>
      <c r="BG92" s="119">
        <v>1086.9843101256447</v>
      </c>
    </row>
    <row r="93" spans="1:59" ht="13.75" customHeight="1">
      <c r="A93" s="171" t="s">
        <v>166</v>
      </c>
      <c r="B93" s="165" t="s">
        <v>173</v>
      </c>
      <c r="C93" s="165" t="s">
        <v>174</v>
      </c>
      <c r="D93" s="165" t="s">
        <v>168</v>
      </c>
      <c r="E93" s="167"/>
      <c r="F93" s="168" t="s">
        <v>210</v>
      </c>
      <c r="G93" s="168" t="s">
        <v>4</v>
      </c>
      <c r="H93" s="168"/>
      <c r="I93" s="168"/>
      <c r="U93" s="119">
        <v>1965</v>
      </c>
      <c r="V93" s="119">
        <v>1938</v>
      </c>
      <c r="W93" s="119">
        <v>2166</v>
      </c>
      <c r="X93" s="118">
        <v>1939</v>
      </c>
      <c r="Y93" s="118">
        <v>2101</v>
      </c>
      <c r="Z93" s="118">
        <v>2893</v>
      </c>
      <c r="AA93" s="118">
        <v>2892</v>
      </c>
      <c r="AB93" s="118">
        <v>2548</v>
      </c>
      <c r="AC93" s="119">
        <v>2269</v>
      </c>
      <c r="AD93" s="119">
        <v>3005</v>
      </c>
      <c r="AE93" s="118">
        <v>3475</v>
      </c>
      <c r="AF93" s="118">
        <v>2672.0724270833334</v>
      </c>
      <c r="AG93" s="118">
        <v>2700</v>
      </c>
      <c r="AH93" s="118">
        <v>2800</v>
      </c>
      <c r="AI93" s="118">
        <v>2900</v>
      </c>
      <c r="AJ93" s="118">
        <v>2946.4</v>
      </c>
      <c r="AK93" s="118">
        <v>2993.5424000000003</v>
      </c>
      <c r="AL93" s="118">
        <v>3041.4390784000002</v>
      </c>
      <c r="AM93" s="118">
        <v>3090.1021036544003</v>
      </c>
      <c r="AN93" s="118">
        <v>3121.0031246909443</v>
      </c>
      <c r="AO93" s="118">
        <v>3152.213155937854</v>
      </c>
      <c r="AP93" s="118">
        <v>3183.7352874972325</v>
      </c>
      <c r="AQ93" s="118">
        <v>3215.5726403722051</v>
      </c>
      <c r="AR93" s="118">
        <v>3247.728366775927</v>
      </c>
      <c r="AS93" s="118">
        <v>3280.2056504436864</v>
      </c>
      <c r="AT93" s="118">
        <v>3313.0077069481231</v>
      </c>
      <c r="AU93" s="118">
        <v>3346.1377840176042</v>
      </c>
      <c r="AV93" s="118">
        <v>3379.5991618577805</v>
      </c>
      <c r="AW93" s="118">
        <v>3413.3951534763582</v>
      </c>
      <c r="AX93" s="118">
        <v>3447.5291050111218</v>
      </c>
      <c r="AY93" s="118">
        <v>3482.0043960612329</v>
      </c>
      <c r="AZ93" s="118">
        <v>3516.8244400218455</v>
      </c>
      <c r="BA93" s="118">
        <v>3551.992684422064</v>
      </c>
      <c r="BB93" s="118">
        <v>3587.5126112662847</v>
      </c>
      <c r="BC93" s="118">
        <v>3623.3877373789473</v>
      </c>
      <c r="BD93" s="118">
        <v>3659.6216147527371</v>
      </c>
      <c r="BE93" s="118">
        <v>3696.2178309002643</v>
      </c>
      <c r="BF93" s="118">
        <v>3733.1800092092672</v>
      </c>
      <c r="BG93" s="118">
        <v>3770.5118093013598</v>
      </c>
    </row>
    <row r="94" spans="1:59" ht="13.75" customHeight="1">
      <c r="A94" s="171" t="s">
        <v>166</v>
      </c>
      <c r="B94" s="165" t="s">
        <v>173</v>
      </c>
      <c r="C94" s="165" t="s">
        <v>176</v>
      </c>
      <c r="D94" s="165" t="s">
        <v>168</v>
      </c>
      <c r="E94" s="167"/>
      <c r="F94" s="168" t="s">
        <v>211</v>
      </c>
      <c r="G94" s="168" t="s">
        <v>4</v>
      </c>
      <c r="H94" s="168"/>
      <c r="I94" s="168" t="s">
        <v>181</v>
      </c>
      <c r="U94" s="119">
        <v>430.17569754728976</v>
      </c>
      <c r="V94" s="119">
        <v>346.64168447453437</v>
      </c>
      <c r="W94" s="119">
        <v>339.48556070933324</v>
      </c>
      <c r="X94" s="118">
        <v>230.82832470180992</v>
      </c>
      <c r="Y94" s="118">
        <v>221.36704651439015</v>
      </c>
      <c r="Z94" s="118">
        <v>339.73178123258452</v>
      </c>
      <c r="AA94" s="118">
        <v>349.25363702448203</v>
      </c>
      <c r="AB94" s="119">
        <v>384</v>
      </c>
      <c r="AC94" s="119">
        <v>337</v>
      </c>
      <c r="AD94" s="119">
        <v>508</v>
      </c>
      <c r="AE94" s="119">
        <v>457.7185980528148</v>
      </c>
      <c r="AF94" s="119">
        <v>344.88100138422624</v>
      </c>
      <c r="AG94" s="119">
        <v>398.35314973768135</v>
      </c>
      <c r="AH94" s="119">
        <v>397.02609010130459</v>
      </c>
      <c r="AI94" s="119">
        <v>399.46611667533904</v>
      </c>
      <c r="AJ94" s="119">
        <v>384.7041013205702</v>
      </c>
      <c r="AK94" s="119">
        <v>390.65053991855245</v>
      </c>
      <c r="AL94" s="119">
        <v>396.6891979557783</v>
      </c>
      <c r="AM94" s="119">
        <v>402.82151001317925</v>
      </c>
      <c r="AN94" s="119">
        <v>409.04893305196003</v>
      </c>
      <c r="AO94" s="119">
        <v>415.37294676366133</v>
      </c>
      <c r="AP94" s="119">
        <v>421.79505392571008</v>
      </c>
      <c r="AQ94" s="119">
        <v>428.31678076254525</v>
      </c>
      <c r="AR94" s="119">
        <v>434.93967731240605</v>
      </c>
      <c r="AS94" s="119">
        <v>441.66531779987179</v>
      </c>
      <c r="AT94" s="119">
        <v>448.49530101424364</v>
      </c>
      <c r="AU94" s="119">
        <v>455.4312506938594</v>
      </c>
      <c r="AV94" s="119">
        <v>462.47481591643646</v>
      </c>
      <c r="AW94" s="119">
        <v>469.62767149553542</v>
      </c>
      <c r="AX94" s="119">
        <v>476.89151838324204</v>
      </c>
      <c r="AY94" s="119">
        <v>484.26808407916491</v>
      </c>
      <c r="AZ94" s="119">
        <v>491.75912304584756</v>
      </c>
      <c r="BA94" s="119">
        <v>499.36641713069707</v>
      </c>
      <c r="BB94" s="119">
        <v>507.09177599452966</v>
      </c>
      <c r="BC94" s="119">
        <v>514.93703754683997</v>
      </c>
      <c r="BD94" s="119">
        <v>522.90406838789693</v>
      </c>
      <c r="BE94" s="119">
        <v>530.99476425777505</v>
      </c>
      <c r="BF94" s="119">
        <v>539.21105049243056</v>
      </c>
      <c r="BG94" s="119">
        <v>547.55488248693212</v>
      </c>
    </row>
    <row r="95" spans="1:59" ht="13.75" customHeight="1">
      <c r="A95" s="171" t="s">
        <v>166</v>
      </c>
      <c r="B95" s="165" t="s">
        <v>173</v>
      </c>
      <c r="C95" s="165" t="s">
        <v>176</v>
      </c>
      <c r="D95" s="165" t="s">
        <v>168</v>
      </c>
      <c r="E95" s="167"/>
      <c r="F95" s="168" t="s">
        <v>212</v>
      </c>
      <c r="G95" s="168" t="s">
        <v>4</v>
      </c>
      <c r="H95" s="168"/>
      <c r="I95" s="168"/>
      <c r="U95" s="119">
        <v>415.19607843137254</v>
      </c>
      <c r="V95" s="119">
        <v>389.71153846153845</v>
      </c>
      <c r="W95" s="119">
        <v>376.88679245283021</v>
      </c>
      <c r="X95" s="118">
        <v>243.75</v>
      </c>
      <c r="Y95" s="118">
        <v>255.91666666666666</v>
      </c>
      <c r="Z95" s="118">
        <v>352.66666666666669</v>
      </c>
      <c r="AA95" s="118">
        <v>378.08333333333331</v>
      </c>
      <c r="AB95" s="119">
        <v>326</v>
      </c>
      <c r="AC95" s="119">
        <v>340</v>
      </c>
      <c r="AD95" s="119">
        <v>550</v>
      </c>
      <c r="AE95" s="119">
        <v>469</v>
      </c>
      <c r="AF95" s="119">
        <v>384.83333333333331</v>
      </c>
      <c r="AG95" s="119">
        <v>408.71272543242821</v>
      </c>
      <c r="AH95" s="119">
        <v>385.43902597349512</v>
      </c>
      <c r="AI95" s="119">
        <v>386.07207452067308</v>
      </c>
      <c r="AJ95" s="119">
        <v>391.05855168218352</v>
      </c>
      <c r="AK95" s="119">
        <v>397.01716419031715</v>
      </c>
      <c r="AL95" s="119">
        <v>403.06693795811799</v>
      </c>
      <c r="AM95" s="119">
        <v>409.20927309417419</v>
      </c>
      <c r="AN95" s="119">
        <v>415.44559129020956</v>
      </c>
      <c r="AO95" s="119">
        <v>421.77733615495276</v>
      </c>
      <c r="AP95" s="119">
        <v>428.20597355318938</v>
      </c>
      <c r="AQ95" s="119">
        <v>434.73299195007434</v>
      </c>
      <c r="AR95" s="119">
        <v>441.35990276078991</v>
      </c>
      <c r="AS95" s="119">
        <v>448.08824070563014</v>
      </c>
      <c r="AT95" s="119">
        <v>454.9195641705972</v>
      </c>
      <c r="AU95" s="119">
        <v>461.85545557359512</v>
      </c>
      <c r="AV95" s="119">
        <v>468.89752173630882</v>
      </c>
      <c r="AW95" s="119">
        <v>476.0473942618554</v>
      </c>
      <c r="AX95" s="119">
        <v>483.30672991829948</v>
      </c>
      <c r="AY95" s="119">
        <v>490.67721102812226</v>
      </c>
      <c r="AZ95" s="119">
        <v>498.16054586373798</v>
      </c>
      <c r="BA95" s="119">
        <v>505.75846904915187</v>
      </c>
      <c r="BB95" s="119">
        <v>513.47274196785474</v>
      </c>
      <c r="BC95" s="119">
        <v>521.30515317705158</v>
      </c>
      <c r="BD95" s="119">
        <v>529.25751882832367</v>
      </c>
      <c r="BE95" s="119">
        <v>537.33168309482221</v>
      </c>
      <c r="BF95" s="119">
        <v>545.52951860509813</v>
      </c>
      <c r="BG95" s="119">
        <v>553.85292688366917</v>
      </c>
    </row>
    <row r="96" spans="1:59" ht="13.75" customHeight="1">
      <c r="A96" s="171" t="s">
        <v>166</v>
      </c>
      <c r="B96" s="165" t="s">
        <v>173</v>
      </c>
      <c r="C96" s="165" t="s">
        <v>174</v>
      </c>
      <c r="D96" s="165" t="s">
        <v>168</v>
      </c>
      <c r="E96" s="167"/>
      <c r="F96" s="168" t="s">
        <v>213</v>
      </c>
      <c r="G96" s="168" t="s">
        <v>194</v>
      </c>
      <c r="H96" s="168"/>
      <c r="I96" s="168"/>
      <c r="X96" s="150">
        <v>1054</v>
      </c>
      <c r="Y96" s="118">
        <v>989</v>
      </c>
      <c r="Z96" s="118">
        <v>949.91</v>
      </c>
      <c r="AA96" s="118">
        <v>879.64</v>
      </c>
      <c r="AB96" s="119">
        <v>865</v>
      </c>
      <c r="AC96" s="119">
        <v>886</v>
      </c>
      <c r="AD96" s="119">
        <v>1092</v>
      </c>
      <c r="AE96" s="119">
        <v>964</v>
      </c>
      <c r="AF96" s="119">
        <v>984.40866772718687</v>
      </c>
      <c r="AG96" s="119">
        <v>1080</v>
      </c>
      <c r="AH96" s="119">
        <v>1100</v>
      </c>
      <c r="AI96" s="119">
        <v>1118.1208060048907</v>
      </c>
      <c r="AJ96" s="119">
        <v>1136.010738900969</v>
      </c>
      <c r="AK96" s="119">
        <v>1154.1869107233845</v>
      </c>
      <c r="AL96" s="119">
        <v>1172.6539012949586</v>
      </c>
      <c r="AM96" s="119">
        <v>1191.416363715678</v>
      </c>
      <c r="AN96" s="119">
        <v>1208.0961928076974</v>
      </c>
      <c r="AO96" s="119">
        <v>1225.0095395070052</v>
      </c>
      <c r="AP96" s="119">
        <v>1242.1596730601034</v>
      </c>
      <c r="AQ96" s="119">
        <v>1259.5499084829448</v>
      </c>
      <c r="AR96" s="119">
        <v>1277.1836072017061</v>
      </c>
      <c r="AS96" s="119">
        <v>1295.0641777025301</v>
      </c>
      <c r="AT96" s="119">
        <v>1313.1950761903654</v>
      </c>
      <c r="AU96" s="119">
        <v>1331.5798072570306</v>
      </c>
      <c r="AV96" s="119">
        <v>1350.2219245586291</v>
      </c>
      <c r="AW96" s="119">
        <v>1369.1250315024499</v>
      </c>
      <c r="AX96" s="119">
        <v>1388.2927819434842</v>
      </c>
      <c r="AY96" s="119">
        <v>1407.7288808906931</v>
      </c>
      <c r="AZ96" s="119">
        <v>1427.4370852231627</v>
      </c>
      <c r="BA96" s="119">
        <v>1447.4212044162871</v>
      </c>
      <c r="BB96" s="119">
        <v>1467.6851012781151</v>
      </c>
      <c r="BC96" s="119">
        <v>1488.2326926960088</v>
      </c>
      <c r="BD96" s="119">
        <v>1509.0679503937529</v>
      </c>
      <c r="BE96" s="119">
        <v>1530.1949016992655</v>
      </c>
      <c r="BF96" s="119">
        <v>1551.6176303230552</v>
      </c>
      <c r="BG96" s="119">
        <v>1573.340277147578</v>
      </c>
    </row>
    <row r="97" spans="1:59" ht="13.75" customHeight="1">
      <c r="A97" s="171" t="s">
        <v>166</v>
      </c>
      <c r="B97" s="165" t="s">
        <v>173</v>
      </c>
      <c r="C97" s="165" t="s">
        <v>174</v>
      </c>
      <c r="D97" s="165" t="s">
        <v>168</v>
      </c>
      <c r="E97" s="167"/>
      <c r="F97" s="168" t="s">
        <v>214</v>
      </c>
      <c r="G97" s="168" t="s">
        <v>194</v>
      </c>
      <c r="H97" s="168"/>
      <c r="I97" s="168"/>
      <c r="X97" s="150">
        <v>690</v>
      </c>
      <c r="Y97" s="118">
        <v>615</v>
      </c>
      <c r="Z97" s="118">
        <v>870.78</v>
      </c>
      <c r="AA97" s="118">
        <v>1030.49</v>
      </c>
      <c r="AB97" s="118">
        <v>1541</v>
      </c>
      <c r="AC97" s="119">
        <v>2201</v>
      </c>
      <c r="AD97" s="119">
        <v>2397</v>
      </c>
      <c r="AE97" s="119">
        <v>2109</v>
      </c>
      <c r="AF97" s="118">
        <v>1391.1100920767344</v>
      </c>
      <c r="AG97" s="118">
        <v>1350</v>
      </c>
      <c r="AH97" s="118">
        <v>1300</v>
      </c>
      <c r="AI97" s="118">
        <v>1280</v>
      </c>
      <c r="AJ97" s="118">
        <v>1250</v>
      </c>
      <c r="AK97" s="118">
        <v>1250</v>
      </c>
      <c r="AL97" s="118">
        <v>1200</v>
      </c>
      <c r="AM97" s="118">
        <v>1219.2</v>
      </c>
      <c r="AN97" s="118">
        <v>1233.8304000000001</v>
      </c>
      <c r="AO97" s="118">
        <v>1248.6363648000001</v>
      </c>
      <c r="AP97" s="118">
        <v>1263.6200011776002</v>
      </c>
      <c r="AQ97" s="118">
        <v>1278.7834411917315</v>
      </c>
      <c r="AR97" s="118">
        <v>1294.1288424860322</v>
      </c>
      <c r="AS97" s="118">
        <v>1309.6583885958646</v>
      </c>
      <c r="AT97" s="118">
        <v>1325.3742892590151</v>
      </c>
      <c r="AU97" s="118">
        <v>1341.2787807301233</v>
      </c>
      <c r="AV97" s="118">
        <v>1357.3741260988847</v>
      </c>
      <c r="AW97" s="118">
        <v>1369.1250315024499</v>
      </c>
      <c r="AX97" s="118">
        <v>1385.5545318804793</v>
      </c>
      <c r="AY97" s="118">
        <v>1402.181186263045</v>
      </c>
      <c r="AZ97" s="118">
        <v>1419.0073604982015</v>
      </c>
      <c r="BA97" s="118">
        <v>1436.0354488241799</v>
      </c>
      <c r="BB97" s="118">
        <v>1453.26787421007</v>
      </c>
      <c r="BC97" s="118">
        <v>1470.7070887005909</v>
      </c>
      <c r="BD97" s="118">
        <v>1488.3555737649981</v>
      </c>
      <c r="BE97" s="118">
        <v>1506.2158406501781</v>
      </c>
      <c r="BF97" s="118">
        <v>1524.2904307379802</v>
      </c>
      <c r="BG97" s="118">
        <v>1542.581915906836</v>
      </c>
    </row>
    <row r="98" spans="1:59" ht="13.75" customHeight="1">
      <c r="A98" s="171" t="s">
        <v>166</v>
      </c>
      <c r="B98" s="165" t="s">
        <v>173</v>
      </c>
      <c r="C98" s="165" t="s">
        <v>174</v>
      </c>
      <c r="D98" s="165" t="s">
        <v>168</v>
      </c>
      <c r="E98" s="167"/>
      <c r="F98" s="168" t="s">
        <v>215</v>
      </c>
      <c r="G98" s="168" t="s">
        <v>207</v>
      </c>
      <c r="H98" s="168"/>
      <c r="I98" s="168" t="s">
        <v>216</v>
      </c>
      <c r="U98" s="109">
        <v>92</v>
      </c>
      <c r="V98" s="109">
        <v>87.5</v>
      </c>
      <c r="W98" s="116">
        <v>83</v>
      </c>
      <c r="X98" s="150">
        <v>76.5</v>
      </c>
      <c r="Y98" s="118">
        <v>78.5</v>
      </c>
      <c r="Z98" s="118">
        <v>95.5</v>
      </c>
      <c r="AA98" s="118">
        <v>86.305623343765873</v>
      </c>
      <c r="AB98" s="119">
        <v>75.560131086761601</v>
      </c>
      <c r="AC98" s="119">
        <v>68.197825543371138</v>
      </c>
      <c r="AD98" s="119">
        <v>110.44017605934478</v>
      </c>
      <c r="AE98" s="119">
        <v>103.21220732085325</v>
      </c>
      <c r="AF98" s="119">
        <v>100</v>
      </c>
      <c r="AG98" s="119">
        <v>100</v>
      </c>
      <c r="AH98" s="119">
        <v>100</v>
      </c>
      <c r="AI98" s="119">
        <v>105</v>
      </c>
      <c r="AJ98" s="119">
        <v>115</v>
      </c>
      <c r="AK98" s="119">
        <v>116.38</v>
      </c>
      <c r="AL98" s="119">
        <v>117.77656</v>
      </c>
      <c r="AM98" s="119">
        <v>119.18987872000001</v>
      </c>
      <c r="AN98" s="119">
        <v>119.90501799232001</v>
      </c>
      <c r="AO98" s="119">
        <v>120.62444810027394</v>
      </c>
      <c r="AP98" s="119">
        <v>121.34819478887559</v>
      </c>
      <c r="AQ98" s="119">
        <v>122.07628395760884</v>
      </c>
      <c r="AR98" s="119">
        <v>122.80874166135449</v>
      </c>
      <c r="AS98" s="119">
        <v>123.54559411132261</v>
      </c>
      <c r="AT98" s="119">
        <v>124.28686767599055</v>
      </c>
      <c r="AU98" s="119">
        <v>125.0325888820465</v>
      </c>
      <c r="AV98" s="119">
        <v>125.78278441533878</v>
      </c>
      <c r="AW98" s="119">
        <v>126.53748112183081</v>
      </c>
      <c r="AX98" s="119">
        <v>127.2967060085618</v>
      </c>
      <c r="AY98" s="119">
        <v>128.06048624461317</v>
      </c>
      <c r="AZ98" s="119">
        <v>128.82884916208084</v>
      </c>
      <c r="BA98" s="119">
        <v>129.60182225705333</v>
      </c>
      <c r="BB98" s="119">
        <v>130.37943319059565</v>
      </c>
      <c r="BC98" s="119">
        <v>131.16170978973923</v>
      </c>
      <c r="BD98" s="119">
        <v>131.94868004847768</v>
      </c>
      <c r="BE98" s="119">
        <v>132.74037212876854</v>
      </c>
      <c r="BF98" s="119">
        <v>133.53681436154116</v>
      </c>
      <c r="BG98" s="119">
        <v>134.33803524771042</v>
      </c>
    </row>
    <row r="99" spans="1:59" ht="13.75" customHeight="1">
      <c r="A99" s="171" t="s">
        <v>166</v>
      </c>
      <c r="B99" s="165" t="s">
        <v>173</v>
      </c>
      <c r="C99" s="165" t="s">
        <v>176</v>
      </c>
      <c r="D99" s="165" t="s">
        <v>168</v>
      </c>
      <c r="E99" s="167"/>
      <c r="F99" s="168" t="s">
        <v>217</v>
      </c>
      <c r="G99" s="168" t="s">
        <v>4</v>
      </c>
      <c r="H99" s="168"/>
      <c r="I99" s="168"/>
      <c r="X99" s="150"/>
      <c r="Y99" s="118"/>
      <c r="Z99" s="118">
        <v>564</v>
      </c>
      <c r="AA99" s="118">
        <v>575.80253037671957</v>
      </c>
      <c r="AB99" s="119">
        <v>533</v>
      </c>
      <c r="AC99" s="119">
        <v>476</v>
      </c>
      <c r="AD99" s="119">
        <v>850</v>
      </c>
      <c r="AE99" s="119">
        <v>789.64416042794369</v>
      </c>
      <c r="AF99" s="119">
        <v>692.1895040460065</v>
      </c>
      <c r="AG99" s="119">
        <v>691.31797580952025</v>
      </c>
      <c r="AH99" s="119">
        <v>688.99631275424827</v>
      </c>
      <c r="AI99" s="119">
        <v>699.86122038608323</v>
      </c>
      <c r="AJ99" s="119">
        <v>705.02833830131067</v>
      </c>
      <c r="AK99" s="119">
        <v>713.81684814354981</v>
      </c>
      <c r="AL99" s="119">
        <v>722.72514456869646</v>
      </c>
      <c r="AM99" s="119">
        <v>731.75491411427925</v>
      </c>
      <c r="AN99" s="119">
        <v>740.90786757431772</v>
      </c>
      <c r="AO99" s="119">
        <v>750.18574035317351</v>
      </c>
      <c r="AP99" s="119">
        <v>759.59029282461415</v>
      </c>
      <c r="AQ99" s="119">
        <v>769.12331069616994</v>
      </c>
      <c r="AR99" s="119">
        <v>778.7866053788581</v>
      </c>
      <c r="AS99" s="119">
        <v>788.58201436235731</v>
      </c>
      <c r="AT99" s="119">
        <v>798.51140159571446</v>
      </c>
      <c r="AU99" s="119">
        <v>808.57665787365863</v>
      </c>
      <c r="AV99" s="119">
        <v>818.77970122861655</v>
      </c>
      <c r="AW99" s="119">
        <v>829.12247732850392</v>
      </c>
      <c r="AX99" s="119">
        <v>839.60695988038538</v>
      </c>
      <c r="AY99" s="119">
        <v>850.23515104008698</v>
      </c>
      <c r="AZ99" s="119">
        <v>861.00908182784997</v>
      </c>
      <c r="BA99" s="119">
        <v>871.93081255011805</v>
      </c>
      <c r="BB99" s="119">
        <v>883.00243322754295</v>
      </c>
      <c r="BC99" s="119">
        <v>894.31550908532768</v>
      </c>
      <c r="BD99" s="119">
        <v>905.78346719178398</v>
      </c>
      <c r="BE99" s="119">
        <v>917.4084952144741</v>
      </c>
      <c r="BF99" s="119">
        <v>929.1928123599962</v>
      </c>
      <c r="BG99" s="119">
        <v>941.13866983493904</v>
      </c>
    </row>
    <row r="100" spans="1:59" ht="13.75" customHeight="1" outlineLevel="1">
      <c r="A100" s="171" t="s">
        <v>166</v>
      </c>
      <c r="B100" s="165" t="s">
        <v>173</v>
      </c>
      <c r="C100" s="165" t="s">
        <v>176</v>
      </c>
      <c r="D100" s="165" t="s">
        <v>168</v>
      </c>
      <c r="E100" s="167"/>
      <c r="F100" s="168" t="s">
        <v>218</v>
      </c>
      <c r="G100" s="168" t="s">
        <v>219</v>
      </c>
      <c r="H100" s="168"/>
      <c r="I100" s="168"/>
      <c r="X100" s="120">
        <v>13.521020408163288</v>
      </c>
      <c r="Y100" s="120">
        <v>12.059599999999991</v>
      </c>
      <c r="Z100" s="120">
        <v>26.931722689075606</v>
      </c>
      <c r="AA100" s="121">
        <v>37.048163265306101</v>
      </c>
      <c r="AB100" s="112">
        <v>16.5</v>
      </c>
      <c r="AC100" s="112">
        <v>15.4</v>
      </c>
      <c r="AD100" s="112">
        <v>23.7</v>
      </c>
      <c r="AE100" s="112">
        <v>30.5</v>
      </c>
      <c r="AF100" s="112">
        <v>15.890508172708806</v>
      </c>
      <c r="AG100" s="112">
        <v>16.2</v>
      </c>
      <c r="AH100" s="112">
        <v>18.5</v>
      </c>
      <c r="AI100" s="112">
        <v>20</v>
      </c>
      <c r="AJ100" s="112">
        <v>20.32</v>
      </c>
      <c r="AK100" s="112">
        <v>20.645120000000002</v>
      </c>
      <c r="AL100" s="112">
        <v>20.975441920000002</v>
      </c>
      <c r="AM100" s="112">
        <v>21.311048990720003</v>
      </c>
      <c r="AN100" s="112">
        <v>21.524159480627205</v>
      </c>
      <c r="AO100" s="112">
        <v>21.739401075433477</v>
      </c>
      <c r="AP100" s="112">
        <v>21.956795086187814</v>
      </c>
      <c r="AQ100" s="112">
        <v>22.176363037049693</v>
      </c>
      <c r="AR100" s="112">
        <v>22.39812666742019</v>
      </c>
      <c r="AS100" s="112">
        <v>22.622107934094391</v>
      </c>
      <c r="AT100" s="112">
        <v>22.848329013435336</v>
      </c>
      <c r="AU100" s="112">
        <v>23.076812303569689</v>
      </c>
      <c r="AV100" s="112">
        <v>23.307580426605387</v>
      </c>
      <c r="AW100" s="112">
        <v>23.540656230871441</v>
      </c>
      <c r="AX100" s="112">
        <v>23.776062793180156</v>
      </c>
      <c r="AY100" s="112">
        <v>24.013823421111958</v>
      </c>
      <c r="AZ100" s="112">
        <v>24.253961655323078</v>
      </c>
      <c r="BA100" s="112">
        <v>24.496501271876308</v>
      </c>
      <c r="BB100" s="112">
        <v>24.74146628459507</v>
      </c>
      <c r="BC100" s="112">
        <v>24.988880947441022</v>
      </c>
      <c r="BD100" s="112">
        <v>25.238769756915431</v>
      </c>
      <c r="BE100" s="112">
        <v>25.491157454484586</v>
      </c>
      <c r="BF100" s="112">
        <v>25.746069029029432</v>
      </c>
      <c r="BG100" s="112">
        <v>26.003529719319726</v>
      </c>
    </row>
    <row r="101" spans="1:59" ht="13.75" customHeight="1" outlineLevel="1">
      <c r="A101" s="171" t="s">
        <v>166</v>
      </c>
      <c r="B101" s="165" t="s">
        <v>167</v>
      </c>
      <c r="C101" s="165"/>
      <c r="D101" s="165" t="s">
        <v>168</v>
      </c>
      <c r="E101" s="167"/>
      <c r="F101" s="168" t="s">
        <v>220</v>
      </c>
      <c r="G101" s="168" t="s">
        <v>4</v>
      </c>
      <c r="H101" s="168"/>
      <c r="I101" s="168" t="s">
        <v>221</v>
      </c>
      <c r="X101" s="120">
        <v>83.875</v>
      </c>
      <c r="Y101" s="118">
        <v>87.5</v>
      </c>
      <c r="Z101" s="118">
        <v>139.375</v>
      </c>
      <c r="AA101" s="118">
        <v>148.875</v>
      </c>
      <c r="AB101" s="119">
        <v>129</v>
      </c>
      <c r="AC101" s="119">
        <v>78</v>
      </c>
      <c r="AD101" s="119">
        <v>164</v>
      </c>
      <c r="AE101" s="119">
        <v>322.56340000000034</v>
      </c>
      <c r="AF101" s="119">
        <v>221.98844702079674</v>
      </c>
      <c r="AG101" s="119">
        <v>194.78524770150619</v>
      </c>
      <c r="AH101" s="119">
        <v>163.94425014876774</v>
      </c>
      <c r="AI101" s="119">
        <v>160.32330442938141</v>
      </c>
      <c r="AJ101" s="119">
        <v>162.6319600131645</v>
      </c>
      <c r="AK101" s="119">
        <v>164.97386023735407</v>
      </c>
      <c r="AL101" s="119">
        <v>167.34948382477199</v>
      </c>
      <c r="AM101" s="119">
        <v>169.75931639184873</v>
      </c>
      <c r="AN101" s="119">
        <v>172.06804309477786</v>
      </c>
      <c r="AO101" s="119">
        <v>174.40816848086686</v>
      </c>
      <c r="AP101" s="119">
        <v>176.78011957220664</v>
      </c>
      <c r="AQ101" s="119">
        <v>179.18432919838864</v>
      </c>
      <c r="AR101" s="119">
        <v>181.62123607548671</v>
      </c>
      <c r="AS101" s="119">
        <v>184.09128488611333</v>
      </c>
      <c r="AT101" s="119">
        <v>186.59492636056447</v>
      </c>
      <c r="AU101" s="119">
        <v>189.13261735906815</v>
      </c>
      <c r="AV101" s="119">
        <v>191.70482095515149</v>
      </c>
      <c r="AW101" s="119">
        <v>194.31200652014158</v>
      </c>
      <c r="AX101" s="119">
        <v>196.95464980881553</v>
      </c>
      <c r="AY101" s="119">
        <v>199.63323304621545</v>
      </c>
      <c r="AZ101" s="119">
        <v>202.34824501564401</v>
      </c>
      <c r="BA101" s="119">
        <v>205.10018114785677</v>
      </c>
      <c r="BB101" s="119">
        <v>207.88954361146764</v>
      </c>
      <c r="BC101" s="119">
        <v>210.71684140458362</v>
      </c>
      <c r="BD101" s="119">
        <v>213.58259044768599</v>
      </c>
      <c r="BE101" s="119">
        <v>216.48731367777452</v>
      </c>
      <c r="BF101" s="119">
        <v>219.43154114379226</v>
      </c>
      <c r="BG101" s="119">
        <v>222.41581010334787</v>
      </c>
    </row>
    <row r="102" spans="1:59" ht="13.75" customHeight="1" outlineLevel="1">
      <c r="A102" s="171" t="s">
        <v>166</v>
      </c>
      <c r="B102" s="165" t="s">
        <v>167</v>
      </c>
      <c r="C102" s="165"/>
      <c r="D102" s="165" t="s">
        <v>168</v>
      </c>
      <c r="E102" s="167"/>
      <c r="F102" s="168" t="s">
        <v>222</v>
      </c>
      <c r="G102" s="168"/>
      <c r="H102" s="168"/>
      <c r="I102" s="168"/>
      <c r="X102" s="120">
        <v>0</v>
      </c>
      <c r="Y102" s="120">
        <v>0</v>
      </c>
      <c r="Z102" s="120">
        <v>0</v>
      </c>
      <c r="AA102" s="120">
        <v>0</v>
      </c>
      <c r="AB102" s="119">
        <v>0</v>
      </c>
      <c r="AC102" s="119">
        <v>0</v>
      </c>
      <c r="AD102" s="119">
        <v>111.13783333333333</v>
      </c>
      <c r="AE102" s="119">
        <v>146.95515277777778</v>
      </c>
      <c r="AF102" s="119">
        <v>88.554231730769231</v>
      </c>
      <c r="AG102" s="119">
        <v>85.906971832269122</v>
      </c>
      <c r="AH102" s="119">
        <v>86.51618731203979</v>
      </c>
      <c r="AI102" s="119">
        <v>88.58387320363525</v>
      </c>
      <c r="AJ102" s="119">
        <v>90.625215174893412</v>
      </c>
      <c r="AK102" s="119">
        <v>92.699218617691713</v>
      </c>
      <c r="AL102" s="119">
        <v>94.806406115574788</v>
      </c>
      <c r="AM102" s="119">
        <v>96.947308613423985</v>
      </c>
      <c r="AN102" s="119">
        <v>98.850570934011927</v>
      </c>
      <c r="AO102" s="119">
        <v>100.7804789270881</v>
      </c>
      <c r="AP102" s="119">
        <v>102.73740563206732</v>
      </c>
      <c r="AQ102" s="119">
        <v>104.72172931091629</v>
      </c>
      <c r="AR102" s="119">
        <v>106.7338335212691</v>
      </c>
      <c r="AS102" s="119">
        <v>108.77410719056687</v>
      </c>
      <c r="AT102" s="119">
        <v>110.84294469123481</v>
      </c>
      <c r="AU102" s="119">
        <v>112.94074591691211</v>
      </c>
      <c r="AV102" s="119">
        <v>115.06791635974889</v>
      </c>
      <c r="AW102" s="119">
        <v>117.22486718878537</v>
      </c>
      <c r="AX102" s="119">
        <v>119.41201532942836</v>
      </c>
      <c r="AY102" s="119">
        <v>121.62978354404035</v>
      </c>
      <c r="AZ102" s="119">
        <v>123.87860051365692</v>
      </c>
      <c r="BA102" s="119">
        <v>126.15890092084811</v>
      </c>
      <c r="BB102" s="119">
        <v>128.47112553373998</v>
      </c>
      <c r="BC102" s="119">
        <v>130.81572129121236</v>
      </c>
      <c r="BD102" s="119">
        <v>133.19314138928931</v>
      </c>
      <c r="BE102" s="119">
        <v>135.60384536873937</v>
      </c>
      <c r="BF102" s="119">
        <v>138.04829920390171</v>
      </c>
      <c r="BG102" s="119">
        <v>140.52697539275636</v>
      </c>
    </row>
    <row r="103" spans="1:59" ht="13.75" customHeight="1" outlineLevel="1">
      <c r="A103" s="171" t="s">
        <v>166</v>
      </c>
      <c r="B103" s="165" t="s">
        <v>167</v>
      </c>
      <c r="C103" s="165"/>
      <c r="D103" s="165" t="s">
        <v>168</v>
      </c>
      <c r="E103" s="167"/>
      <c r="F103" s="168" t="s">
        <v>223</v>
      </c>
      <c r="G103" s="168"/>
      <c r="H103" s="168"/>
      <c r="I103" s="168"/>
      <c r="X103" s="120">
        <v>0</v>
      </c>
      <c r="Y103" s="120">
        <v>0</v>
      </c>
      <c r="Z103" s="120">
        <v>0</v>
      </c>
      <c r="AA103" s="120">
        <v>0</v>
      </c>
      <c r="AB103" s="112">
        <v>0</v>
      </c>
      <c r="AC103" s="112">
        <v>0</v>
      </c>
      <c r="AD103" s="112">
        <v>113.33044753086419</v>
      </c>
      <c r="AE103" s="112">
        <v>158</v>
      </c>
      <c r="AF103" s="112">
        <v>93.36471576923077</v>
      </c>
      <c r="AG103" s="112">
        <v>89.906971832269122</v>
      </c>
      <c r="AH103" s="112">
        <v>90.51618731203979</v>
      </c>
      <c r="AI103" s="112">
        <v>92.58387320363525</v>
      </c>
      <c r="AJ103" s="112">
        <v>94.625215174893412</v>
      </c>
      <c r="AK103" s="112">
        <v>96.699218617691713</v>
      </c>
      <c r="AL103" s="112">
        <v>98.806406115574788</v>
      </c>
      <c r="AM103" s="112">
        <v>100.94730861342398</v>
      </c>
      <c r="AN103" s="112">
        <v>102.85057093401193</v>
      </c>
      <c r="AO103" s="112">
        <v>104.7804789270881</v>
      </c>
      <c r="AP103" s="112">
        <v>106.73740563206732</v>
      </c>
      <c r="AQ103" s="112">
        <v>108.72172931091629</v>
      </c>
      <c r="AR103" s="112">
        <v>110.7338335212691</v>
      </c>
      <c r="AS103" s="112">
        <v>112.77410719056687</v>
      </c>
      <c r="AT103" s="112">
        <v>114.84294469123481</v>
      </c>
      <c r="AU103" s="112">
        <v>116.94074591691211</v>
      </c>
      <c r="AV103" s="112">
        <v>119.06791635974889</v>
      </c>
      <c r="AW103" s="112">
        <v>121.22486718878537</v>
      </c>
      <c r="AX103" s="112">
        <v>123.41201532942836</v>
      </c>
      <c r="AY103" s="112">
        <v>125.62978354404035</v>
      </c>
      <c r="AZ103" s="112">
        <v>127.87860051365692</v>
      </c>
      <c r="BA103" s="112">
        <v>130.15890092084811</v>
      </c>
      <c r="BB103" s="112">
        <v>132.47112553373998</v>
      </c>
      <c r="BC103" s="112">
        <v>134.81572129121236</v>
      </c>
      <c r="BD103" s="112">
        <v>137.19314138928931</v>
      </c>
      <c r="BE103" s="112">
        <v>139.60384536873937</v>
      </c>
      <c r="BF103" s="112">
        <v>142.04829920390171</v>
      </c>
      <c r="BG103" s="112">
        <v>144.52697539275636</v>
      </c>
    </row>
    <row r="104" spans="1:59" ht="13.75" customHeight="1" outlineLevel="1">
      <c r="A104" s="171" t="s">
        <v>166</v>
      </c>
      <c r="B104" s="165" t="s">
        <v>167</v>
      </c>
      <c r="C104" s="165"/>
      <c r="D104" s="165" t="s">
        <v>168</v>
      </c>
      <c r="E104" s="167"/>
      <c r="F104" s="168" t="s">
        <v>224</v>
      </c>
      <c r="G104" s="168"/>
      <c r="H104" s="168"/>
      <c r="I104" s="168"/>
      <c r="X104" s="120">
        <v>0</v>
      </c>
      <c r="Y104" s="120">
        <v>0</v>
      </c>
      <c r="Z104" s="120">
        <v>88.205192307692315</v>
      </c>
      <c r="AA104" s="120">
        <v>103.03711538461536</v>
      </c>
      <c r="AB104" s="119">
        <v>75.009615384615387</v>
      </c>
      <c r="AC104" s="119">
        <v>60.549811320754721</v>
      </c>
      <c r="AD104" s="119">
        <v>129.77705555555556</v>
      </c>
      <c r="AE104" s="119">
        <v>180.50080555555556</v>
      </c>
      <c r="AF104" s="119">
        <v>117.71243019230769</v>
      </c>
      <c r="AG104" s="119">
        <v>116.70546400603172</v>
      </c>
      <c r="AH104" s="119">
        <v>114.39321234236758</v>
      </c>
      <c r="AI104" s="119">
        <v>116.39297857070081</v>
      </c>
      <c r="AJ104" s="119">
        <v>118.36726622783202</v>
      </c>
      <c r="AK104" s="119">
        <v>120.37314248747734</v>
      </c>
      <c r="AL104" s="119">
        <v>122.41111276727699</v>
      </c>
      <c r="AM104" s="119">
        <v>124.48169057155343</v>
      </c>
      <c r="AN104" s="119">
        <v>126.32243423955518</v>
      </c>
      <c r="AO104" s="119">
        <v>128.18894831890896</v>
      </c>
      <c r="AP104" s="119">
        <v>130.08159359537368</v>
      </c>
      <c r="AQ104" s="119">
        <v>132.00073590570892</v>
      </c>
      <c r="AR104" s="119">
        <v>133.94674620838882</v>
      </c>
      <c r="AS104" s="119">
        <v>135.92000065530627</v>
      </c>
      <c r="AT104" s="119">
        <v>137.92088066448056</v>
      </c>
      <c r="AU104" s="119">
        <v>139.94977299378331</v>
      </c>
      <c r="AV104" s="119">
        <v>142.00706981569627</v>
      </c>
      <c r="AW104" s="119">
        <v>144.09316879311601</v>
      </c>
      <c r="AX104" s="119">
        <v>146.20847315621964</v>
      </c>
      <c r="AY104" s="119">
        <v>148.35339178040672</v>
      </c>
      <c r="AZ104" s="119">
        <v>150.52833926533242</v>
      </c>
      <c r="BA104" s="119">
        <v>152.73373601504707</v>
      </c>
      <c r="BB104" s="119">
        <v>154.97000831925772</v>
      </c>
      <c r="BC104" s="119">
        <v>157.23758843572733</v>
      </c>
      <c r="BD104" s="119">
        <v>159.53691467382751</v>
      </c>
      <c r="BE104" s="119">
        <v>161.86843147926109</v>
      </c>
      <c r="BF104" s="119">
        <v>164.23258951997073</v>
      </c>
      <c r="BG104" s="119">
        <v>166.62984577325034</v>
      </c>
    </row>
    <row r="105" spans="1:59" ht="13.75" customHeight="1" outlineLevel="1">
      <c r="A105" s="171" t="s">
        <v>166</v>
      </c>
      <c r="B105" s="165" t="s">
        <v>167</v>
      </c>
      <c r="C105" s="165"/>
      <c r="D105" s="165" t="s">
        <v>168</v>
      </c>
      <c r="E105" s="167"/>
      <c r="F105" s="168" t="s">
        <v>225</v>
      </c>
      <c r="G105" s="168" t="s">
        <v>4</v>
      </c>
      <c r="H105" s="168"/>
      <c r="I105" s="168" t="s">
        <v>226</v>
      </c>
      <c r="X105" s="120">
        <v>0</v>
      </c>
      <c r="Y105" s="120">
        <v>0</v>
      </c>
      <c r="Z105" s="120">
        <v>0</v>
      </c>
      <c r="AA105" s="120">
        <v>0</v>
      </c>
      <c r="AB105" s="119">
        <v>206.05661113104881</v>
      </c>
      <c r="AC105" s="119">
        <v>118.53463662349486</v>
      </c>
      <c r="AD105" s="119">
        <v>220.11809254986301</v>
      </c>
      <c r="AE105" s="119">
        <v>315.22882914131611</v>
      </c>
      <c r="AF105" s="119">
        <v>237.01968956010873</v>
      </c>
      <c r="AG105" s="119">
        <v>210.14598139688914</v>
      </c>
      <c r="AH105" s="119">
        <v>177.11761917703268</v>
      </c>
      <c r="AI105" s="119">
        <v>174.63907389955062</v>
      </c>
      <c r="AJ105" s="119">
        <v>184.99179361073158</v>
      </c>
      <c r="AK105" s="119">
        <v>189.5875850527118</v>
      </c>
      <c r="AL105" s="119">
        <v>192.24273053649526</v>
      </c>
      <c r="AM105" s="119">
        <v>194.93506276574038</v>
      </c>
      <c r="AN105" s="119">
        <v>197.66510259022272</v>
      </c>
      <c r="AO105" s="119">
        <v>200.43048576869754</v>
      </c>
      <c r="AP105" s="119">
        <v>203.23456502909312</v>
      </c>
      <c r="AQ105" s="119">
        <v>206.07788192373062</v>
      </c>
      <c r="AR105" s="119">
        <v>208.96098558473528</v>
      </c>
      <c r="AS105" s="119">
        <v>211.88443283013476</v>
      </c>
      <c r="AT105" s="119">
        <v>214.84878827144195</v>
      </c>
      <c r="AU105" s="119">
        <v>217.85462442274428</v>
      </c>
      <c r="AV105" s="119">
        <v>220.9025218113199</v>
      </c>
      <c r="AW105" s="119">
        <v>223.99306908980213</v>
      </c>
      <c r="AX105" s="119">
        <v>227.12686314991436</v>
      </c>
      <c r="AY105" s="119">
        <v>230.30450923779671</v>
      </c>
      <c r="AZ105" s="119">
        <v>233.52662107094724</v>
      </c>
      <c r="BA105" s="119">
        <v>236.79382095680006</v>
      </c>
      <c r="BB105" s="119">
        <v>240.10673991296349</v>
      </c>
      <c r="BC105" s="119">
        <v>243.46047658263055</v>
      </c>
      <c r="BD105" s="119">
        <v>246.86116556567296</v>
      </c>
      <c r="BE105" s="119">
        <v>250.30946419447793</v>
      </c>
      <c r="BF105" s="119">
        <v>253.80603900408619</v>
      </c>
      <c r="BG105" s="119">
        <v>257.35156586102892</v>
      </c>
    </row>
    <row r="106" spans="1:59" ht="13.75" customHeight="1" outlineLevel="1">
      <c r="A106" s="171"/>
      <c r="B106" s="165"/>
      <c r="C106" s="165"/>
      <c r="D106" s="165"/>
      <c r="E106" s="167"/>
      <c r="F106" s="168"/>
      <c r="G106" s="168"/>
      <c r="H106" s="168"/>
      <c r="I106" s="168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</row>
    <row r="107" spans="1:59" ht="13.75" customHeight="1" outlineLevel="1">
      <c r="A107" s="171"/>
      <c r="B107" s="165"/>
      <c r="C107" s="165"/>
      <c r="D107" s="165"/>
      <c r="E107" s="167"/>
      <c r="F107" s="168"/>
      <c r="G107" s="168"/>
      <c r="H107" s="168"/>
      <c r="I107" s="168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</row>
    <row r="108" spans="1:59" ht="13.75" customHeight="1" outlineLevel="1">
      <c r="A108" s="171"/>
      <c r="B108" s="165"/>
      <c r="C108" s="165"/>
      <c r="D108" s="165"/>
      <c r="E108" s="167"/>
      <c r="F108" s="168"/>
      <c r="G108" s="168"/>
      <c r="H108" s="168"/>
      <c r="I108" s="168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</row>
    <row r="109" spans="1:59" ht="13.75" customHeight="1" outlineLevel="1">
      <c r="A109" s="171"/>
      <c r="B109" s="165"/>
      <c r="C109" s="165"/>
      <c r="D109" s="165"/>
      <c r="E109" s="167"/>
      <c r="F109" s="168"/>
      <c r="G109" s="168"/>
      <c r="H109" s="168"/>
      <c r="I109" s="168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</row>
    <row r="110" spans="1:59" ht="13.75" customHeight="1" outlineLevel="1">
      <c r="A110" s="171"/>
      <c r="B110" s="165"/>
      <c r="C110" s="165"/>
      <c r="D110" s="165"/>
      <c r="E110" s="167"/>
      <c r="F110" s="168"/>
      <c r="G110" s="168"/>
      <c r="H110" s="168"/>
      <c r="I110" s="168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</row>
    <row r="111" spans="1:59" ht="13.75" customHeight="1" outlineLevel="1">
      <c r="A111" s="171"/>
      <c r="B111" s="165"/>
      <c r="C111" s="165"/>
      <c r="D111" s="165"/>
      <c r="E111" s="167"/>
      <c r="F111" s="168"/>
      <c r="G111" s="168"/>
      <c r="H111" s="168"/>
      <c r="I111" s="168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</row>
    <row r="112" spans="1:59" ht="13.75" customHeight="1" outlineLevel="1">
      <c r="A112" s="171"/>
      <c r="B112" s="165"/>
      <c r="C112" s="165"/>
      <c r="D112" s="165"/>
      <c r="E112" s="167"/>
      <c r="F112" s="168"/>
      <c r="G112" s="168"/>
      <c r="H112" s="168"/>
      <c r="I112" s="168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</row>
    <row r="113" spans="1:59" ht="13.75" customHeight="1" outlineLevel="1">
      <c r="A113" s="171"/>
      <c r="B113" s="165"/>
      <c r="C113" s="165"/>
      <c r="D113" s="165"/>
      <c r="E113" s="167"/>
      <c r="F113" s="168"/>
      <c r="G113" s="168"/>
      <c r="H113" s="168"/>
      <c r="I113" s="168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</row>
    <row r="114" spans="1:59" ht="13.75" customHeight="1" outlineLevel="1">
      <c r="A114" s="171"/>
      <c r="B114" s="165"/>
      <c r="C114" s="165"/>
      <c r="D114" s="165"/>
      <c r="E114" s="167"/>
      <c r="F114" s="168"/>
      <c r="G114" s="168"/>
      <c r="H114" s="168"/>
      <c r="I114" s="168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</row>
    <row r="115" spans="1:59" ht="13.75" customHeight="1" outlineLevel="1">
      <c r="A115" s="171"/>
      <c r="B115" s="165"/>
      <c r="C115" s="165"/>
      <c r="D115" s="165"/>
      <c r="E115" s="167"/>
      <c r="F115" s="168"/>
      <c r="G115" s="168"/>
      <c r="H115" s="168"/>
      <c r="I115" s="168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</row>
    <row r="116" spans="1:59" ht="13.75" customHeight="1" outlineLevel="1">
      <c r="A116" s="171"/>
      <c r="B116" s="165"/>
      <c r="C116" s="165"/>
      <c r="D116" s="165"/>
      <c r="E116" s="167"/>
      <c r="F116" s="168"/>
      <c r="G116" s="168"/>
      <c r="H116" s="168"/>
      <c r="I116" s="168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</row>
    <row r="117" spans="1:59" ht="13.75" customHeight="1" outlineLevel="1">
      <c r="A117" s="171"/>
      <c r="B117" s="165"/>
      <c r="C117" s="165"/>
      <c r="D117" s="165"/>
      <c r="E117" s="167"/>
      <c r="F117" s="168"/>
      <c r="G117" s="168"/>
      <c r="H117" s="168"/>
      <c r="I117" s="168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</row>
    <row r="118" spans="1:59" ht="13.75" customHeight="1" outlineLevel="1">
      <c r="A118" s="171"/>
      <c r="B118" s="165"/>
      <c r="C118" s="165"/>
      <c r="D118" s="165"/>
      <c r="E118" s="167"/>
      <c r="F118" s="168"/>
      <c r="G118" s="168"/>
      <c r="H118" s="168"/>
      <c r="I118" s="168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</row>
    <row r="119" spans="1:59" ht="13.75" customHeight="1" outlineLevel="1">
      <c r="A119" s="171"/>
      <c r="B119" s="165"/>
      <c r="C119" s="165"/>
      <c r="D119" s="165"/>
      <c r="E119" s="167"/>
      <c r="F119" s="168"/>
      <c r="G119" s="168"/>
      <c r="H119" s="168"/>
      <c r="I119" s="168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</row>
    <row r="120" spans="1:59" ht="13.75" customHeight="1" outlineLevel="1">
      <c r="A120" s="171"/>
      <c r="B120" s="165"/>
      <c r="C120" s="165"/>
      <c r="D120" s="165"/>
      <c r="E120" s="167"/>
      <c r="F120" s="168"/>
      <c r="G120" s="168"/>
      <c r="H120" s="168"/>
      <c r="I120" s="168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2"/>
    </row>
    <row r="121" spans="1:59" ht="13.75" customHeight="1">
      <c r="A121" s="171" t="s">
        <v>166</v>
      </c>
      <c r="B121" s="165" t="s">
        <v>227</v>
      </c>
      <c r="C121" s="165"/>
      <c r="D121" s="165" t="s">
        <v>168</v>
      </c>
      <c r="F121" s="168" t="s">
        <v>228</v>
      </c>
      <c r="G121" s="168" t="s">
        <v>4</v>
      </c>
      <c r="I121" s="168" t="s">
        <v>229</v>
      </c>
      <c r="U121" s="112"/>
      <c r="V121" s="112"/>
      <c r="W121" s="112"/>
      <c r="X121" s="128">
        <v>273.13583333333332</v>
      </c>
      <c r="Y121" s="128">
        <v>197.9341666666667</v>
      </c>
      <c r="Z121" s="128">
        <v>221.37333333333333</v>
      </c>
      <c r="AA121" s="128">
        <v>250.93750000000003</v>
      </c>
      <c r="AB121" s="128">
        <v>239.15690000000001</v>
      </c>
      <c r="AC121" s="128">
        <v>225.57351190476189</v>
      </c>
      <c r="AD121" s="128">
        <v>482.92708333333331</v>
      </c>
      <c r="AE121" s="128">
        <v>561.79166666666663</v>
      </c>
      <c r="AF121" s="128">
        <v>315.15907928917011</v>
      </c>
      <c r="AG121" s="128">
        <v>355.70953398668496</v>
      </c>
      <c r="AH121" s="128">
        <v>331.25108758049714</v>
      </c>
      <c r="AI121" s="128">
        <v>301.17707807426558</v>
      </c>
      <c r="AJ121" s="128">
        <v>295.32714376284963</v>
      </c>
      <c r="AK121" s="128">
        <v>296.50845233790102</v>
      </c>
      <c r="AL121" s="128">
        <v>297.69448614725263</v>
      </c>
      <c r="AM121" s="128">
        <v>298.88526409184163</v>
      </c>
      <c r="AN121" s="128">
        <v>300.08080514820898</v>
      </c>
      <c r="AO121" s="128">
        <v>301.28112836880183</v>
      </c>
      <c r="AP121" s="128">
        <v>302.48625288227703</v>
      </c>
      <c r="AQ121" s="128">
        <v>303.69619789380613</v>
      </c>
      <c r="AR121" s="128">
        <v>304.91098268538133</v>
      </c>
      <c r="AS121" s="128">
        <v>306.13062661612287</v>
      </c>
      <c r="AT121" s="128">
        <v>307.35514912258736</v>
      </c>
      <c r="AU121" s="128">
        <v>308.58456971907771</v>
      </c>
      <c r="AV121" s="128">
        <v>309.818907997954</v>
      </c>
      <c r="AW121" s="128">
        <v>311.0581836299458</v>
      </c>
      <c r="AX121" s="128">
        <v>312.30241636446561</v>
      </c>
      <c r="AY121" s="128">
        <v>313.55162602992345</v>
      </c>
      <c r="AZ121" s="128">
        <v>314.80583253404313</v>
      </c>
      <c r="BA121" s="128">
        <v>316.06505586417933</v>
      </c>
      <c r="BB121" s="128">
        <v>317.32931608763607</v>
      </c>
      <c r="BC121" s="128">
        <f t="shared" ref="BC121:BG126" si="68">BB121*(1+((BB121-BA121)/BA121))</f>
        <v>318.59863335198662</v>
      </c>
      <c r="BD121" s="128">
        <f t="shared" si="68"/>
        <v>319.87302788539455</v>
      </c>
      <c r="BE121" s="128">
        <f t="shared" si="68"/>
        <v>321.15251999693612</v>
      </c>
      <c r="BF121" s="128">
        <f t="shared" si="68"/>
        <v>322.43713007692389</v>
      </c>
      <c r="BG121" s="128">
        <f t="shared" si="68"/>
        <v>323.72687859723158</v>
      </c>
    </row>
    <row r="122" spans="1:59" ht="13.75" customHeight="1">
      <c r="A122" s="171" t="s">
        <v>166</v>
      </c>
      <c r="B122" s="165" t="s">
        <v>227</v>
      </c>
      <c r="C122" s="165"/>
      <c r="D122" s="165" t="s">
        <v>168</v>
      </c>
      <c r="E122" s="167"/>
      <c r="F122" s="168" t="s">
        <v>230</v>
      </c>
      <c r="G122" s="168" t="s">
        <v>4</v>
      </c>
      <c r="H122" s="168"/>
      <c r="I122" s="168" t="s">
        <v>229</v>
      </c>
      <c r="U122" s="112"/>
      <c r="V122" s="112"/>
      <c r="W122" s="112"/>
      <c r="X122" s="128">
        <v>459</v>
      </c>
      <c r="Y122" s="128">
        <v>345</v>
      </c>
      <c r="Z122" s="128">
        <v>347.72549019607845</v>
      </c>
      <c r="AA122" s="128">
        <v>412.49019607843138</v>
      </c>
      <c r="AB122" s="128">
        <v>338.1</v>
      </c>
      <c r="AC122" s="128">
        <v>310</v>
      </c>
      <c r="AD122" s="128">
        <v>653.3125</v>
      </c>
      <c r="AE122" s="128">
        <v>835.53125</v>
      </c>
      <c r="AF122" s="128">
        <v>519.35082102237618</v>
      </c>
      <c r="AG122" s="128">
        <v>457.50157692157882</v>
      </c>
      <c r="AH122" s="128">
        <v>436.09418746094383</v>
      </c>
      <c r="AI122" s="119">
        <v>415.96801387660821</v>
      </c>
      <c r="AJ122" s="119">
        <v>419.46807165273032</v>
      </c>
      <c r="AK122" s="119">
        <v>423.71245647820746</v>
      </c>
      <c r="AL122" s="119">
        <v>427.17786107215721</v>
      </c>
      <c r="AM122" s="119">
        <v>430.57842917116989</v>
      </c>
      <c r="AN122" s="119">
        <v>433.70429331565072</v>
      </c>
      <c r="AO122" s="119">
        <v>436.73085535527497</v>
      </c>
      <c r="AP122" s="119">
        <v>439.76873504285652</v>
      </c>
      <c r="AQ122" s="119">
        <v>442.8165893557308</v>
      </c>
      <c r="AR122" s="119">
        <v>445.87357836365283</v>
      </c>
      <c r="AS122" s="119">
        <v>448.96869794383667</v>
      </c>
      <c r="AT122" s="119">
        <v>452.09668101032798</v>
      </c>
      <c r="AU122" s="119">
        <v>455.23153383568922</v>
      </c>
      <c r="AV122" s="119">
        <v>458.37328389895583</v>
      </c>
      <c r="AW122" s="119">
        <v>461.52195878907941</v>
      </c>
      <c r="AX122" s="119">
        <v>464.67758620536745</v>
      </c>
      <c r="AY122" s="119">
        <v>467.84019395792461</v>
      </c>
      <c r="AZ122" s="119">
        <v>471.08443568814067</v>
      </c>
      <c r="BA122" s="119">
        <v>474.41428755165867</v>
      </c>
      <c r="BB122" s="119">
        <v>477.83393469426727</v>
      </c>
      <c r="BC122" s="119">
        <f t="shared" si="68"/>
        <v>481.2782311505386</v>
      </c>
      <c r="BD122" s="119">
        <f t="shared" si="68"/>
        <v>484.74735459630841</v>
      </c>
      <c r="BE122" s="119">
        <f t="shared" si="68"/>
        <v>488.24148398812576</v>
      </c>
      <c r="BF122" s="119">
        <f t="shared" si="68"/>
        <v>491.76079957248442</v>
      </c>
      <c r="BG122" s="119">
        <f t="shared" si="68"/>
        <v>495.30548289512114</v>
      </c>
    </row>
    <row r="123" spans="1:59" ht="13.75" customHeight="1">
      <c r="A123" s="171" t="s">
        <v>166</v>
      </c>
      <c r="B123" s="165" t="s">
        <v>227</v>
      </c>
      <c r="C123" s="165"/>
      <c r="D123" s="165" t="s">
        <v>168</v>
      </c>
      <c r="E123" s="167"/>
      <c r="F123" s="168" t="s">
        <v>231</v>
      </c>
      <c r="G123" s="168" t="s">
        <v>4</v>
      </c>
      <c r="H123" s="168"/>
      <c r="I123" s="168"/>
      <c r="U123" s="112"/>
      <c r="V123" s="112"/>
      <c r="W123" s="112"/>
      <c r="X123" s="128">
        <v>123.48039215686275</v>
      </c>
      <c r="Y123" s="128">
        <v>107.12745098039215</v>
      </c>
      <c r="Z123" s="128">
        <v>81.666666666666671</v>
      </c>
      <c r="AA123" s="128">
        <v>82.303921568627445</v>
      </c>
      <c r="AB123" s="119">
        <v>81.5</v>
      </c>
      <c r="AC123" s="119">
        <v>76.884615384615387</v>
      </c>
      <c r="AD123" s="119">
        <v>113.27291666666667</v>
      </c>
      <c r="AE123" s="119">
        <v>279.5</v>
      </c>
      <c r="AF123" s="119">
        <v>242.33333333333334</v>
      </c>
      <c r="AG123" s="119">
        <v>115.85000000000002</v>
      </c>
      <c r="AH123" s="119">
        <v>104.91181816883574</v>
      </c>
      <c r="AI123" s="119">
        <v>102.25201165105376</v>
      </c>
      <c r="AJ123" s="119">
        <v>102.66101969765798</v>
      </c>
      <c r="AK123" s="119">
        <v>103.07166377644862</v>
      </c>
      <c r="AL123" s="119">
        <v>103.4839504315544</v>
      </c>
      <c r="AM123" s="119">
        <v>103.89788623328062</v>
      </c>
      <c r="AN123" s="119">
        <v>104.31347777821374</v>
      </c>
      <c r="AO123" s="119">
        <v>104.73073168932659</v>
      </c>
      <c r="AP123" s="119">
        <v>105.14965461608389</v>
      </c>
      <c r="AQ123" s="119">
        <v>105.57025323454823</v>
      </c>
      <c r="AR123" s="119">
        <v>105.99253424748643</v>
      </c>
      <c r="AS123" s="119">
        <v>106.41650438447638</v>
      </c>
      <c r="AT123" s="119">
        <v>106.84217040201429</v>
      </c>
      <c r="AU123" s="119">
        <v>107.26953908362235</v>
      </c>
      <c r="AV123" s="119">
        <v>107.69861723995683</v>
      </c>
      <c r="AW123" s="119">
        <v>108.12941170891666</v>
      </c>
      <c r="AX123" s="119">
        <v>108.56192935575233</v>
      </c>
      <c r="AY123" s="119">
        <v>108.99617707317533</v>
      </c>
      <c r="AZ123" s="119">
        <v>109.43216178146804</v>
      </c>
      <c r="BA123" s="119">
        <v>109.86989042859391</v>
      </c>
      <c r="BB123" s="119">
        <v>110.30936999030828</v>
      </c>
      <c r="BC123" s="119">
        <f t="shared" si="68"/>
        <v>110.75060747026951</v>
      </c>
      <c r="BD123" s="119">
        <f t="shared" si="68"/>
        <v>111.19360990015059</v>
      </c>
      <c r="BE123" s="119">
        <f t="shared" si="68"/>
        <v>111.6383843397512</v>
      </c>
      <c r="BF123" s="119">
        <f t="shared" si="68"/>
        <v>112.08493787711021</v>
      </c>
      <c r="BG123" s="119">
        <f t="shared" si="68"/>
        <v>112.53327762861865</v>
      </c>
    </row>
    <row r="124" spans="1:59" ht="13.75" customHeight="1">
      <c r="A124" s="171" t="s">
        <v>166</v>
      </c>
      <c r="B124" s="165" t="s">
        <v>227</v>
      </c>
      <c r="C124" s="165"/>
      <c r="D124" s="165" t="s">
        <v>168</v>
      </c>
      <c r="E124" s="167"/>
      <c r="F124" s="168" t="s">
        <v>232</v>
      </c>
      <c r="G124" s="168" t="s">
        <v>4</v>
      </c>
      <c r="H124" s="168"/>
      <c r="I124" s="168" t="s">
        <v>229</v>
      </c>
      <c r="U124" s="112"/>
      <c r="V124" s="112"/>
      <c r="W124" s="112"/>
      <c r="X124" s="128">
        <v>380.76916666666665</v>
      </c>
      <c r="Y124" s="128">
        <v>233.97833333333335</v>
      </c>
      <c r="Z124" s="128">
        <v>263.95416666666671</v>
      </c>
      <c r="AA124" s="128">
        <v>283.23666666666668</v>
      </c>
      <c r="AB124" s="128">
        <v>230.45099999999999</v>
      </c>
      <c r="AC124" s="128">
        <v>203.54999999999998</v>
      </c>
      <c r="AD124" s="128">
        <v>558</v>
      </c>
      <c r="AE124" s="128">
        <v>1126.5311749396171</v>
      </c>
      <c r="AF124" s="128">
        <v>471.14114067082141</v>
      </c>
      <c r="AG124" s="128">
        <v>490.22242537905913</v>
      </c>
      <c r="AH124" s="128">
        <v>457.68260438833539</v>
      </c>
      <c r="AI124" s="128">
        <v>421.31094616378726</v>
      </c>
      <c r="AJ124" s="128">
        <v>426.75724591174537</v>
      </c>
      <c r="AK124" s="128">
        <v>446.27889134164019</v>
      </c>
      <c r="AL124" s="128">
        <v>460.35374000279228</v>
      </c>
      <c r="AM124" s="128">
        <v>473.93863056618204</v>
      </c>
      <c r="AN124" s="128">
        <v>485.57667629314926</v>
      </c>
      <c r="AO124" s="128">
        <v>496.48521207071451</v>
      </c>
      <c r="AP124" s="128">
        <v>507.43190817822909</v>
      </c>
      <c r="AQ124" s="128">
        <v>518.40728086852653</v>
      </c>
      <c r="AR124" s="128">
        <v>529.40533780134706</v>
      </c>
      <c r="AS124" s="128">
        <v>540.62718159220276</v>
      </c>
      <c r="AT124" s="128">
        <v>552.03608893130581</v>
      </c>
      <c r="AU124" s="128">
        <v>563.4514685785457</v>
      </c>
      <c r="AV124" s="128">
        <v>574.87334642315477</v>
      </c>
      <c r="AW124" s="128">
        <v>586.30174845792271</v>
      </c>
      <c r="AX124" s="128">
        <v>597.73670077960992</v>
      </c>
      <c r="AY124" s="128">
        <v>609.17822958936426</v>
      </c>
      <c r="AZ124" s="128">
        <v>621.14435148521329</v>
      </c>
      <c r="BA124" s="128">
        <v>633.66249749411418</v>
      </c>
      <c r="BB124" s="128">
        <v>646.76154860782162</v>
      </c>
      <c r="BC124" s="128">
        <f t="shared" si="68"/>
        <v>660.13138289199924</v>
      </c>
      <c r="BD124" s="128">
        <f t="shared" si="68"/>
        <v>673.7775979677856</v>
      </c>
      <c r="BE124" s="128">
        <f t="shared" si="68"/>
        <v>687.7059071701666</v>
      </c>
      <c r="BF124" s="128">
        <f t="shared" si="68"/>
        <v>701.92214194000826</v>
      </c>
      <c r="BG124" s="128">
        <f t="shared" si="68"/>
        <v>716.43225426553772</v>
      </c>
    </row>
    <row r="125" spans="1:59" ht="13.75" customHeight="1">
      <c r="A125" s="171" t="s">
        <v>166</v>
      </c>
      <c r="B125" s="165" t="s">
        <v>227</v>
      </c>
      <c r="C125" s="165"/>
      <c r="D125" s="165" t="s">
        <v>168</v>
      </c>
      <c r="E125" s="167"/>
      <c r="F125" s="168" t="s">
        <v>233</v>
      </c>
      <c r="G125" s="168" t="s">
        <v>4</v>
      </c>
      <c r="H125" s="168"/>
      <c r="I125" s="168" t="s">
        <v>229</v>
      </c>
      <c r="U125" s="112"/>
      <c r="V125" s="112"/>
      <c r="W125" s="112"/>
      <c r="X125" s="128">
        <v>224</v>
      </c>
      <c r="Y125" s="128">
        <v>162.92583006443252</v>
      </c>
      <c r="Z125" s="128">
        <v>190.91176470588235</v>
      </c>
      <c r="AA125" s="128">
        <v>187</v>
      </c>
      <c r="AB125" s="128">
        <v>184.40199999999999</v>
      </c>
      <c r="AC125" s="128">
        <v>166.27470238095239</v>
      </c>
      <c r="AD125" s="128">
        <v>350</v>
      </c>
      <c r="AE125" s="128">
        <v>513.77083333333337</v>
      </c>
      <c r="AF125" s="128">
        <v>279.28897840718037</v>
      </c>
      <c r="AG125" s="128">
        <v>286.20788483829512</v>
      </c>
      <c r="AH125" s="128">
        <v>272.61925559256878</v>
      </c>
      <c r="AI125" s="128">
        <v>257.7295100551566</v>
      </c>
      <c r="AJ125" s="128">
        <v>260.16608667146056</v>
      </c>
      <c r="AK125" s="128">
        <v>268.87117902409028</v>
      </c>
      <c r="AL125" s="128">
        <v>275.23410704883855</v>
      </c>
      <c r="AM125" s="128">
        <v>281.3874690273247</v>
      </c>
      <c r="AN125" s="119">
        <v>286.70446977057344</v>
      </c>
      <c r="AO125" s="119">
        <v>291.70885132033629</v>
      </c>
      <c r="AP125" s="119">
        <v>296.73089538365917</v>
      </c>
      <c r="AQ125" s="119">
        <v>301.76652672252669</v>
      </c>
      <c r="AR125" s="119">
        <v>306.81317223576355</v>
      </c>
      <c r="AS125" s="119">
        <v>311.9573578347887</v>
      </c>
      <c r="AT125" s="119">
        <v>317.18328899486232</v>
      </c>
      <c r="AU125" s="119">
        <v>322.41327454370276</v>
      </c>
      <c r="AV125" s="119">
        <v>327.64733069886495</v>
      </c>
      <c r="AW125" s="119">
        <v>332.88547374277414</v>
      </c>
      <c r="AX125" s="119">
        <v>338.12772002298544</v>
      </c>
      <c r="AY125" s="119">
        <v>343.37408595244398</v>
      </c>
      <c r="AZ125" s="119">
        <v>348.84744429819779</v>
      </c>
      <c r="BA125" s="119">
        <v>354.55960196271059</v>
      </c>
      <c r="BB125" s="119">
        <v>360.52298969123638</v>
      </c>
      <c r="BC125" s="119">
        <f t="shared" si="68"/>
        <v>366.58667647527744</v>
      </c>
      <c r="BD125" s="119">
        <f t="shared" si="68"/>
        <v>372.75234925873133</v>
      </c>
      <c r="BE125" s="119">
        <f t="shared" si="68"/>
        <v>379.02172335844182</v>
      </c>
      <c r="BF125" s="119">
        <f t="shared" si="68"/>
        <v>385.39654294140757</v>
      </c>
      <c r="BG125" s="119">
        <f t="shared" si="68"/>
        <v>391.87858151001689</v>
      </c>
    </row>
    <row r="126" spans="1:59" ht="13.75" customHeight="1">
      <c r="A126" s="171" t="s">
        <v>166</v>
      </c>
      <c r="B126" s="165" t="s">
        <v>227</v>
      </c>
      <c r="C126" s="165"/>
      <c r="D126" s="165" t="s">
        <v>168</v>
      </c>
      <c r="E126" s="167"/>
      <c r="F126" s="168" t="s">
        <v>234</v>
      </c>
      <c r="G126" s="168" t="s">
        <v>4</v>
      </c>
      <c r="H126" s="168"/>
      <c r="I126" s="168" t="s">
        <v>229</v>
      </c>
      <c r="U126" s="112"/>
      <c r="V126" s="112"/>
      <c r="W126" s="128">
        <v>321</v>
      </c>
      <c r="X126" s="128">
        <v>323</v>
      </c>
      <c r="Y126" s="128">
        <v>255</v>
      </c>
      <c r="Z126" s="128">
        <v>251.33333333333334</v>
      </c>
      <c r="AA126" s="128">
        <v>287.19607843137254</v>
      </c>
      <c r="AB126" s="128">
        <v>295.89999999999998</v>
      </c>
      <c r="AC126" s="128">
        <v>241.7</v>
      </c>
      <c r="AD126" s="128">
        <v>406.875</v>
      </c>
      <c r="AE126" s="128">
        <v>791.84375</v>
      </c>
      <c r="AF126" s="128">
        <v>414.97806976571701</v>
      </c>
      <c r="AG126" s="119">
        <v>374.5531779025992</v>
      </c>
      <c r="AH126" s="119">
        <v>347.37757425299804</v>
      </c>
      <c r="AI126" s="119">
        <v>322.44817727071211</v>
      </c>
      <c r="AJ126" s="119">
        <v>323.73796997979497</v>
      </c>
      <c r="AK126" s="119">
        <v>325.03292185971412</v>
      </c>
      <c r="AL126" s="119">
        <v>326.33305354715299</v>
      </c>
      <c r="AM126" s="119">
        <v>327.63838576134162</v>
      </c>
      <c r="AN126" s="119">
        <v>328.94893930438701</v>
      </c>
      <c r="AO126" s="119">
        <v>330.26473506160454</v>
      </c>
      <c r="AP126" s="119">
        <v>331.58579400185096</v>
      </c>
      <c r="AQ126" s="119">
        <v>332.91213717785837</v>
      </c>
      <c r="AR126" s="119">
        <v>334.2437857265698</v>
      </c>
      <c r="AS126" s="119">
        <v>335.58076086947608</v>
      </c>
      <c r="AT126" s="119">
        <v>336.92308391295398</v>
      </c>
      <c r="AU126" s="119">
        <v>338.27077624860578</v>
      </c>
      <c r="AV126" s="119">
        <v>339.62385935360021</v>
      </c>
      <c r="AW126" s="119">
        <v>340.98235479101459</v>
      </c>
      <c r="AX126" s="119">
        <v>342.34628421017862</v>
      </c>
      <c r="AY126" s="119">
        <v>343.71566934701934</v>
      </c>
      <c r="AZ126" s="119">
        <v>345.09053202440742</v>
      </c>
      <c r="BA126" s="119">
        <v>346.47089415250508</v>
      </c>
      <c r="BB126" s="119">
        <v>347.85677772911509</v>
      </c>
      <c r="BC126" s="119">
        <f t="shared" si="68"/>
        <v>349.24820484003158</v>
      </c>
      <c r="BD126" s="119">
        <f t="shared" si="68"/>
        <v>350.64519765939173</v>
      </c>
      <c r="BE126" s="119">
        <f t="shared" si="68"/>
        <v>352.04777845002928</v>
      </c>
      <c r="BF126" s="119">
        <f>BE126*(1+((BE126-BD126)/BD126))</f>
        <v>353.4559695638294</v>
      </c>
      <c r="BG126" s="119">
        <f>BF126*(1+((BF126-BE126)/BE126))</f>
        <v>354.8697934420847</v>
      </c>
    </row>
    <row r="127" spans="1:59" ht="13.75" customHeight="1">
      <c r="A127" s="171" t="s">
        <v>166</v>
      </c>
      <c r="B127" s="165" t="s">
        <v>227</v>
      </c>
      <c r="C127" s="165"/>
      <c r="D127" s="165" t="s">
        <v>168</v>
      </c>
      <c r="E127" s="167"/>
      <c r="F127" s="168" t="s">
        <v>235</v>
      </c>
      <c r="G127" s="168" t="s">
        <v>4</v>
      </c>
      <c r="H127" s="168"/>
      <c r="I127" s="168"/>
      <c r="X127" s="128">
        <v>294</v>
      </c>
      <c r="Y127" s="128">
        <v>235</v>
      </c>
      <c r="Z127" s="128">
        <v>235</v>
      </c>
      <c r="AA127" s="119">
        <v>270</v>
      </c>
      <c r="AB127" s="119">
        <v>265</v>
      </c>
      <c r="AC127" s="119">
        <v>239.12</v>
      </c>
      <c r="AD127" s="119">
        <v>312</v>
      </c>
      <c r="AE127" s="119">
        <f>AE126</f>
        <v>791.84375</v>
      </c>
      <c r="AF127" s="119">
        <f t="shared" ref="AF127:BG127" si="69">AF126</f>
        <v>414.97806976571701</v>
      </c>
      <c r="AG127" s="119">
        <f t="shared" si="69"/>
        <v>374.5531779025992</v>
      </c>
      <c r="AH127" s="119">
        <f t="shared" si="69"/>
        <v>347.37757425299804</v>
      </c>
      <c r="AI127" s="119">
        <f t="shared" si="69"/>
        <v>322.44817727071211</v>
      </c>
      <c r="AJ127" s="119">
        <f t="shared" si="69"/>
        <v>323.73796997979497</v>
      </c>
      <c r="AK127" s="119">
        <f t="shared" si="69"/>
        <v>325.03292185971412</v>
      </c>
      <c r="AL127" s="119">
        <f t="shared" si="69"/>
        <v>326.33305354715299</v>
      </c>
      <c r="AM127" s="119">
        <f t="shared" si="69"/>
        <v>327.63838576134162</v>
      </c>
      <c r="AN127" s="119">
        <f t="shared" si="69"/>
        <v>328.94893930438701</v>
      </c>
      <c r="AO127" s="119">
        <f t="shared" si="69"/>
        <v>330.26473506160454</v>
      </c>
      <c r="AP127" s="119">
        <f t="shared" si="69"/>
        <v>331.58579400185096</v>
      </c>
      <c r="AQ127" s="119">
        <f t="shared" si="69"/>
        <v>332.91213717785837</v>
      </c>
      <c r="AR127" s="119">
        <f t="shared" si="69"/>
        <v>334.2437857265698</v>
      </c>
      <c r="AS127" s="119">
        <f t="shared" si="69"/>
        <v>335.58076086947608</v>
      </c>
      <c r="AT127" s="119">
        <f t="shared" si="69"/>
        <v>336.92308391295398</v>
      </c>
      <c r="AU127" s="119">
        <f t="shared" si="69"/>
        <v>338.27077624860578</v>
      </c>
      <c r="AV127" s="119">
        <f t="shared" si="69"/>
        <v>339.62385935360021</v>
      </c>
      <c r="AW127" s="119">
        <f t="shared" si="69"/>
        <v>340.98235479101459</v>
      </c>
      <c r="AX127" s="119">
        <f t="shared" si="69"/>
        <v>342.34628421017862</v>
      </c>
      <c r="AY127" s="119">
        <f t="shared" si="69"/>
        <v>343.71566934701934</v>
      </c>
      <c r="AZ127" s="119">
        <f t="shared" si="69"/>
        <v>345.09053202440742</v>
      </c>
      <c r="BA127" s="119">
        <f t="shared" si="69"/>
        <v>346.47089415250508</v>
      </c>
      <c r="BB127" s="119">
        <f t="shared" si="69"/>
        <v>347.85677772911509</v>
      </c>
      <c r="BC127" s="119">
        <f t="shared" si="69"/>
        <v>349.24820484003158</v>
      </c>
      <c r="BD127" s="119">
        <f t="shared" si="69"/>
        <v>350.64519765939173</v>
      </c>
      <c r="BE127" s="119">
        <f t="shared" si="69"/>
        <v>352.04777845002928</v>
      </c>
      <c r="BF127" s="119">
        <f t="shared" si="69"/>
        <v>353.4559695638294</v>
      </c>
      <c r="BG127" s="119">
        <f t="shared" si="69"/>
        <v>354.8697934420847</v>
      </c>
    </row>
    <row r="128" spans="1:59" ht="13.75" customHeight="1">
      <c r="A128" s="171" t="s">
        <v>166</v>
      </c>
      <c r="B128" s="165" t="s">
        <v>227</v>
      </c>
      <c r="C128" s="165"/>
      <c r="D128" s="165" t="s">
        <v>168</v>
      </c>
      <c r="E128" s="167"/>
      <c r="F128" s="168" t="s">
        <v>236</v>
      </c>
      <c r="G128" s="168" t="s">
        <v>237</v>
      </c>
      <c r="H128" s="168"/>
      <c r="I128" s="168"/>
      <c r="X128" s="120">
        <v>1</v>
      </c>
      <c r="Y128" s="120">
        <v>1</v>
      </c>
      <c r="Z128" s="120">
        <v>1</v>
      </c>
      <c r="AA128" s="120">
        <v>1</v>
      </c>
      <c r="AB128" s="120">
        <v>1</v>
      </c>
      <c r="AC128" s="120">
        <v>1</v>
      </c>
      <c r="AD128" s="116">
        <v>3.5</v>
      </c>
      <c r="AE128" s="116">
        <v>8.75</v>
      </c>
      <c r="AF128" s="116">
        <v>8.75</v>
      </c>
      <c r="AG128" s="116">
        <v>8.75</v>
      </c>
      <c r="AH128" s="116">
        <v>8.75</v>
      </c>
      <c r="AI128" s="116">
        <v>8.75</v>
      </c>
      <c r="AJ128" s="116">
        <v>8.75</v>
      </c>
      <c r="AK128" s="116">
        <v>8.75</v>
      </c>
      <c r="AL128" s="116">
        <v>8.75</v>
      </c>
      <c r="AM128" s="116">
        <v>8.75</v>
      </c>
      <c r="AN128" s="116">
        <v>8.75</v>
      </c>
      <c r="AO128" s="116">
        <v>8.75</v>
      </c>
      <c r="AP128" s="116">
        <v>8.75</v>
      </c>
      <c r="AQ128" s="116">
        <v>8.75</v>
      </c>
      <c r="AR128" s="116">
        <v>8.75</v>
      </c>
      <c r="AS128" s="116">
        <v>8.75</v>
      </c>
      <c r="AT128" s="116">
        <v>8.75</v>
      </c>
      <c r="AU128" s="116">
        <v>8.75</v>
      </c>
      <c r="AV128" s="116">
        <v>8.75</v>
      </c>
      <c r="AW128" s="116">
        <v>8.75</v>
      </c>
      <c r="AX128" s="116">
        <v>8.75</v>
      </c>
      <c r="AY128" s="116">
        <v>8.75</v>
      </c>
      <c r="AZ128" s="116">
        <f>AY128</f>
        <v>8.75</v>
      </c>
      <c r="BA128" s="116">
        <f t="shared" ref="BA128:BG133" si="70">AZ128</f>
        <v>8.75</v>
      </c>
      <c r="BB128" s="116">
        <f t="shared" si="70"/>
        <v>8.75</v>
      </c>
      <c r="BC128" s="116">
        <f t="shared" si="70"/>
        <v>8.75</v>
      </c>
      <c r="BD128" s="116">
        <f t="shared" si="70"/>
        <v>8.75</v>
      </c>
      <c r="BE128" s="116">
        <f t="shared" si="70"/>
        <v>8.75</v>
      </c>
      <c r="BF128" s="116">
        <f t="shared" si="70"/>
        <v>8.75</v>
      </c>
      <c r="BG128" s="116">
        <f t="shared" si="70"/>
        <v>8.75</v>
      </c>
    </row>
    <row r="129" spans="1:59" ht="13.75" customHeight="1">
      <c r="A129" s="171" t="s">
        <v>166</v>
      </c>
      <c r="B129" s="165" t="s">
        <v>227</v>
      </c>
      <c r="C129" s="165"/>
      <c r="D129" s="165" t="s">
        <v>168</v>
      </c>
      <c r="E129" s="167"/>
      <c r="F129" s="168" t="s">
        <v>238</v>
      </c>
      <c r="G129" s="168" t="s">
        <v>3</v>
      </c>
      <c r="H129" s="168"/>
      <c r="I129" s="168"/>
      <c r="X129" s="123">
        <v>0.31900000000000001</v>
      </c>
      <c r="Y129" s="123">
        <v>0.31900000000000001</v>
      </c>
      <c r="Z129" s="123">
        <v>0.31900000000000001</v>
      </c>
      <c r="AA129" s="123">
        <v>0.31900000000000001</v>
      </c>
      <c r="AB129" s="123">
        <v>0.31900000000000001</v>
      </c>
      <c r="AC129" s="123">
        <v>0.31900000000000001</v>
      </c>
      <c r="AD129" s="123">
        <v>0.31900000000000001</v>
      </c>
      <c r="AE129" s="123">
        <v>0.31900000000000001</v>
      </c>
      <c r="AF129" s="123">
        <v>0.31900000000000001</v>
      </c>
      <c r="AG129" s="123">
        <v>0.31900000000000001</v>
      </c>
      <c r="AH129" s="123">
        <v>0.31900000000000001</v>
      </c>
      <c r="AI129" s="123">
        <v>0.31900000000000001</v>
      </c>
      <c r="AJ129" s="123">
        <v>0.31900000000000001</v>
      </c>
      <c r="AK129" s="123">
        <v>0.31900000000000001</v>
      </c>
      <c r="AL129" s="123">
        <v>0.31900000000000001</v>
      </c>
      <c r="AM129" s="123">
        <v>0.31900000000000001</v>
      </c>
      <c r="AN129" s="123">
        <v>0.31900000000000001</v>
      </c>
      <c r="AO129" s="123">
        <v>0.31900000000000001</v>
      </c>
      <c r="AP129" s="123">
        <v>0.31900000000000001</v>
      </c>
      <c r="AQ129" s="123">
        <v>0.31900000000000001</v>
      </c>
      <c r="AR129" s="123">
        <v>0.31900000000000001</v>
      </c>
      <c r="AS129" s="123">
        <v>0.31900000000000001</v>
      </c>
      <c r="AT129" s="123">
        <v>0.31900000000000001</v>
      </c>
      <c r="AU129" s="123">
        <v>0.31900000000000001</v>
      </c>
      <c r="AV129" s="123">
        <v>0.31900000000000001</v>
      </c>
      <c r="AW129" s="123">
        <v>0.31900000000000001</v>
      </c>
      <c r="AX129" s="123">
        <v>0.31900000000000001</v>
      </c>
      <c r="AY129" s="123">
        <v>0.31900000000000001</v>
      </c>
      <c r="AZ129" s="124">
        <f t="shared" ref="AZ129:BB133" si="71">AY129</f>
        <v>0.31900000000000001</v>
      </c>
      <c r="BA129" s="124">
        <f t="shared" si="71"/>
        <v>0.31900000000000001</v>
      </c>
      <c r="BB129" s="124">
        <f t="shared" si="71"/>
        <v>0.31900000000000001</v>
      </c>
      <c r="BC129" s="124">
        <f t="shared" si="70"/>
        <v>0.31900000000000001</v>
      </c>
      <c r="BD129" s="124">
        <f t="shared" si="70"/>
        <v>0.31900000000000001</v>
      </c>
      <c r="BE129" s="124">
        <f t="shared" si="70"/>
        <v>0.31900000000000001</v>
      </c>
      <c r="BF129" s="124">
        <f t="shared" si="70"/>
        <v>0.31900000000000001</v>
      </c>
      <c r="BG129" s="124">
        <f t="shared" si="70"/>
        <v>0.31900000000000001</v>
      </c>
    </row>
    <row r="130" spans="1:59" ht="13.75" customHeight="1">
      <c r="A130" s="171" t="s">
        <v>166</v>
      </c>
      <c r="B130" s="165" t="s">
        <v>227</v>
      </c>
      <c r="C130" s="165"/>
      <c r="D130" s="165" t="s">
        <v>168</v>
      </c>
      <c r="E130" s="167"/>
      <c r="F130" s="168" t="s">
        <v>239</v>
      </c>
      <c r="G130" s="168" t="s">
        <v>3</v>
      </c>
      <c r="H130" s="168"/>
      <c r="I130" s="168"/>
      <c r="X130" s="123">
        <v>0.34</v>
      </c>
      <c r="Y130" s="123">
        <v>0.34</v>
      </c>
      <c r="Z130" s="123">
        <v>0.34</v>
      </c>
      <c r="AA130" s="123">
        <v>0.34</v>
      </c>
      <c r="AB130" s="123">
        <v>0.34</v>
      </c>
      <c r="AC130" s="123">
        <v>0.34</v>
      </c>
      <c r="AD130" s="123">
        <v>0.34</v>
      </c>
      <c r="AE130" s="123">
        <v>0.34</v>
      </c>
      <c r="AF130" s="123">
        <v>0.34</v>
      </c>
      <c r="AG130" s="123">
        <v>0.34</v>
      </c>
      <c r="AH130" s="123">
        <v>0.34</v>
      </c>
      <c r="AI130" s="123">
        <v>0.34</v>
      </c>
      <c r="AJ130" s="123">
        <v>0.34</v>
      </c>
      <c r="AK130" s="123">
        <v>0.34</v>
      </c>
      <c r="AL130" s="123">
        <v>0.34</v>
      </c>
      <c r="AM130" s="123">
        <v>0.34</v>
      </c>
      <c r="AN130" s="123">
        <v>0.34</v>
      </c>
      <c r="AO130" s="123">
        <v>0.34</v>
      </c>
      <c r="AP130" s="123">
        <v>0.34</v>
      </c>
      <c r="AQ130" s="123">
        <v>0.34</v>
      </c>
      <c r="AR130" s="123">
        <v>0.34</v>
      </c>
      <c r="AS130" s="123">
        <v>0.34</v>
      </c>
      <c r="AT130" s="123">
        <v>0.34</v>
      </c>
      <c r="AU130" s="123">
        <v>0.34</v>
      </c>
      <c r="AV130" s="123">
        <v>0.34</v>
      </c>
      <c r="AW130" s="123">
        <v>0.34</v>
      </c>
      <c r="AX130" s="123">
        <v>0.34</v>
      </c>
      <c r="AY130" s="123">
        <v>0.34</v>
      </c>
      <c r="AZ130" s="124">
        <f t="shared" si="71"/>
        <v>0.34</v>
      </c>
      <c r="BA130" s="124">
        <f t="shared" si="71"/>
        <v>0.34</v>
      </c>
      <c r="BB130" s="124">
        <f t="shared" si="71"/>
        <v>0.34</v>
      </c>
      <c r="BC130" s="124">
        <f t="shared" si="70"/>
        <v>0.34</v>
      </c>
      <c r="BD130" s="124">
        <f t="shared" si="70"/>
        <v>0.34</v>
      </c>
      <c r="BE130" s="124">
        <f t="shared" si="70"/>
        <v>0.34</v>
      </c>
      <c r="BF130" s="124">
        <f t="shared" si="70"/>
        <v>0.34</v>
      </c>
      <c r="BG130" s="124">
        <f t="shared" si="70"/>
        <v>0.34</v>
      </c>
    </row>
    <row r="131" spans="1:59" ht="13.75" customHeight="1">
      <c r="A131" s="171" t="s">
        <v>166</v>
      </c>
      <c r="B131" s="165" t="s">
        <v>227</v>
      </c>
      <c r="C131" s="165"/>
      <c r="D131" s="165" t="s">
        <v>168</v>
      </c>
      <c r="E131" s="167"/>
      <c r="F131" s="168" t="s">
        <v>240</v>
      </c>
      <c r="G131" s="168" t="s">
        <v>3</v>
      </c>
      <c r="H131" s="168"/>
      <c r="I131" s="168" t="s">
        <v>241</v>
      </c>
      <c r="X131" s="114"/>
      <c r="Y131" s="123"/>
      <c r="Z131" s="123"/>
      <c r="AA131" s="123"/>
      <c r="AB131" s="123"/>
      <c r="AC131" s="123"/>
      <c r="AD131" s="114">
        <v>0.2094</v>
      </c>
      <c r="AE131" s="114">
        <v>0.2094</v>
      </c>
      <c r="AF131" s="114">
        <v>0.2094</v>
      </c>
      <c r="AG131" s="114">
        <v>0.2094</v>
      </c>
      <c r="AH131" s="114">
        <v>0.2094</v>
      </c>
      <c r="AI131" s="114">
        <v>0.2094</v>
      </c>
      <c r="AJ131" s="114">
        <v>0.2094</v>
      </c>
      <c r="AK131" s="114">
        <v>0.2094</v>
      </c>
      <c r="AL131" s="114">
        <v>0.2094</v>
      </c>
      <c r="AM131" s="114">
        <v>0.2094</v>
      </c>
      <c r="AN131" s="114">
        <v>0.2094</v>
      </c>
      <c r="AO131" s="114">
        <v>0.2094</v>
      </c>
      <c r="AP131" s="114">
        <v>0.2094</v>
      </c>
      <c r="AQ131" s="114">
        <v>0.2094</v>
      </c>
      <c r="AR131" s="114">
        <v>0.2094</v>
      </c>
      <c r="AS131" s="114">
        <v>0.2094</v>
      </c>
      <c r="AT131" s="114">
        <v>0.2094</v>
      </c>
      <c r="AU131" s="114">
        <v>0.2094</v>
      </c>
      <c r="AV131" s="114">
        <v>0.2094</v>
      </c>
      <c r="AW131" s="114">
        <v>0.2094</v>
      </c>
      <c r="AX131" s="114">
        <v>0.2094</v>
      </c>
      <c r="AY131" s="114">
        <v>0.2094</v>
      </c>
      <c r="AZ131" s="124">
        <f t="shared" si="71"/>
        <v>0.2094</v>
      </c>
      <c r="BA131" s="124">
        <f t="shared" si="71"/>
        <v>0.2094</v>
      </c>
      <c r="BB131" s="124">
        <f t="shared" si="71"/>
        <v>0.2094</v>
      </c>
      <c r="BC131" s="124">
        <f t="shared" si="70"/>
        <v>0.2094</v>
      </c>
      <c r="BD131" s="124">
        <f t="shared" si="70"/>
        <v>0.2094</v>
      </c>
      <c r="BE131" s="124">
        <f t="shared" si="70"/>
        <v>0.2094</v>
      </c>
      <c r="BF131" s="124">
        <f t="shared" si="70"/>
        <v>0.2094</v>
      </c>
      <c r="BG131" s="124">
        <f t="shared" si="70"/>
        <v>0.2094</v>
      </c>
    </row>
    <row r="132" spans="1:59" ht="13.75" customHeight="1">
      <c r="A132" s="171" t="s">
        <v>166</v>
      </c>
      <c r="B132" s="165" t="s">
        <v>227</v>
      </c>
      <c r="C132" s="165"/>
      <c r="D132" s="165" t="s">
        <v>168</v>
      </c>
      <c r="E132" s="167"/>
      <c r="F132" s="168" t="s">
        <v>242</v>
      </c>
      <c r="G132" s="168" t="s">
        <v>3</v>
      </c>
      <c r="H132" s="168"/>
      <c r="I132" s="168" t="s">
        <v>241</v>
      </c>
      <c r="X132" s="114"/>
      <c r="Y132" s="123"/>
      <c r="Z132" s="123"/>
      <c r="AA132" s="123"/>
      <c r="AB132" s="123"/>
      <c r="AC132" s="123"/>
      <c r="AD132" s="114">
        <v>0.72499999999999998</v>
      </c>
      <c r="AE132" s="114">
        <v>0.72499999999999998</v>
      </c>
      <c r="AF132" s="114">
        <v>0.72499999999999998</v>
      </c>
      <c r="AG132" s="114">
        <v>0.72499999999999998</v>
      </c>
      <c r="AH132" s="114">
        <v>0.72499999999999998</v>
      </c>
      <c r="AI132" s="114">
        <v>0.72499999999999998</v>
      </c>
      <c r="AJ132" s="114">
        <v>0.72499999999999998</v>
      </c>
      <c r="AK132" s="114">
        <v>0.72499999999999998</v>
      </c>
      <c r="AL132" s="114">
        <v>0.72499999999999998</v>
      </c>
      <c r="AM132" s="114">
        <v>0.72499999999999998</v>
      </c>
      <c r="AN132" s="114">
        <v>0.72499999999999998</v>
      </c>
      <c r="AO132" s="114">
        <v>0.72499999999999998</v>
      </c>
      <c r="AP132" s="114">
        <v>0.72499999999999998</v>
      </c>
      <c r="AQ132" s="114">
        <v>0.72499999999999998</v>
      </c>
      <c r="AR132" s="114">
        <v>0.72499999999999998</v>
      </c>
      <c r="AS132" s="114">
        <v>0.72499999999999998</v>
      </c>
      <c r="AT132" s="114">
        <v>0.72499999999999998</v>
      </c>
      <c r="AU132" s="114">
        <v>0.72499999999999998</v>
      </c>
      <c r="AV132" s="114">
        <v>0.72499999999999998</v>
      </c>
      <c r="AW132" s="114">
        <v>0.72499999999999998</v>
      </c>
      <c r="AX132" s="114">
        <v>0.72499999999999998</v>
      </c>
      <c r="AY132" s="114">
        <v>0.72499999999999998</v>
      </c>
      <c r="AZ132" s="124">
        <f t="shared" si="71"/>
        <v>0.72499999999999998</v>
      </c>
      <c r="BA132" s="124">
        <f t="shared" si="71"/>
        <v>0.72499999999999998</v>
      </c>
      <c r="BB132" s="124">
        <f t="shared" si="71"/>
        <v>0.72499999999999998</v>
      </c>
      <c r="BC132" s="124">
        <f t="shared" si="70"/>
        <v>0.72499999999999998</v>
      </c>
      <c r="BD132" s="124">
        <f t="shared" si="70"/>
        <v>0.72499999999999998</v>
      </c>
      <c r="BE132" s="124">
        <f t="shared" si="70"/>
        <v>0.72499999999999998</v>
      </c>
      <c r="BF132" s="124">
        <f t="shared" si="70"/>
        <v>0.72499999999999998</v>
      </c>
      <c r="BG132" s="124">
        <f t="shared" si="70"/>
        <v>0.72499999999999998</v>
      </c>
    </row>
    <row r="133" spans="1:59" ht="13.75" customHeight="1">
      <c r="A133" s="171" t="s">
        <v>166</v>
      </c>
      <c r="B133" s="165" t="s">
        <v>227</v>
      </c>
      <c r="C133" s="165"/>
      <c r="D133" s="165" t="s">
        <v>168</v>
      </c>
      <c r="E133" s="167"/>
      <c r="F133" s="168" t="s">
        <v>243</v>
      </c>
      <c r="G133" s="168" t="s">
        <v>3</v>
      </c>
      <c r="H133" s="168"/>
      <c r="I133" s="168" t="s">
        <v>241</v>
      </c>
      <c r="X133" s="114"/>
      <c r="Y133" s="123"/>
      <c r="Z133" s="123"/>
      <c r="AA133" s="123"/>
      <c r="AB133" s="123"/>
      <c r="AC133" s="123"/>
      <c r="AD133" s="114">
        <v>0.32919999999999999</v>
      </c>
      <c r="AE133" s="114">
        <v>0.32919999999999999</v>
      </c>
      <c r="AF133" s="114">
        <v>0.32919999999999999</v>
      </c>
      <c r="AG133" s="114">
        <v>0.32919999999999999</v>
      </c>
      <c r="AH133" s="114">
        <v>0.32919999999999999</v>
      </c>
      <c r="AI133" s="114">
        <v>0.32919999999999999</v>
      </c>
      <c r="AJ133" s="114">
        <v>0.32919999999999999</v>
      </c>
      <c r="AK133" s="114">
        <v>0.32919999999999999</v>
      </c>
      <c r="AL133" s="114">
        <v>0.32919999999999999</v>
      </c>
      <c r="AM133" s="114">
        <v>0.32919999999999999</v>
      </c>
      <c r="AN133" s="114">
        <v>0.32919999999999999</v>
      </c>
      <c r="AO133" s="114">
        <v>0.32919999999999999</v>
      </c>
      <c r="AP133" s="114">
        <v>0.32919999999999999</v>
      </c>
      <c r="AQ133" s="114">
        <v>0.32919999999999999</v>
      </c>
      <c r="AR133" s="114">
        <v>0.32919999999999999</v>
      </c>
      <c r="AS133" s="114">
        <v>0.32919999999999999</v>
      </c>
      <c r="AT133" s="114">
        <v>0.32919999999999999</v>
      </c>
      <c r="AU133" s="114">
        <v>0.32919999999999999</v>
      </c>
      <c r="AV133" s="114">
        <v>0.32919999999999999</v>
      </c>
      <c r="AW133" s="114">
        <v>0.32919999999999999</v>
      </c>
      <c r="AX133" s="114">
        <v>0.32919999999999999</v>
      </c>
      <c r="AY133" s="114">
        <v>0.32919999999999999</v>
      </c>
      <c r="AZ133" s="124">
        <f t="shared" si="71"/>
        <v>0.32919999999999999</v>
      </c>
      <c r="BA133" s="124">
        <f t="shared" si="71"/>
        <v>0.32919999999999999</v>
      </c>
      <c r="BB133" s="124">
        <f t="shared" si="71"/>
        <v>0.32919999999999999</v>
      </c>
      <c r="BC133" s="124">
        <f t="shared" si="70"/>
        <v>0.32919999999999999</v>
      </c>
      <c r="BD133" s="124">
        <f t="shared" si="70"/>
        <v>0.32919999999999999</v>
      </c>
      <c r="BE133" s="124">
        <f t="shared" si="70"/>
        <v>0.32919999999999999</v>
      </c>
      <c r="BF133" s="124">
        <f t="shared" si="70"/>
        <v>0.32919999999999999</v>
      </c>
      <c r="BG133" s="124">
        <f t="shared" si="70"/>
        <v>0.32919999999999999</v>
      </c>
    </row>
    <row r="134" spans="1:59" ht="13.75" customHeight="1" outlineLevel="1">
      <c r="A134" s="171" t="s">
        <v>166</v>
      </c>
      <c r="B134" s="165" t="s">
        <v>227</v>
      </c>
      <c r="C134" s="165"/>
      <c r="D134" s="165" t="s">
        <v>168</v>
      </c>
      <c r="E134" s="167"/>
      <c r="F134" s="168" t="s">
        <v>244</v>
      </c>
      <c r="G134" s="168" t="s">
        <v>4</v>
      </c>
      <c r="H134" s="168"/>
      <c r="I134" s="168"/>
      <c r="X134" s="120"/>
      <c r="Y134" s="120"/>
      <c r="Z134" s="120"/>
      <c r="AA134" s="120"/>
      <c r="AB134" s="120"/>
      <c r="AC134" s="109"/>
      <c r="AD134" s="119">
        <v>417.84375</v>
      </c>
      <c r="AE134" s="119">
        <v>606.07291666666663</v>
      </c>
      <c r="AF134" s="119">
        <v>434.72268819685473</v>
      </c>
      <c r="AG134" s="119">
        <v>385.52853746279499</v>
      </c>
      <c r="AH134" s="119">
        <v>367.81089288353957</v>
      </c>
      <c r="AI134" s="119">
        <v>343.83888454017898</v>
      </c>
      <c r="AJ134" s="119">
        <v>345.92054094501742</v>
      </c>
      <c r="AK134" s="119">
        <v>348.43743024583142</v>
      </c>
      <c r="AL134" s="119">
        <v>350.50798019843927</v>
      </c>
      <c r="AM134" s="119">
        <v>352.51689293586782</v>
      </c>
      <c r="AN134" s="119">
        <v>354.35355407088065</v>
      </c>
      <c r="AO134" s="119">
        <v>356.12764619929828</v>
      </c>
      <c r="AP134" s="119">
        <v>357.90834155889507</v>
      </c>
      <c r="AQ134" s="119">
        <v>359.69479841770425</v>
      </c>
      <c r="AR134" s="119">
        <v>361.48648963621429</v>
      </c>
      <c r="AS134" s="119">
        <v>363.30154536733647</v>
      </c>
      <c r="AT134" s="119">
        <v>365.13667001195472</v>
      </c>
      <c r="AU134" s="119">
        <v>366.97560692076189</v>
      </c>
      <c r="AV134" s="119">
        <v>368.81837134281471</v>
      </c>
      <c r="AW134" s="119">
        <v>370.66497858816598</v>
      </c>
      <c r="AX134" s="119">
        <v>372.51544402810907</v>
      </c>
      <c r="AY134" s="119">
        <v>374.36978309542241</v>
      </c>
      <c r="AZ134" s="119">
        <v>376.27467717262147</v>
      </c>
      <c r="BA134" s="119">
        <v>378.23261070557356</v>
      </c>
      <c r="BB134" s="119">
        <v>380.24619882058204</v>
      </c>
      <c r="BC134" s="119">
        <f t="shared" ref="BC134:BE134" si="72">BB134*(1+((BB134-BA134)/BA134))</f>
        <v>382.27050662760576</v>
      </c>
      <c r="BD134" s="119">
        <f t="shared" si="72"/>
        <v>384.30559119481876</v>
      </c>
      <c r="BE134" s="119">
        <f t="shared" si="72"/>
        <v>386.35150989420754</v>
      </c>
      <c r="BF134" s="119">
        <f>BE134*(1+((BE134-BD134)/BD134))</f>
        <v>388.40832040318855</v>
      </c>
      <c r="BG134" s="119">
        <f>BF134*(1+((BF134-BE134)/BE134))</f>
        <v>390.47608070623409</v>
      </c>
    </row>
    <row r="135" spans="1:59" ht="13.75" customHeight="1" outlineLevel="1">
      <c r="A135" s="171"/>
      <c r="B135" s="165"/>
      <c r="C135" s="165"/>
      <c r="D135" s="165"/>
      <c r="E135" s="167"/>
      <c r="F135" s="168"/>
      <c r="G135" s="168"/>
      <c r="H135" s="168"/>
      <c r="I135" s="168"/>
      <c r="X135" s="120"/>
      <c r="Y135" s="120"/>
      <c r="Z135" s="120"/>
      <c r="AA135" s="120"/>
      <c r="AB135" s="120"/>
      <c r="AC135" s="109"/>
      <c r="AD135" s="109"/>
      <c r="AE135" s="109"/>
      <c r="AF135" s="109"/>
      <c r="AG135" s="109"/>
      <c r="AH135" s="109"/>
    </row>
    <row r="136" spans="1:59" ht="13.75" customHeight="1" outlineLevel="1">
      <c r="A136" s="171"/>
      <c r="B136" s="165"/>
      <c r="C136" s="165"/>
      <c r="D136" s="165"/>
      <c r="E136" s="167"/>
      <c r="F136" s="168"/>
      <c r="G136" s="168"/>
      <c r="H136" s="168"/>
      <c r="I136" s="168"/>
      <c r="X136" s="120"/>
      <c r="Y136" s="120"/>
      <c r="Z136" s="120"/>
      <c r="AA136" s="120"/>
      <c r="AB136" s="120"/>
      <c r="AC136" s="109"/>
      <c r="AD136" s="109"/>
      <c r="AE136" s="109"/>
      <c r="AF136" s="109"/>
      <c r="AG136" s="109"/>
      <c r="AH136" s="109"/>
    </row>
    <row r="137" spans="1:59" ht="13.75" customHeight="1" outlineLevel="1">
      <c r="A137" s="171"/>
      <c r="B137" s="165"/>
      <c r="C137" s="165"/>
      <c r="D137" s="165"/>
      <c r="E137" s="167"/>
      <c r="F137" s="168"/>
      <c r="G137" s="168"/>
      <c r="H137" s="168"/>
      <c r="I137" s="168"/>
      <c r="X137" s="120"/>
      <c r="Y137" s="120"/>
      <c r="Z137" s="120"/>
      <c r="AA137" s="120"/>
      <c r="AB137" s="120"/>
      <c r="AC137" s="109"/>
      <c r="AD137" s="109"/>
      <c r="AE137" s="109"/>
      <c r="AF137" s="109"/>
      <c r="AG137" s="109"/>
      <c r="AH137" s="109"/>
    </row>
    <row r="138" spans="1:59" ht="13.75" customHeight="1" outlineLevel="1">
      <c r="A138" s="171"/>
      <c r="B138" s="165"/>
      <c r="C138" s="165"/>
      <c r="D138" s="165"/>
      <c r="E138" s="167"/>
      <c r="F138" s="168"/>
      <c r="G138" s="168"/>
      <c r="H138" s="168"/>
      <c r="I138" s="168"/>
      <c r="X138" s="120"/>
      <c r="Y138" s="120"/>
      <c r="Z138" s="120"/>
      <c r="AA138" s="120"/>
      <c r="AB138" s="120"/>
      <c r="AC138" s="109"/>
      <c r="AD138" s="109"/>
      <c r="AE138" s="109"/>
      <c r="AF138" s="109"/>
      <c r="AG138" s="109"/>
      <c r="AH138" s="109"/>
    </row>
    <row r="139" spans="1:59" ht="13.75" customHeight="1" outlineLevel="1">
      <c r="A139" s="171"/>
      <c r="B139" s="165"/>
      <c r="C139" s="165"/>
      <c r="D139" s="165"/>
      <c r="E139" s="167"/>
      <c r="F139" s="168"/>
      <c r="G139" s="168"/>
      <c r="H139" s="168"/>
      <c r="I139" s="168"/>
      <c r="X139" s="120"/>
      <c r="Y139" s="120"/>
      <c r="Z139" s="120"/>
      <c r="AA139" s="120"/>
      <c r="AB139" s="120"/>
      <c r="AC139" s="109"/>
      <c r="AD139" s="109"/>
      <c r="AE139" s="109"/>
      <c r="AF139" s="109"/>
      <c r="AG139" s="109"/>
      <c r="AH139" s="109"/>
    </row>
    <row r="140" spans="1:59" ht="13.75" customHeight="1" outlineLevel="1">
      <c r="A140" s="171"/>
      <c r="B140" s="165"/>
      <c r="C140" s="165"/>
      <c r="D140" s="165"/>
      <c r="E140" s="167"/>
      <c r="F140" s="168"/>
      <c r="G140" s="168"/>
      <c r="H140" s="168"/>
      <c r="I140" s="168"/>
      <c r="X140" s="120"/>
      <c r="Y140" s="120"/>
      <c r="Z140" s="120"/>
      <c r="AA140" s="120"/>
      <c r="AB140" s="120"/>
      <c r="AC140" s="109"/>
      <c r="AD140" s="109"/>
      <c r="AE140" s="109"/>
      <c r="AF140" s="109"/>
      <c r="AG140" s="109"/>
      <c r="AH140" s="109"/>
    </row>
    <row r="141" spans="1:59" ht="13.75" customHeight="1" outlineLevel="1">
      <c r="A141" s="171"/>
      <c r="B141" s="165"/>
      <c r="C141" s="165"/>
      <c r="D141" s="165"/>
      <c r="E141" s="167"/>
      <c r="F141" s="168"/>
      <c r="G141" s="168"/>
      <c r="H141" s="168"/>
      <c r="I141" s="168"/>
      <c r="X141" s="120"/>
      <c r="Y141" s="120"/>
      <c r="Z141" s="120"/>
      <c r="AA141" s="120"/>
      <c r="AB141" s="120"/>
      <c r="AC141" s="109"/>
      <c r="AD141" s="109"/>
      <c r="AE141" s="109"/>
      <c r="AF141" s="109"/>
      <c r="AG141" s="109"/>
      <c r="AH141" s="109"/>
    </row>
    <row r="142" spans="1:59" ht="13.75" customHeight="1" outlineLevel="1">
      <c r="A142" s="171"/>
      <c r="B142" s="165"/>
      <c r="C142" s="165"/>
      <c r="D142" s="165"/>
      <c r="E142" s="167"/>
      <c r="F142" s="168"/>
      <c r="G142" s="168"/>
      <c r="H142" s="168"/>
      <c r="I142" s="168"/>
      <c r="X142" s="120"/>
      <c r="Y142" s="120"/>
      <c r="Z142" s="120"/>
      <c r="AA142" s="120"/>
      <c r="AB142" s="120"/>
      <c r="AC142" s="109"/>
      <c r="AD142" s="109"/>
      <c r="AE142" s="109"/>
      <c r="AF142" s="109"/>
      <c r="AG142" s="109"/>
      <c r="AH142" s="109"/>
    </row>
    <row r="143" spans="1:59" ht="13.75" customHeight="1" outlineLevel="1">
      <c r="A143" s="171"/>
      <c r="B143" s="165"/>
      <c r="C143" s="165"/>
      <c r="D143" s="165"/>
      <c r="E143" s="167"/>
      <c r="F143" s="168"/>
      <c r="G143" s="168"/>
      <c r="H143" s="168"/>
      <c r="I143" s="168"/>
      <c r="X143" s="120"/>
      <c r="Y143" s="120"/>
      <c r="Z143" s="120"/>
      <c r="AA143" s="120"/>
      <c r="AB143" s="120"/>
      <c r="AC143" s="109"/>
      <c r="AD143" s="109"/>
      <c r="AE143" s="109"/>
      <c r="AF143" s="109"/>
      <c r="AG143" s="109"/>
      <c r="AH143" s="109"/>
    </row>
    <row r="144" spans="1:59" ht="13.75" customHeight="1" outlineLevel="1">
      <c r="A144" s="171"/>
      <c r="B144" s="165"/>
      <c r="C144" s="165"/>
      <c r="D144" s="165"/>
      <c r="E144" s="167"/>
      <c r="F144" s="168"/>
      <c r="G144" s="168"/>
      <c r="H144" s="168"/>
      <c r="I144" s="168"/>
      <c r="X144" s="120"/>
      <c r="Y144" s="120"/>
      <c r="Z144" s="120"/>
      <c r="AA144" s="120"/>
      <c r="AB144" s="120"/>
      <c r="AC144" s="109"/>
      <c r="AD144" s="109"/>
      <c r="AE144" s="109"/>
      <c r="AF144" s="109"/>
      <c r="AG144" s="109"/>
      <c r="AH144" s="109"/>
    </row>
    <row r="145" spans="1:59" ht="13.75" customHeight="1" outlineLevel="1">
      <c r="A145" s="171"/>
      <c r="B145" s="165"/>
      <c r="C145" s="165"/>
      <c r="D145" s="165"/>
      <c r="E145" s="167"/>
      <c r="F145" s="168"/>
      <c r="G145" s="168"/>
      <c r="H145" s="168"/>
      <c r="I145" s="168"/>
      <c r="X145" s="120"/>
      <c r="Y145" s="120"/>
      <c r="Z145" s="120"/>
      <c r="AA145" s="120"/>
      <c r="AB145" s="120"/>
    </row>
    <row r="146" spans="1:59" ht="13.75" customHeight="1" outlineLevel="1">
      <c r="A146" s="171"/>
      <c r="B146" s="165"/>
      <c r="C146" s="165"/>
      <c r="D146" s="165"/>
      <c r="E146" s="167"/>
      <c r="F146" s="168"/>
      <c r="G146" s="168"/>
      <c r="H146" s="168"/>
      <c r="I146" s="168"/>
      <c r="X146" s="120"/>
      <c r="Y146" s="120"/>
      <c r="Z146" s="120"/>
      <c r="AA146" s="120"/>
      <c r="AB146" s="120"/>
    </row>
    <row r="147" spans="1:59" ht="13.75" customHeight="1" outlineLevel="1">
      <c r="A147" s="171"/>
      <c r="B147" s="165"/>
      <c r="C147" s="165"/>
      <c r="D147" s="165"/>
      <c r="E147" s="167"/>
      <c r="F147" s="168"/>
      <c r="G147" s="168"/>
      <c r="H147" s="168"/>
      <c r="I147" s="168"/>
      <c r="X147" s="120"/>
      <c r="Y147" s="120"/>
      <c r="Z147" s="120"/>
      <c r="AA147" s="120"/>
      <c r="AB147" s="120"/>
    </row>
    <row r="148" spans="1:59" ht="13.75" customHeight="1" outlineLevel="1">
      <c r="A148" s="171"/>
      <c r="B148" s="165"/>
      <c r="C148" s="165"/>
      <c r="D148" s="165"/>
      <c r="E148" s="167"/>
      <c r="F148" s="168"/>
      <c r="G148" s="168"/>
      <c r="H148" s="168"/>
      <c r="I148" s="168"/>
      <c r="X148" s="120"/>
      <c r="Y148" s="120"/>
      <c r="Z148" s="120"/>
      <c r="AA148" s="120"/>
      <c r="AB148" s="120"/>
    </row>
    <row r="149" spans="1:59" ht="13.75" customHeight="1" outlineLevel="1">
      <c r="A149" s="171"/>
      <c r="B149" s="165"/>
      <c r="C149" s="165"/>
      <c r="D149" s="165"/>
      <c r="E149" s="167"/>
      <c r="F149" s="168"/>
      <c r="G149" s="168"/>
      <c r="H149" s="168"/>
      <c r="I149" s="168"/>
      <c r="X149" s="120"/>
      <c r="Y149" s="120"/>
      <c r="Z149" s="120"/>
      <c r="AA149" s="120"/>
      <c r="AB149" s="120"/>
    </row>
    <row r="150" spans="1:59" ht="13.75" customHeight="1" outlineLevel="1">
      <c r="A150" s="171"/>
      <c r="B150" s="165"/>
      <c r="C150" s="165"/>
      <c r="D150" s="165"/>
      <c r="E150" s="167"/>
      <c r="F150" s="168"/>
      <c r="G150" s="168"/>
      <c r="H150" s="168"/>
      <c r="I150" s="168"/>
      <c r="X150" s="120"/>
      <c r="Y150" s="120"/>
      <c r="Z150" s="120"/>
      <c r="AA150" s="120"/>
      <c r="AB150" s="120"/>
    </row>
    <row r="151" spans="1:59" ht="13.75" customHeight="1" outlineLevel="1">
      <c r="A151" s="171"/>
      <c r="B151" s="165"/>
      <c r="C151" s="165"/>
      <c r="D151" s="165"/>
      <c r="E151" s="167"/>
      <c r="F151" s="168"/>
      <c r="G151" s="168"/>
      <c r="H151" s="168"/>
      <c r="I151" s="168"/>
      <c r="X151" s="120"/>
      <c r="Y151" s="120"/>
      <c r="Z151" s="120"/>
      <c r="AA151" s="120"/>
      <c r="AB151" s="120"/>
    </row>
    <row r="152" spans="1:59" ht="13.75" customHeight="1">
      <c r="A152" s="171" t="s">
        <v>166</v>
      </c>
      <c r="B152" s="165" t="s">
        <v>245</v>
      </c>
      <c r="C152" s="165"/>
      <c r="D152" s="165" t="s">
        <v>168</v>
      </c>
      <c r="E152" s="167"/>
      <c r="F152" s="168" t="s">
        <v>246</v>
      </c>
      <c r="G152" s="168" t="s">
        <v>247</v>
      </c>
      <c r="H152" s="168"/>
      <c r="I152" s="168" t="s">
        <v>248</v>
      </c>
      <c r="U152" s="112">
        <v>6.7510000000000003</v>
      </c>
      <c r="V152" s="112">
        <v>6.5810000000000004</v>
      </c>
      <c r="W152" s="125">
        <v>6.2181566666666654</v>
      </c>
      <c r="X152" s="125">
        <v>7.8529999999999998</v>
      </c>
      <c r="Y152" s="125">
        <v>8.7779441666666678</v>
      </c>
      <c r="Z152" s="125">
        <v>7.0304200000000003</v>
      </c>
      <c r="AA152" s="125">
        <v>7.845482500000001</v>
      </c>
      <c r="AB152" s="125">
        <v>10.406464166666668</v>
      </c>
      <c r="AC152" s="125">
        <v>10.975932499999999</v>
      </c>
      <c r="AD152" s="125">
        <v>13.644059166666667</v>
      </c>
      <c r="AE152" s="125">
        <v>13.225660833333333</v>
      </c>
      <c r="AF152" s="125">
        <v>10.451969187145393</v>
      </c>
      <c r="AG152" s="125">
        <v>12.498024891778737</v>
      </c>
      <c r="AH152" s="125">
        <v>12.775147961788774</v>
      </c>
      <c r="AI152" s="125">
        <v>12.994192869365097</v>
      </c>
      <c r="AJ152" s="125">
        <v>13.30709303365941</v>
      </c>
      <c r="AK152" s="125">
        <v>13.627527833909928</v>
      </c>
      <c r="AL152" s="125">
        <v>13.955678704150479</v>
      </c>
      <c r="AM152" s="125">
        <v>14.291731447346422</v>
      </c>
      <c r="AN152" s="125">
        <v>14.635876340598523</v>
      </c>
      <c r="AO152" s="125">
        <v>14.988308242880136</v>
      </c>
      <c r="AP152" s="125">
        <v>15.349226705368689</v>
      </c>
      <c r="AQ152" s="125">
        <v>15.718836084433969</v>
      </c>
      <c r="AR152" s="125">
        <v>16.097345657347137</v>
      </c>
      <c r="AS152" s="125">
        <v>16.484969740776059</v>
      </c>
      <c r="AT152" s="125">
        <v>16.881927812133945</v>
      </c>
      <c r="AU152" s="125">
        <v>17.288444633850133</v>
      </c>
      <c r="AV152" s="125">
        <v>17.704750380633246</v>
      </c>
      <c r="AW152" s="125">
        <v>18.131080769798896</v>
      </c>
      <c r="AX152" s="125">
        <v>18.567677194735655</v>
      </c>
      <c r="AY152" s="125">
        <v>19.014786861584891</v>
      </c>
      <c r="AZ152" s="125">
        <v>19.472662929211857</v>
      </c>
      <c r="BA152" s="125">
        <v>19.941564652547278</v>
      </c>
      <c r="BB152" s="125">
        <v>20.421757529380617</v>
      </c>
      <c r="BC152" s="125">
        <f>BB152*(1+((BB152-BA152)/BA152))</f>
        <v>20.913513450688104</v>
      </c>
      <c r="BD152" s="125">
        <f t="shared" ref="BD152:BG167" si="73">BC152*(1+((BC152-BB152)/BB152))</f>
        <v>21.417110854580674</v>
      </c>
      <c r="BE152" s="125">
        <f t="shared" si="73"/>
        <v>21.932834883958979</v>
      </c>
      <c r="BF152" s="125">
        <f t="shared" si="73"/>
        <v>22.460977547964713</v>
      </c>
      <c r="BG152" s="125">
        <f t="shared" si="73"/>
        <v>23.001837887319706</v>
      </c>
    </row>
    <row r="153" spans="1:59" ht="13.75" customHeight="1">
      <c r="A153" s="171" t="s">
        <v>166</v>
      </c>
      <c r="B153" s="165" t="s">
        <v>245</v>
      </c>
      <c r="C153" s="165"/>
      <c r="D153" s="165" t="s">
        <v>168</v>
      </c>
      <c r="E153" s="167"/>
      <c r="F153" s="168" t="s">
        <v>249</v>
      </c>
      <c r="G153" s="168" t="s">
        <v>250</v>
      </c>
      <c r="H153" s="168"/>
      <c r="I153" s="168" t="s">
        <v>251</v>
      </c>
      <c r="U153" s="112">
        <v>13.603999999999999</v>
      </c>
      <c r="V153" s="112">
        <v>15.875</v>
      </c>
      <c r="W153" s="125">
        <v>19.614000000000001</v>
      </c>
      <c r="X153" s="125">
        <v>20.648</v>
      </c>
      <c r="Y153" s="125">
        <v>21.814</v>
      </c>
      <c r="Z153" s="125">
        <v>24.5</v>
      </c>
      <c r="AA153" s="125">
        <v>22.9</v>
      </c>
      <c r="AB153" s="125">
        <v>24.903728333333333</v>
      </c>
      <c r="AC153" s="125">
        <v>25.885917499999998</v>
      </c>
      <c r="AD153" s="125">
        <v>27.481773333333336</v>
      </c>
      <c r="AE153" s="125">
        <v>32.981347499999998</v>
      </c>
      <c r="AF153" s="125">
        <v>31.783900440154444</v>
      </c>
      <c r="AG153" s="125">
        <v>32.590401479554629</v>
      </c>
      <c r="AH153" s="125">
        <v>33.619919989563691</v>
      </c>
      <c r="AI153" s="125">
        <v>34.953475769923621</v>
      </c>
      <c r="AJ153" s="125">
        <v>36.351614800720569</v>
      </c>
      <c r="AK153" s="125">
        <v>37.80567939274939</v>
      </c>
      <c r="AL153" s="125">
        <v>39.317906568459364</v>
      </c>
      <c r="AM153" s="125">
        <v>40.890622831197739</v>
      </c>
      <c r="AN153" s="125">
        <v>42.526247744445648</v>
      </c>
      <c r="AO153" s="125">
        <v>44.227297654223477</v>
      </c>
      <c r="AP153" s="125">
        <v>45.996389560392416</v>
      </c>
      <c r="AQ153" s="125">
        <v>47.836245142808117</v>
      </c>
      <c r="AR153" s="125">
        <v>49.749694948520442</v>
      </c>
      <c r="AS153" s="125">
        <v>51.739682746461263</v>
      </c>
      <c r="AT153" s="125">
        <v>53.809270056319718</v>
      </c>
      <c r="AU153" s="125">
        <v>55.961640858572508</v>
      </c>
      <c r="AV153" s="125">
        <v>58.20010649291541</v>
      </c>
      <c r="AW153" s="125">
        <v>60.528110752632031</v>
      </c>
      <c r="AX153" s="125">
        <v>62.949235182737311</v>
      </c>
      <c r="AY153" s="125">
        <v>65.467204590046805</v>
      </c>
      <c r="AZ153" s="125">
        <v>68.085892773648681</v>
      </c>
      <c r="BA153" s="125">
        <v>70.80932848459463</v>
      </c>
      <c r="BB153" s="125">
        <v>73.64170162397842</v>
      </c>
      <c r="BC153" s="125">
        <f t="shared" ref="BC153:BG194" si="74">BB153*(1+((BB153-BA153)/BA153))</f>
        <v>76.587369688937557</v>
      </c>
      <c r="BD153" s="125">
        <f t="shared" si="73"/>
        <v>79.650864476495059</v>
      </c>
      <c r="BE153" s="125">
        <f t="shared" si="73"/>
        <v>82.836899055554866</v>
      </c>
      <c r="BF153" s="125">
        <f t="shared" si="73"/>
        <v>86.150375017777066</v>
      </c>
      <c r="BG153" s="125">
        <f t="shared" si="73"/>
        <v>89.596390018488151</v>
      </c>
    </row>
    <row r="154" spans="1:59" ht="13.75" customHeight="1">
      <c r="A154" s="171" t="s">
        <v>166</v>
      </c>
      <c r="B154" s="165" t="s">
        <v>245</v>
      </c>
      <c r="C154" s="165"/>
      <c r="D154" s="165" t="s">
        <v>168</v>
      </c>
      <c r="E154" s="167"/>
      <c r="F154" s="168" t="s">
        <v>252</v>
      </c>
      <c r="G154" s="168" t="s">
        <v>247</v>
      </c>
      <c r="H154" s="168"/>
      <c r="I154" s="168" t="s">
        <v>253</v>
      </c>
      <c r="U154" s="112">
        <v>79.428640000000001</v>
      </c>
      <c r="V154" s="112">
        <v>73.473369999999989</v>
      </c>
      <c r="W154" s="125">
        <v>87.441000000000003</v>
      </c>
      <c r="X154" s="125">
        <v>93.071969696969688</v>
      </c>
      <c r="Y154" s="125">
        <v>91.719696969696983</v>
      </c>
      <c r="Z154" s="125">
        <v>80.234090909090909</v>
      </c>
      <c r="AA154" s="125">
        <v>94.245482954545437</v>
      </c>
      <c r="AB154" s="125">
        <v>99.187499999999986</v>
      </c>
      <c r="AC154" s="125">
        <v>93.625189393939394</v>
      </c>
      <c r="AD154" s="125">
        <v>126.94772727272726</v>
      </c>
      <c r="AE154" s="125">
        <v>127.97489898989897</v>
      </c>
      <c r="AF154" s="125">
        <v>153.07484848484847</v>
      </c>
      <c r="AG154" s="125">
        <v>149.4375</v>
      </c>
      <c r="AH154" s="125">
        <v>159.27896256565816</v>
      </c>
      <c r="AI154" s="125">
        <v>163.39386600502857</v>
      </c>
      <c r="AJ154" s="125">
        <v>168.03425179957136</v>
      </c>
      <c r="AK154" s="125">
        <v>172.8064245506792</v>
      </c>
      <c r="AL154" s="125">
        <v>177.71412700791848</v>
      </c>
      <c r="AM154" s="125">
        <v>182.76120821494337</v>
      </c>
      <c r="AN154" s="125">
        <v>187.95162652824774</v>
      </c>
      <c r="AO154" s="125">
        <v>193.28945272164998</v>
      </c>
      <c r="AP154" s="125">
        <v>198.77887317894485</v>
      </c>
      <c r="AQ154" s="125">
        <v>204.42419317722687</v>
      </c>
      <c r="AR154" s="125">
        <v>210.22984026346012</v>
      </c>
      <c r="AS154" s="125">
        <v>216.20036772694237</v>
      </c>
      <c r="AT154" s="125">
        <v>222.34045817038754</v>
      </c>
      <c r="AU154" s="125">
        <v>228.65492718242655</v>
      </c>
      <c r="AV154" s="125">
        <v>235.14872711440745</v>
      </c>
      <c r="AW154" s="125">
        <v>241.82695096445661</v>
      </c>
      <c r="AX154" s="125">
        <v>248.69483637184717</v>
      </c>
      <c r="AY154" s="125">
        <v>255.75776972480762</v>
      </c>
      <c r="AZ154" s="125">
        <v>263.02129038499214</v>
      </c>
      <c r="BA154" s="125">
        <v>270.49109503192591</v>
      </c>
      <c r="BB154" s="125">
        <v>278.17304213083258</v>
      </c>
      <c r="BC154" s="125">
        <f t="shared" si="74"/>
        <v>286.0731565273482</v>
      </c>
      <c r="BD154" s="125">
        <f t="shared" si="73"/>
        <v>294.19763417272486</v>
      </c>
      <c r="BE154" s="125">
        <f t="shared" si="73"/>
        <v>302.55284698323027</v>
      </c>
      <c r="BF154" s="125">
        <f t="shared" si="73"/>
        <v>311.14534783755403</v>
      </c>
      <c r="BG154" s="125">
        <f t="shared" si="73"/>
        <v>319.98187571614056</v>
      </c>
    </row>
    <row r="155" spans="1:59" ht="13.75" customHeight="1">
      <c r="A155" s="171" t="s">
        <v>166</v>
      </c>
      <c r="B155" s="165" t="s">
        <v>245</v>
      </c>
      <c r="C155" s="165"/>
      <c r="D155" s="165" t="s">
        <v>168</v>
      </c>
      <c r="E155" s="167"/>
      <c r="F155" s="168" t="s">
        <v>254</v>
      </c>
      <c r="G155" s="168" t="s">
        <v>247</v>
      </c>
      <c r="H155" s="168"/>
      <c r="I155" s="168" t="s">
        <v>255</v>
      </c>
      <c r="U155" s="112">
        <v>55.173000000000002</v>
      </c>
      <c r="V155" s="112">
        <v>54.357999999999997</v>
      </c>
      <c r="W155" s="125">
        <v>63.654000000000003</v>
      </c>
      <c r="X155" s="125">
        <v>69.732961666666668</v>
      </c>
      <c r="Y155" s="125">
        <v>72.344999999999999</v>
      </c>
      <c r="Z155" s="125">
        <v>68.057460000000006</v>
      </c>
      <c r="AA155" s="125">
        <v>70.844999999999999</v>
      </c>
      <c r="AB155" s="125">
        <v>75.598796666666658</v>
      </c>
      <c r="AC155" s="125">
        <v>73.967506363636375</v>
      </c>
      <c r="AD155" s="125">
        <v>91.302810000000008</v>
      </c>
      <c r="AE155" s="125">
        <v>101.553</v>
      </c>
      <c r="AF155" s="125">
        <v>118.38002385599893</v>
      </c>
      <c r="AG155" s="125">
        <v>116.06693698276841</v>
      </c>
      <c r="AH155" s="125">
        <v>123.71072395341849</v>
      </c>
      <c r="AI155" s="125">
        <v>126.90673725789416</v>
      </c>
      <c r="AJ155" s="125">
        <v>130.51088859601836</v>
      </c>
      <c r="AK155" s="125">
        <v>134.21739783214528</v>
      </c>
      <c r="AL155" s="125">
        <v>138.0291719305782</v>
      </c>
      <c r="AM155" s="125">
        <v>141.94920041340663</v>
      </c>
      <c r="AN155" s="125">
        <v>145.98055770514736</v>
      </c>
      <c r="AO155" s="125">
        <v>150.12640554397356</v>
      </c>
      <c r="AP155" s="125">
        <v>154.38999546142242</v>
      </c>
      <c r="AQ155" s="125">
        <v>158.77467133252679</v>
      </c>
      <c r="AR155" s="125">
        <v>163.28387199837059</v>
      </c>
      <c r="AS155" s="125">
        <v>167.9211339631243</v>
      </c>
      <c r="AT155" s="125">
        <v>172.69009416767702</v>
      </c>
      <c r="AU155" s="125">
        <v>177.59449284203905</v>
      </c>
      <c r="AV155" s="125">
        <v>182.63817643875294</v>
      </c>
      <c r="AW155" s="125">
        <v>187.82510064961352</v>
      </c>
      <c r="AX155" s="125">
        <v>193.15933350806256</v>
      </c>
      <c r="AY155" s="125">
        <v>198.64505857969152</v>
      </c>
      <c r="AZ155" s="125">
        <v>204.28657824335477</v>
      </c>
      <c r="BA155" s="125">
        <v>210.08831706546604</v>
      </c>
      <c r="BB155" s="125">
        <v>216.05482527012526</v>
      </c>
      <c r="BC155" s="125">
        <f t="shared" si="74"/>
        <v>222.19078230779681</v>
      </c>
      <c r="BD155" s="125">
        <f t="shared" si="73"/>
        <v>228.50100052533824</v>
      </c>
      <c r="BE155" s="125">
        <f t="shared" si="73"/>
        <v>234.99042894025786</v>
      </c>
      <c r="BF155" s="125">
        <f t="shared" si="73"/>
        <v>241.66415712216119</v>
      </c>
      <c r="BG155" s="125">
        <f t="shared" si="73"/>
        <v>248.52741918443056</v>
      </c>
    </row>
    <row r="156" spans="1:59" ht="13.75" customHeight="1">
      <c r="A156" s="171" t="s">
        <v>166</v>
      </c>
      <c r="B156" s="165" t="s">
        <v>245</v>
      </c>
      <c r="C156" s="165"/>
      <c r="D156" s="165" t="s">
        <v>168</v>
      </c>
      <c r="E156" s="167"/>
      <c r="F156" s="168" t="s">
        <v>256</v>
      </c>
      <c r="G156" s="168" t="s">
        <v>247</v>
      </c>
      <c r="H156" s="168"/>
      <c r="I156" s="168" t="s">
        <v>257</v>
      </c>
      <c r="U156" s="112">
        <v>174.53289999999998</v>
      </c>
      <c r="V156" s="112">
        <v>174.41897</v>
      </c>
      <c r="W156" s="125">
        <v>154.70701166666669</v>
      </c>
      <c r="X156" s="125">
        <v>182.8590909090909</v>
      </c>
      <c r="Y156" s="125">
        <v>183.94772727272724</v>
      </c>
      <c r="Z156" s="125">
        <v>194</v>
      </c>
      <c r="AA156" s="125">
        <v>204</v>
      </c>
      <c r="AB156" s="125">
        <v>216.56287878787876</v>
      </c>
      <c r="AC156" s="125">
        <v>220.78757575757575</v>
      </c>
      <c r="AD156" s="125">
        <v>247.73757575757571</v>
      </c>
      <c r="AE156" s="125">
        <v>300.83247474747475</v>
      </c>
      <c r="AF156" s="125">
        <v>316.78786403689207</v>
      </c>
      <c r="AG156" s="125">
        <v>331.26174139120394</v>
      </c>
      <c r="AH156" s="125">
        <v>341.72617505686554</v>
      </c>
      <c r="AI156" s="125">
        <v>355.28096389005833</v>
      </c>
      <c r="AJ156" s="125">
        <v>369.49220244566067</v>
      </c>
      <c r="AK156" s="125">
        <v>384.27189054348713</v>
      </c>
      <c r="AL156" s="125">
        <v>399.64276616522665</v>
      </c>
      <c r="AM156" s="125">
        <v>415.62847681183575</v>
      </c>
      <c r="AN156" s="125">
        <v>432.25361588430917</v>
      </c>
      <c r="AO156" s="125">
        <v>449.54376051968154</v>
      </c>
      <c r="AP156" s="125">
        <v>467.52551094046879</v>
      </c>
      <c r="AQ156" s="125">
        <v>486.22653137808754</v>
      </c>
      <c r="AR156" s="125">
        <v>505.67559263321107</v>
      </c>
      <c r="AS156" s="125">
        <v>525.90261633853947</v>
      </c>
      <c r="AT156" s="125">
        <v>546.93872099208102</v>
      </c>
      <c r="AU156" s="125">
        <v>568.81626983176432</v>
      </c>
      <c r="AV156" s="125">
        <v>591.56892062503493</v>
      </c>
      <c r="AW156" s="125">
        <v>615.23167745003639</v>
      </c>
      <c r="AX156" s="125">
        <v>639.8409445480379</v>
      </c>
      <c r="AY156" s="125">
        <v>665.43458232995943</v>
      </c>
      <c r="AZ156" s="125">
        <v>692.0519656231578</v>
      </c>
      <c r="BA156" s="125">
        <v>719.73404424808416</v>
      </c>
      <c r="BB156" s="125">
        <v>748.52340601800756</v>
      </c>
      <c r="BC156" s="125">
        <f t="shared" si="74"/>
        <v>778.46434225872792</v>
      </c>
      <c r="BD156" s="125">
        <f t="shared" si="73"/>
        <v>809.6029159490771</v>
      </c>
      <c r="BE156" s="125">
        <f t="shared" si="73"/>
        <v>841.98703258704018</v>
      </c>
      <c r="BF156" s="125">
        <f t="shared" si="73"/>
        <v>875.66651389052186</v>
      </c>
      <c r="BG156" s="125">
        <f t="shared" si="73"/>
        <v>910.69317444614273</v>
      </c>
    </row>
    <row r="157" spans="1:59" ht="13.75" customHeight="1">
      <c r="A157" s="171" t="s">
        <v>166</v>
      </c>
      <c r="B157" s="165" t="s">
        <v>245</v>
      </c>
      <c r="C157" s="165"/>
      <c r="D157" s="165" t="s">
        <v>168</v>
      </c>
      <c r="E157" s="167"/>
      <c r="F157" s="168" t="s">
        <v>258</v>
      </c>
      <c r="G157" s="168" t="s">
        <v>247</v>
      </c>
      <c r="H157" s="168"/>
      <c r="I157" s="168" t="s">
        <v>259</v>
      </c>
      <c r="U157" s="112">
        <v>73.096999999999994</v>
      </c>
      <c r="V157" s="112">
        <v>72.128</v>
      </c>
      <c r="W157" s="125">
        <v>74.36041583333332</v>
      </c>
      <c r="X157" s="125">
        <v>93.52411166666667</v>
      </c>
      <c r="Y157" s="125">
        <v>96.641687499999989</v>
      </c>
      <c r="Z157" s="125">
        <v>97.56</v>
      </c>
      <c r="AA157" s="125">
        <v>99.522999999999996</v>
      </c>
      <c r="AB157" s="125">
        <v>105.08408166666666</v>
      </c>
      <c r="AC157" s="125">
        <v>111.74640250000002</v>
      </c>
      <c r="AD157" s="125">
        <v>121.45051333333333</v>
      </c>
      <c r="AE157" s="125">
        <v>142.69550000000001</v>
      </c>
      <c r="AF157" s="125">
        <v>152.42764330769543</v>
      </c>
      <c r="AG157" s="125">
        <v>159.33387323534572</v>
      </c>
      <c r="AH157" s="125">
        <v>164.36717028969878</v>
      </c>
      <c r="AI157" s="125">
        <v>170.88689996511962</v>
      </c>
      <c r="AJ157" s="125">
        <v>177.7223759637244</v>
      </c>
      <c r="AK157" s="125">
        <v>184.83127100227341</v>
      </c>
      <c r="AL157" s="125">
        <v>192.22452184236437</v>
      </c>
      <c r="AM157" s="125">
        <v>199.91350271605899</v>
      </c>
      <c r="AN157" s="125">
        <v>207.91004282470135</v>
      </c>
      <c r="AO157" s="125">
        <v>216.22644453768939</v>
      </c>
      <c r="AP157" s="125">
        <v>224.87550231919695</v>
      </c>
      <c r="AQ157" s="125">
        <v>233.87052241196483</v>
      </c>
      <c r="AR157" s="125">
        <v>243.22534330844346</v>
      </c>
      <c r="AS157" s="125">
        <v>252.95435704078116</v>
      </c>
      <c r="AT157" s="125">
        <v>263.07253132241243</v>
      </c>
      <c r="AU157" s="125">
        <v>273.59543257530896</v>
      </c>
      <c r="AV157" s="125">
        <v>284.53924987832136</v>
      </c>
      <c r="AW157" s="125">
        <v>295.92081987345426</v>
      </c>
      <c r="AX157" s="125">
        <v>307.7576526683925</v>
      </c>
      <c r="AY157" s="125">
        <v>320.0679587751282</v>
      </c>
      <c r="AZ157" s="125">
        <v>332.87067712613333</v>
      </c>
      <c r="BA157" s="125">
        <v>346.18550421117868</v>
      </c>
      <c r="BB157" s="125">
        <v>360.03292437962585</v>
      </c>
      <c r="BC157" s="125">
        <f t="shared" si="74"/>
        <v>374.43424135481092</v>
      </c>
      <c r="BD157" s="125">
        <f t="shared" si="73"/>
        <v>389.41161100900337</v>
      </c>
      <c r="BE157" s="125">
        <f t="shared" si="73"/>
        <v>404.98807544936352</v>
      </c>
      <c r="BF157" s="125">
        <f t="shared" si="73"/>
        <v>421.18759846733809</v>
      </c>
      <c r="BG157" s="125">
        <f t="shared" si="73"/>
        <v>438.03510240603163</v>
      </c>
    </row>
    <row r="158" spans="1:59" ht="13.75" customHeight="1">
      <c r="A158" s="171" t="s">
        <v>166</v>
      </c>
      <c r="B158" s="165" t="s">
        <v>245</v>
      </c>
      <c r="C158" s="165"/>
      <c r="D158" s="165" t="s">
        <v>168</v>
      </c>
      <c r="E158" s="167"/>
      <c r="F158" s="168" t="s">
        <v>260</v>
      </c>
      <c r="G158" s="168" t="s">
        <v>247</v>
      </c>
      <c r="H158" s="168"/>
      <c r="I158" s="168" t="s">
        <v>261</v>
      </c>
      <c r="U158" s="112">
        <v>14</v>
      </c>
      <c r="V158" s="112">
        <v>14</v>
      </c>
      <c r="W158" s="125">
        <v>11.534000000000001</v>
      </c>
      <c r="X158" s="125">
        <v>20.283999999999999</v>
      </c>
      <c r="Y158" s="125">
        <v>22.922998333333332</v>
      </c>
      <c r="Z158" s="125">
        <v>17.03256</v>
      </c>
      <c r="AA158" s="125">
        <v>18.5513075</v>
      </c>
      <c r="AB158" s="125">
        <v>18.283107323232326</v>
      </c>
      <c r="AC158" s="125">
        <v>25.990277777777777</v>
      </c>
      <c r="AD158" s="125">
        <v>42.026452020202022</v>
      </c>
      <c r="AE158" s="125">
        <v>32.784217171717167</v>
      </c>
      <c r="AF158" s="125">
        <v>26.651581092552419</v>
      </c>
      <c r="AG158" s="125">
        <v>28.371960859457815</v>
      </c>
      <c r="AH158" s="125">
        <v>29.975774482037679</v>
      </c>
      <c r="AI158" s="125">
        <v>30.489744321806747</v>
      </c>
      <c r="AJ158" s="125">
        <v>31.223937365075855</v>
      </c>
      <c r="AK158" s="125">
        <v>31.975809776826885</v>
      </c>
      <c r="AL158" s="125">
        <v>32.745787276252877</v>
      </c>
      <c r="AM158" s="125">
        <v>33.534305833865048</v>
      </c>
      <c r="AN158" s="125">
        <v>34.341811918344511</v>
      </c>
      <c r="AO158" s="125">
        <v>35.168762749338249</v>
      </c>
      <c r="AP158" s="125">
        <v>36.015626556342312</v>
      </c>
      <c r="AQ158" s="125">
        <v>36.88288284381904</v>
      </c>
      <c r="AR158" s="125">
        <v>37.771022662698208</v>
      </c>
      <c r="AS158" s="125">
        <v>38.680548888415977</v>
      </c>
      <c r="AT158" s="125">
        <v>39.611976505649032</v>
      </c>
      <c r="AU158" s="125">
        <v>40.565832899905061</v>
      </c>
      <c r="AV158" s="125">
        <v>41.542658156134777</v>
      </c>
      <c r="AW158" s="125">
        <v>42.543005364534515</v>
      </c>
      <c r="AX158" s="125">
        <v>43.567440933712511</v>
      </c>
      <c r="AY158" s="125">
        <v>44.616544911396311</v>
      </c>
      <c r="AZ158" s="125">
        <v>45.690911312862738</v>
      </c>
      <c r="BA158" s="125">
        <v>46.791148457276478</v>
      </c>
      <c r="BB158" s="125">
        <v>47.917879312127702</v>
      </c>
      <c r="BC158" s="125">
        <f t="shared" si="74"/>
        <v>49.071741845963743</v>
      </c>
      <c r="BD158" s="125">
        <f t="shared" si="73"/>
        <v>50.253389389614554</v>
      </c>
      <c r="BE158" s="125">
        <f t="shared" si="73"/>
        <v>51.463491006116477</v>
      </c>
      <c r="BF158" s="125">
        <f t="shared" si="73"/>
        <v>52.702731869543769</v>
      </c>
      <c r="BG158" s="125">
        <f t="shared" si="73"/>
        <v>53.971813652962389</v>
      </c>
    </row>
    <row r="159" spans="1:59" ht="13.75" customHeight="1">
      <c r="A159" s="171" t="s">
        <v>166</v>
      </c>
      <c r="B159" s="165" t="s">
        <v>245</v>
      </c>
      <c r="C159" s="165"/>
      <c r="D159" s="165" t="s">
        <v>168</v>
      </c>
      <c r="E159" s="167"/>
      <c r="F159" s="168" t="s">
        <v>262</v>
      </c>
      <c r="G159" s="168" t="s">
        <v>247</v>
      </c>
      <c r="H159" s="168"/>
      <c r="I159" s="168" t="s">
        <v>263</v>
      </c>
      <c r="U159" s="112">
        <v>6.4089999999999998</v>
      </c>
      <c r="V159" s="112">
        <v>6.7149999999999999</v>
      </c>
      <c r="W159" s="125">
        <v>7.5384633333333326</v>
      </c>
      <c r="X159" s="125">
        <v>8.5952708333333341</v>
      </c>
      <c r="Y159" s="125">
        <v>9.4826116666666671</v>
      </c>
      <c r="Z159" s="125">
        <v>7.6686931602969999</v>
      </c>
      <c r="AA159" s="125">
        <v>8.1663085024709989</v>
      </c>
      <c r="AB159" s="125">
        <v>9.7845073960606044</v>
      </c>
      <c r="AC159" s="125">
        <v>12.941790822811946</v>
      </c>
      <c r="AD159" s="125">
        <v>14.160467135280747</v>
      </c>
      <c r="AE159" s="125">
        <v>13.662216776552903</v>
      </c>
      <c r="AF159" s="125">
        <v>10.438509863825693</v>
      </c>
      <c r="AG159" s="125">
        <v>12.446070925125449</v>
      </c>
      <c r="AH159" s="125">
        <v>13.025147961788774</v>
      </c>
      <c r="AI159" s="125">
        <v>13.248479412821021</v>
      </c>
      <c r="AJ159" s="125">
        <v>13.567502797081751</v>
      </c>
      <c r="AK159" s="125">
        <v>13.894208264435481</v>
      </c>
      <c r="AL159" s="125">
        <v>14.228780799443088</v>
      </c>
      <c r="AM159" s="125">
        <v>14.571409841093677</v>
      </c>
      <c r="AN159" s="125">
        <v>14.922289390067213</v>
      </c>
      <c r="AO159" s="125">
        <v>15.281618118580033</v>
      </c>
      <c r="AP159" s="125">
        <v>15.649599482875441</v>
      </c>
      <c r="AQ159" s="125">
        <v>16.026441838423082</v>
      </c>
      <c r="AR159" s="125">
        <v>16.412358557892308</v>
      </c>
      <c r="AS159" s="125">
        <v>16.807568151966358</v>
      </c>
      <c r="AT159" s="125">
        <v>17.212294393065708</v>
      </c>
      <c r="AU159" s="125">
        <v>17.626766442050734</v>
      </c>
      <c r="AV159" s="125">
        <v>18.051218977975317</v>
      </c>
      <c r="AW159" s="125">
        <v>18.485892330964962</v>
      </c>
      <c r="AX159" s="125">
        <v>18.931032618294598</v>
      </c>
      <c r="AY159" s="125">
        <v>19.386891883743132</v>
      </c>
      <c r="AZ159" s="125">
        <v>19.853728240303667</v>
      </c>
      <c r="BA159" s="125">
        <v>20.33180601633018</v>
      </c>
      <c r="BB159" s="125">
        <v>20.82139590520341</v>
      </c>
      <c r="BC159" s="125">
        <f t="shared" si="74"/>
        <v>21.322775118600706</v>
      </c>
      <c r="BD159" s="125">
        <f t="shared" si="73"/>
        <v>21.836227543456609</v>
      </c>
      <c r="BE159" s="125">
        <f t="shared" si="73"/>
        <v>22.362043902703043</v>
      </c>
      <c r="BF159" s="125">
        <f t="shared" si="73"/>
        <v>22.900521919880131</v>
      </c>
      <c r="BG159" s="125">
        <f t="shared" si="73"/>
        <v>23.451966487710841</v>
      </c>
    </row>
    <row r="160" spans="1:59" ht="13.75" customHeight="1">
      <c r="A160" s="171" t="s">
        <v>166</v>
      </c>
      <c r="B160" s="165" t="s">
        <v>245</v>
      </c>
      <c r="C160" s="165"/>
      <c r="D160" s="165" t="s">
        <v>168</v>
      </c>
      <c r="E160" s="167"/>
      <c r="F160" s="168" t="s">
        <v>264</v>
      </c>
      <c r="G160" s="168" t="s">
        <v>247</v>
      </c>
      <c r="H160" s="168"/>
      <c r="I160" s="168"/>
      <c r="U160" s="112"/>
      <c r="V160" s="112"/>
      <c r="W160" s="125">
        <v>7.3559975000000009</v>
      </c>
      <c r="X160" s="125">
        <v>9.2856191666666668</v>
      </c>
      <c r="Y160" s="125">
        <v>9.5692200000000014</v>
      </c>
      <c r="Z160" s="125">
        <v>8.1502513599749982</v>
      </c>
      <c r="AA160" s="125">
        <v>8.9087159764249986</v>
      </c>
      <c r="AB160" s="125">
        <v>11.851128787878789</v>
      </c>
      <c r="AC160" s="125">
        <v>13.556967424242423</v>
      </c>
      <c r="AD160" s="125">
        <v>14.765418939393937</v>
      </c>
      <c r="AE160" s="125">
        <v>14.653615909090906</v>
      </c>
      <c r="AF160" s="125">
        <v>12.195669371807586</v>
      </c>
      <c r="AG160" s="125">
        <v>13.326714683474698</v>
      </c>
      <c r="AH160" s="125">
        <v>13.525147961788774</v>
      </c>
      <c r="AI160" s="125">
        <v>13.757052499732872</v>
      </c>
      <c r="AJ160" s="125">
        <v>14.088322323926441</v>
      </c>
      <c r="AK160" s="125">
        <v>14.42756912548659</v>
      </c>
      <c r="AL160" s="125">
        <v>14.774984990028308</v>
      </c>
      <c r="AM160" s="125">
        <v>15.130766628588191</v>
      </c>
      <c r="AN160" s="125">
        <v>15.495115489004595</v>
      </c>
      <c r="AO160" s="125">
        <v>15.868237869979826</v>
      </c>
      <c r="AP160" s="125">
        <v>16.250345037888941</v>
      </c>
      <c r="AQ160" s="125">
        <v>16.641653346401309</v>
      </c>
      <c r="AR160" s="125">
        <v>17.042384358982652</v>
      </c>
      <c r="AS160" s="125">
        <v>17.452764974346955</v>
      </c>
      <c r="AT160" s="125">
        <v>17.87302755492923</v>
      </c>
      <c r="AU160" s="125">
        <v>18.303410058451924</v>
      </c>
      <c r="AV160" s="125">
        <v>18.744156172659444</v>
      </c>
      <c r="AW160" s="125">
        <v>19.195515453297084</v>
      </c>
      <c r="AX160" s="125">
        <v>19.657743465412477</v>
      </c>
      <c r="AY160" s="125">
        <v>20.131101928059611</v>
      </c>
      <c r="AZ160" s="125">
        <v>20.615858862487286</v>
      </c>
      <c r="BA160" s="125">
        <v>21.112288743895981</v>
      </c>
      <c r="BB160" s="125">
        <v>21.620672656848996</v>
      </c>
      <c r="BC160" s="125">
        <f t="shared" si="74"/>
        <v>22.141298454425918</v>
      </c>
      <c r="BD160" s="125">
        <f t="shared" si="73"/>
        <v>22.674460921208492</v>
      </c>
      <c r="BE160" s="125">
        <f t="shared" si="73"/>
        <v>23.220461940191189</v>
      </c>
      <c r="BF160" s="125">
        <f t="shared" si="73"/>
        <v>23.77961066371099</v>
      </c>
      <c r="BG160" s="125">
        <f t="shared" si="73"/>
        <v>24.352223688493147</v>
      </c>
    </row>
    <row r="161" spans="1:59" ht="13.75" customHeight="1">
      <c r="A161" s="171" t="s">
        <v>166</v>
      </c>
      <c r="B161" s="165" t="s">
        <v>245</v>
      </c>
      <c r="C161" s="165"/>
      <c r="D161" s="142" t="s">
        <v>168</v>
      </c>
      <c r="F161" s="168" t="s">
        <v>265</v>
      </c>
      <c r="G161" s="168" t="s">
        <v>247</v>
      </c>
      <c r="U161" s="112"/>
      <c r="V161" s="112"/>
      <c r="W161" s="125">
        <v>6.4186300000000003</v>
      </c>
      <c r="X161" s="125">
        <v>7.7966258333333336</v>
      </c>
      <c r="Y161" s="125">
        <v>8.2774549999999998</v>
      </c>
      <c r="Z161" s="125">
        <v>6.7077049396397488</v>
      </c>
      <c r="AA161" s="125">
        <v>7.3783596834842502</v>
      </c>
      <c r="AB161" s="125">
        <v>10.954974999999999</v>
      </c>
      <c r="AC161" s="125">
        <v>12.761625</v>
      </c>
      <c r="AD161" s="125">
        <v>14.138906818181816</v>
      </c>
      <c r="AE161" s="125">
        <v>13.035415151515149</v>
      </c>
      <c r="AF161" s="125">
        <v>9.0051438316927559</v>
      </c>
      <c r="AG161" s="125">
        <v>11.375440145188554</v>
      </c>
      <c r="AH161" s="125">
        <v>12.525147961788774</v>
      </c>
      <c r="AI161" s="125">
        <v>12.739906325909171</v>
      </c>
      <c r="AJ161" s="125">
        <v>13.046683270237065</v>
      </c>
      <c r="AK161" s="125">
        <v>13.360847403384373</v>
      </c>
      <c r="AL161" s="125">
        <v>13.682576608857868</v>
      </c>
      <c r="AM161" s="125">
        <v>14.012053053599166</v>
      </c>
      <c r="AN161" s="125">
        <v>14.349463291129833</v>
      </c>
      <c r="AO161" s="125">
        <v>14.694998367180238</v>
      </c>
      <c r="AP161" s="125">
        <v>15.04885392786194</v>
      </c>
      <c r="AQ161" s="125">
        <v>15.411230330444855</v>
      </c>
      <c r="AR161" s="125">
        <v>15.782332756801967</v>
      </c>
      <c r="AS161" s="125">
        <v>16.16237132958576</v>
      </c>
      <c r="AT161" s="125">
        <v>16.551561231202186</v>
      </c>
      <c r="AU161" s="125">
        <v>16.950122825649537</v>
      </c>
      <c r="AV161" s="125">
        <v>17.358281783291179</v>
      </c>
      <c r="AW161" s="125">
        <v>17.776269208632833</v>
      </c>
      <c r="AX161" s="125">
        <v>18.204321771176712</v>
      </c>
      <c r="AY161" s="125">
        <v>18.642681839426647</v>
      </c>
      <c r="AZ161" s="125">
        <v>19.091597618120041</v>
      </c>
      <c r="BA161" s="125">
        <v>19.551323288764372</v>
      </c>
      <c r="BB161" s="125">
        <v>20.022119153557821</v>
      </c>
      <c r="BC161" s="125">
        <f t="shared" si="74"/>
        <v>20.504251782775494</v>
      </c>
      <c r="BD161" s="125">
        <f t="shared" si="73"/>
        <v>20.997994165704728</v>
      </c>
      <c r="BE161" s="125">
        <f t="shared" si="73"/>
        <v>21.5036258652149</v>
      </c>
      <c r="BF161" s="125">
        <f t="shared" si="73"/>
        <v>22.021433176049278</v>
      </c>
      <c r="BG161" s="125">
        <f t="shared" si="73"/>
        <v>22.551709286928546</v>
      </c>
    </row>
    <row r="162" spans="1:59" ht="13.75" customHeight="1">
      <c r="A162" s="171" t="s">
        <v>166</v>
      </c>
      <c r="B162" s="165" t="s">
        <v>245</v>
      </c>
      <c r="C162" s="165"/>
      <c r="D162" s="165" t="s">
        <v>168</v>
      </c>
      <c r="E162" s="167"/>
      <c r="F162" s="168" t="s">
        <v>266</v>
      </c>
      <c r="G162" s="168" t="s">
        <v>247</v>
      </c>
      <c r="H162" s="168"/>
      <c r="I162" s="168" t="s">
        <v>267</v>
      </c>
      <c r="U162" s="112">
        <v>20.409880000000001</v>
      </c>
      <c r="V162" s="112">
        <v>20.632380000000001</v>
      </c>
      <c r="W162" s="125">
        <v>24.426339166666665</v>
      </c>
      <c r="X162" s="125">
        <v>35.392682499999992</v>
      </c>
      <c r="Y162" s="125">
        <v>37.044029166666661</v>
      </c>
      <c r="Z162" s="125">
        <v>28.015037695378787</v>
      </c>
      <c r="AA162" s="125">
        <v>28.902376855075751</v>
      </c>
      <c r="AB162" s="125">
        <v>24.807816350454541</v>
      </c>
      <c r="AC162" s="125">
        <v>27.428288228484845</v>
      </c>
      <c r="AD162" s="125">
        <v>40.038148932045445</v>
      </c>
      <c r="AE162" s="125">
        <v>49.593850912515506</v>
      </c>
      <c r="AF162" s="125">
        <v>52.182273943056266</v>
      </c>
      <c r="AG162" s="125">
        <v>56.795058333333301</v>
      </c>
      <c r="AH162" s="125">
        <v>52.135067977540011</v>
      </c>
      <c r="AI162" s="125">
        <v>53.131396601196421</v>
      </c>
      <c r="AJ162" s="125">
        <v>54.226474931583972</v>
      </c>
      <c r="AK162" s="125">
        <v>55.344123655870256</v>
      </c>
      <c r="AL162" s="125">
        <v>56.484807966970457</v>
      </c>
      <c r="AM162" s="125">
        <v>57.649002645778104</v>
      </c>
      <c r="AN162" s="125">
        <v>58.83719225878027</v>
      </c>
      <c r="AO162" s="125">
        <v>60.04987135974671</v>
      </c>
      <c r="AP162" s="125">
        <v>61.28754469557488</v>
      </c>
      <c r="AQ162" s="125">
        <v>62.550727416378137</v>
      </c>
      <c r="AR162" s="125">
        <v>63.839945289903888</v>
      </c>
      <c r="AS162" s="125">
        <v>65.155734920371074</v>
      </c>
      <c r="AT162" s="125">
        <v>66.498643971818069</v>
      </c>
      <c r="AU162" s="125">
        <v>67.869231396053934</v>
      </c>
      <c r="AV162" s="125">
        <v>69.268067665307896</v>
      </c>
      <c r="AW162" s="125">
        <v>70.695735009673953</v>
      </c>
      <c r="AX162" s="125">
        <v>72.152827659449386</v>
      </c>
      <c r="AY162" s="125">
        <v>73.639952092468036</v>
      </c>
      <c r="AZ162" s="125">
        <v>75.157727286531269</v>
      </c>
      <c r="BA162" s="125">
        <v>76.706784977041821</v>
      </c>
      <c r="BB162" s="125">
        <v>78.287769919947621</v>
      </c>
      <c r="BC162" s="125">
        <f t="shared" si="74"/>
        <v>79.901340160105065</v>
      </c>
      <c r="BD162" s="125">
        <f t="shared" si="73"/>
        <v>81.548167305173507</v>
      </c>
      <c r="BE162" s="125">
        <f t="shared" si="73"/>
        <v>83.228936805154888</v>
      </c>
      <c r="BF162" s="125">
        <f t="shared" si="73"/>
        <v>84.944348237694925</v>
      </c>
      <c r="BG162" s="125">
        <f t="shared" si="73"/>
        <v>86.695115599264525</v>
      </c>
    </row>
    <row r="163" spans="1:59" ht="13.75" customHeight="1">
      <c r="A163" s="171" t="s">
        <v>166</v>
      </c>
      <c r="B163" s="165" t="s">
        <v>245</v>
      </c>
      <c r="C163" s="165"/>
      <c r="D163" s="165" t="s">
        <v>168</v>
      </c>
      <c r="E163" s="167"/>
      <c r="F163" s="168" t="s">
        <v>268</v>
      </c>
      <c r="G163" s="168" t="s">
        <v>247</v>
      </c>
      <c r="H163" s="168"/>
      <c r="I163" s="168" t="s">
        <v>259</v>
      </c>
      <c r="U163" s="112">
        <v>83.242999999999995</v>
      </c>
      <c r="V163" s="112">
        <v>71.674999999999997</v>
      </c>
      <c r="W163" s="125">
        <v>92.597161666666665</v>
      </c>
      <c r="X163" s="125">
        <v>100.45788666666667</v>
      </c>
      <c r="Y163" s="125">
        <v>91.767039999999994</v>
      </c>
      <c r="Z163" s="125">
        <v>96.8</v>
      </c>
      <c r="AA163" s="125">
        <v>99.54</v>
      </c>
      <c r="AB163" s="125">
        <v>94.852255</v>
      </c>
      <c r="AC163" s="125">
        <v>92.129968333333338</v>
      </c>
      <c r="AD163" s="125">
        <v>111.96629666666668</v>
      </c>
      <c r="AE163" s="125">
        <v>104.67612262626261</v>
      </c>
      <c r="AF163" s="125">
        <v>111.86227560606061</v>
      </c>
      <c r="AG163" s="125">
        <v>116.60044035909569</v>
      </c>
      <c r="AH163" s="125">
        <v>124.01895369565824</v>
      </c>
      <c r="AI163" s="125">
        <v>126.77166571705112</v>
      </c>
      <c r="AJ163" s="125">
        <v>129.86489436054717</v>
      </c>
      <c r="AK163" s="125">
        <v>133.03359778294453</v>
      </c>
      <c r="AL163" s="125">
        <v>136.27961756884838</v>
      </c>
      <c r="AM163" s="125">
        <v>139.60484023752826</v>
      </c>
      <c r="AN163" s="125">
        <v>143.01119833932395</v>
      </c>
      <c r="AO163" s="125">
        <v>146.50067157880346</v>
      </c>
      <c r="AP163" s="125">
        <v>150.07528796532625</v>
      </c>
      <c r="AQ163" s="125">
        <v>153.73712499168022</v>
      </c>
      <c r="AR163" s="125">
        <v>157.48831084147722</v>
      </c>
      <c r="AS163" s="125">
        <v>161.33102562600928</v>
      </c>
      <c r="AT163" s="125">
        <v>165.26750265128391</v>
      </c>
      <c r="AU163" s="125">
        <v>169.30002971597523</v>
      </c>
      <c r="AV163" s="125">
        <v>173.43095044104501</v>
      </c>
      <c r="AW163" s="125">
        <v>177.6626656318065</v>
      </c>
      <c r="AX163" s="125">
        <v>181.99763467322262</v>
      </c>
      <c r="AY163" s="125">
        <v>186.43837695924924</v>
      </c>
      <c r="AZ163" s="125">
        <v>190.98747335705491</v>
      </c>
      <c r="BA163" s="125">
        <v>195.64756770696704</v>
      </c>
      <c r="BB163" s="125">
        <v>200.42136835901704</v>
      </c>
      <c r="BC163" s="125">
        <f t="shared" si="74"/>
        <v>205.31164974697705</v>
      </c>
      <c r="BD163" s="125">
        <f t="shared" si="73"/>
        <v>210.32125400080329</v>
      </c>
      <c r="BE163" s="125">
        <f t="shared" si="73"/>
        <v>215.4530925984229</v>
      </c>
      <c r="BF163" s="125">
        <f t="shared" si="73"/>
        <v>220.71014805782443</v>
      </c>
      <c r="BG163" s="125">
        <f t="shared" si="73"/>
        <v>226.09547567043535</v>
      </c>
    </row>
    <row r="164" spans="1:59" ht="13.75" customHeight="1">
      <c r="A164" s="171" t="s">
        <v>166</v>
      </c>
      <c r="B164" s="165" t="s">
        <v>245</v>
      </c>
      <c r="C164" s="165"/>
      <c r="D164" s="165" t="s">
        <v>168</v>
      </c>
      <c r="E164" s="167"/>
      <c r="F164" s="168" t="s">
        <v>269</v>
      </c>
      <c r="G164" s="168" t="s">
        <v>247</v>
      </c>
      <c r="H164" s="168"/>
      <c r="I164" s="168" t="s">
        <v>270</v>
      </c>
      <c r="U164" s="112">
        <v>131.42721</v>
      </c>
      <c r="V164" s="112">
        <v>120.97136</v>
      </c>
      <c r="W164" s="125">
        <v>133.72499999999999</v>
      </c>
      <c r="X164" s="125">
        <v>145.58484848484849</v>
      </c>
      <c r="Y164" s="125">
        <v>135.05151515151513</v>
      </c>
      <c r="Z164" s="125">
        <v>135.28939393939393</v>
      </c>
      <c r="AA164" s="125">
        <v>143.50757575757578</v>
      </c>
      <c r="AB164" s="125">
        <v>135.38404634581104</v>
      </c>
      <c r="AC164" s="125">
        <v>135.79090909090908</v>
      </c>
      <c r="AD164" s="125">
        <v>164.1360606060606</v>
      </c>
      <c r="AE164" s="125">
        <v>152.64517676767676</v>
      </c>
      <c r="AF164" s="125">
        <v>164.48755050505048</v>
      </c>
      <c r="AG164" s="125">
        <v>171.125</v>
      </c>
      <c r="AH164" s="125">
        <v>182.01254974517761</v>
      </c>
      <c r="AI164" s="125">
        <v>186.05248169749385</v>
      </c>
      <c r="AJ164" s="125">
        <v>190.59216225091268</v>
      </c>
      <c r="AK164" s="125">
        <v>195.24261100983495</v>
      </c>
      <c r="AL164" s="125">
        <v>200.00653071847492</v>
      </c>
      <c r="AM164" s="125">
        <v>204.88669006800569</v>
      </c>
      <c r="AN164" s="125">
        <v>209.88592530566501</v>
      </c>
      <c r="AO164" s="125">
        <v>215.00714188312324</v>
      </c>
      <c r="AP164" s="125">
        <v>220.25331614507144</v>
      </c>
      <c r="AQ164" s="125">
        <v>225.62749705901118</v>
      </c>
      <c r="AR164" s="125">
        <v>231.13280798725106</v>
      </c>
      <c r="AS164" s="125">
        <v>236.77244850213998</v>
      </c>
      <c r="AT164" s="125">
        <v>242.5496962455922</v>
      </c>
      <c r="AU164" s="125">
        <v>248.46790883398464</v>
      </c>
      <c r="AV164" s="125">
        <v>254.53052580953386</v>
      </c>
      <c r="AW164" s="125">
        <v>260.74107063928648</v>
      </c>
      <c r="AX164" s="125">
        <v>267.10315276288509</v>
      </c>
      <c r="AY164" s="125">
        <v>273.6204696902995</v>
      </c>
      <c r="AZ164" s="125">
        <v>280.29680915074277</v>
      </c>
      <c r="BA164" s="125">
        <v>287.13605129402089</v>
      </c>
      <c r="BB164" s="125">
        <v>294.14217094559501</v>
      </c>
      <c r="BC164" s="125">
        <f>BB164*(1+((BB164-BA164)/BA164))</f>
        <v>301.31923991666753</v>
      </c>
      <c r="BD164" s="125">
        <f t="shared" si="73"/>
        <v>308.6714293706342</v>
      </c>
      <c r="BE164" s="125">
        <f t="shared" si="73"/>
        <v>316.20301224727768</v>
      </c>
      <c r="BF164" s="125">
        <f t="shared" si="73"/>
        <v>323.91836574611125</v>
      </c>
      <c r="BG164" s="125">
        <f t="shared" si="73"/>
        <v>331.82197387031636</v>
      </c>
    </row>
    <row r="165" spans="1:59" ht="13.75" customHeight="1">
      <c r="A165" s="171" t="s">
        <v>166</v>
      </c>
      <c r="B165" s="165" t="s">
        <v>245</v>
      </c>
      <c r="C165" s="165"/>
      <c r="D165" s="165" t="s">
        <v>168</v>
      </c>
      <c r="E165" s="167"/>
      <c r="F165" s="168" t="s">
        <v>271</v>
      </c>
      <c r="G165" s="168" t="s">
        <v>4</v>
      </c>
      <c r="H165" s="168"/>
      <c r="I165" s="168" t="s">
        <v>272</v>
      </c>
      <c r="U165" s="112">
        <v>1173.0613252305516</v>
      </c>
      <c r="V165" s="112">
        <v>1024.5275006342308</v>
      </c>
      <c r="W165" s="126">
        <v>812.64130383333338</v>
      </c>
      <c r="X165" s="126">
        <v>672.17026616666658</v>
      </c>
      <c r="Y165" s="126">
        <v>721.18631749999997</v>
      </c>
      <c r="Z165" s="126">
        <v>735.930505090873</v>
      </c>
      <c r="AA165" s="126">
        <v>659.10197216970641</v>
      </c>
      <c r="AB165" s="126">
        <v>572.15331226761839</v>
      </c>
      <c r="AC165" s="126">
        <v>687.79318089474691</v>
      </c>
      <c r="AD165" s="126">
        <v>1148.8004242657116</v>
      </c>
      <c r="AE165" s="126">
        <v>1129.3519427725464</v>
      </c>
      <c r="AF165" s="126">
        <v>749.61428422807739</v>
      </c>
      <c r="AG165" s="126">
        <v>715.52016237356895</v>
      </c>
      <c r="AH165" s="126">
        <v>713.07041121872146</v>
      </c>
      <c r="AI165" s="126">
        <v>716.0070954436128</v>
      </c>
      <c r="AJ165" s="126">
        <v>718.87112382538726</v>
      </c>
      <c r="AK165" s="126">
        <v>721.74660832068878</v>
      </c>
      <c r="AL165" s="126">
        <v>724.63359475397158</v>
      </c>
      <c r="AM165" s="126">
        <v>727.53212913298751</v>
      </c>
      <c r="AN165" s="126">
        <v>730.44225764951943</v>
      </c>
      <c r="AO165" s="126">
        <v>733.36402668011749</v>
      </c>
      <c r="AP165" s="126">
        <v>736.29748278683792</v>
      </c>
      <c r="AQ165" s="126">
        <v>739.24267271798533</v>
      </c>
      <c r="AR165" s="126">
        <v>742.19964340885724</v>
      </c>
      <c r="AS165" s="126">
        <v>745.16844198249271</v>
      </c>
      <c r="AT165" s="126">
        <v>748.14911575042265</v>
      </c>
      <c r="AU165" s="126">
        <v>751.1417122134244</v>
      </c>
      <c r="AV165" s="126">
        <v>754.14627906227815</v>
      </c>
      <c r="AW165" s="126">
        <v>757.16286417852723</v>
      </c>
      <c r="AX165" s="126">
        <v>760.19151563524133</v>
      </c>
      <c r="AY165" s="126">
        <v>763.23228169778235</v>
      </c>
      <c r="AZ165" s="126">
        <v>766.28521082457348</v>
      </c>
      <c r="BA165" s="126">
        <v>769.35035166787179</v>
      </c>
      <c r="BB165" s="126">
        <v>772.42775307454326</v>
      </c>
      <c r="BC165" s="126">
        <f>BB165*(1+((BB165-BA165)/BA165))</f>
        <v>775.51746408684141</v>
      </c>
      <c r="BD165" s="126">
        <f t="shared" si="73"/>
        <v>778.6195339431888</v>
      </c>
      <c r="BE165" s="126">
        <f t="shared" si="73"/>
        <v>781.73401207896154</v>
      </c>
      <c r="BF165" s="126">
        <f t="shared" si="73"/>
        <v>784.86094812727742</v>
      </c>
      <c r="BG165" s="126">
        <f t="shared" si="73"/>
        <v>788.00039191978658</v>
      </c>
    </row>
    <row r="166" spans="1:59" ht="13.75" customHeight="1">
      <c r="A166" s="171" t="s">
        <v>166</v>
      </c>
      <c r="B166" s="165" t="s">
        <v>245</v>
      </c>
      <c r="C166" s="165"/>
      <c r="D166" s="165" t="s">
        <v>168</v>
      </c>
      <c r="E166" s="167"/>
      <c r="F166" s="168" t="s">
        <v>273</v>
      </c>
      <c r="G166" s="168" t="s">
        <v>4</v>
      </c>
      <c r="H166" s="168"/>
      <c r="I166" s="168" t="s">
        <v>272</v>
      </c>
      <c r="U166" s="112">
        <v>129.02069087500004</v>
      </c>
      <c r="V166" s="112">
        <v>131.98453686666664</v>
      </c>
      <c r="W166" s="126">
        <v>556.94720481489435</v>
      </c>
      <c r="X166" s="126">
        <v>442.77075054518463</v>
      </c>
      <c r="Y166" s="126">
        <v>440.16745941199065</v>
      </c>
      <c r="Z166" s="126">
        <v>469.2187800294746</v>
      </c>
      <c r="AA166" s="126">
        <v>525.02049987495423</v>
      </c>
      <c r="AB166" s="126">
        <v>456.40623765205379</v>
      </c>
      <c r="AC166" s="126">
        <v>498.50449765343967</v>
      </c>
      <c r="AD166" s="126">
        <v>665.86946281127769</v>
      </c>
      <c r="AE166" s="126">
        <v>674.78767498593038</v>
      </c>
      <c r="AF166" s="126">
        <v>548.58130888590949</v>
      </c>
      <c r="AG166" s="126">
        <v>479.00931122097472</v>
      </c>
      <c r="AH166" s="126">
        <v>479.49889490782965</v>
      </c>
      <c r="AI166" s="126">
        <v>481.47364637468962</v>
      </c>
      <c r="AJ166" s="126">
        <v>483.3995409601884</v>
      </c>
      <c r="AK166" s="126">
        <v>485.33313912402917</v>
      </c>
      <c r="AL166" s="126">
        <v>487.27447168052532</v>
      </c>
      <c r="AM166" s="126">
        <v>489.22356956724741</v>
      </c>
      <c r="AN166" s="126">
        <v>491.18046384551644</v>
      </c>
      <c r="AO166" s="126">
        <v>493.14518570089848</v>
      </c>
      <c r="AP166" s="126">
        <v>495.11776644370207</v>
      </c>
      <c r="AQ166" s="126">
        <v>497.09823750947686</v>
      </c>
      <c r="AR166" s="126">
        <v>499.08663045951477</v>
      </c>
      <c r="AS166" s="126">
        <v>501.08297698135283</v>
      </c>
      <c r="AT166" s="126">
        <v>503.08730888927829</v>
      </c>
      <c r="AU166" s="126">
        <v>505.0996581248354</v>
      </c>
      <c r="AV166" s="126">
        <v>507.12005675733474</v>
      </c>
      <c r="AW166" s="126">
        <v>509.14853698436406</v>
      </c>
      <c r="AX166" s="126">
        <v>511.18513113230148</v>
      </c>
      <c r="AY166" s="126">
        <v>513.2298716568306</v>
      </c>
      <c r="AZ166" s="126">
        <v>515.28279114345787</v>
      </c>
      <c r="BA166" s="126">
        <v>517.34392230803167</v>
      </c>
      <c r="BB166" s="126">
        <v>519.41329799726384</v>
      </c>
      <c r="BC166" s="126">
        <f t="shared" si="74"/>
        <v>521.49095118925288</v>
      </c>
      <c r="BD166" s="126">
        <f t="shared" si="73"/>
        <v>523.57691499400994</v>
      </c>
      <c r="BE166" s="126">
        <f t="shared" si="73"/>
        <v>525.67122265398598</v>
      </c>
      <c r="BF166" s="126">
        <f t="shared" si="73"/>
        <v>527.77390754460191</v>
      </c>
      <c r="BG166" s="126">
        <f t="shared" si="73"/>
        <v>529.88500317478031</v>
      </c>
    </row>
    <row r="167" spans="1:59" ht="13.75" customHeight="1">
      <c r="A167" s="171" t="s">
        <v>166</v>
      </c>
      <c r="B167" s="165" t="s">
        <v>245</v>
      </c>
      <c r="C167" s="165"/>
      <c r="D167" s="165" t="s">
        <v>168</v>
      </c>
      <c r="E167" s="167"/>
      <c r="F167" s="168" t="s">
        <v>274</v>
      </c>
      <c r="G167" s="168" t="s">
        <v>4</v>
      </c>
      <c r="H167" s="168"/>
      <c r="I167" s="168" t="s">
        <v>272</v>
      </c>
      <c r="U167" s="112">
        <v>447.45807141666666</v>
      </c>
      <c r="V167" s="112">
        <v>434.78368204166662</v>
      </c>
      <c r="W167" s="126">
        <v>472.25501426105797</v>
      </c>
      <c r="X167" s="126">
        <v>348.53181687657968</v>
      </c>
      <c r="Y167" s="126">
        <v>355.8973554399517</v>
      </c>
      <c r="Z167" s="126">
        <v>374.51990404133363</v>
      </c>
      <c r="AA167" s="126">
        <v>371.25466540399742</v>
      </c>
      <c r="AB167" s="126">
        <v>375.93841238718528</v>
      </c>
      <c r="AC167" s="126">
        <v>419.49423270181006</v>
      </c>
      <c r="AD167" s="126">
        <v>645.3039703152142</v>
      </c>
      <c r="AE167" s="126">
        <v>591.22470916830036</v>
      </c>
      <c r="AF167" s="126">
        <v>430.71855232703871</v>
      </c>
      <c r="AG167" s="126">
        <v>405.30684554428768</v>
      </c>
      <c r="AH167" s="126">
        <v>391.25014140011092</v>
      </c>
      <c r="AI167" s="126">
        <v>392.86145228913307</v>
      </c>
      <c r="AJ167" s="126">
        <v>394.43289809828957</v>
      </c>
      <c r="AK167" s="126">
        <v>396.01062969068278</v>
      </c>
      <c r="AL167" s="126">
        <v>397.59467220944555</v>
      </c>
      <c r="AM167" s="126">
        <v>399.18505089828335</v>
      </c>
      <c r="AN167" s="126">
        <v>400.78179110187648</v>
      </c>
      <c r="AO167" s="126">
        <v>402.38491826628399</v>
      </c>
      <c r="AP167" s="126">
        <v>403.99445793934916</v>
      </c>
      <c r="AQ167" s="126">
        <v>405.61043577110655</v>
      </c>
      <c r="AR167" s="126">
        <v>407.23287751419093</v>
      </c>
      <c r="AS167" s="126">
        <v>408.86180902424775</v>
      </c>
      <c r="AT167" s="126">
        <v>410.49725626034478</v>
      </c>
      <c r="AU167" s="126">
        <v>412.13924528538615</v>
      </c>
      <c r="AV167" s="126">
        <v>413.78780226652771</v>
      </c>
      <c r="AW167" s="126">
        <v>415.44295347559381</v>
      </c>
      <c r="AX167" s="126">
        <v>417.10472528949617</v>
      </c>
      <c r="AY167" s="126">
        <v>418.77314419065419</v>
      </c>
      <c r="AZ167" s="126">
        <v>420.4482367674168</v>
      </c>
      <c r="BA167" s="126">
        <v>422.13002971448645</v>
      </c>
      <c r="BB167" s="126">
        <v>423.81854983334443</v>
      </c>
      <c r="BC167" s="126">
        <f t="shared" si="74"/>
        <v>425.5138240326778</v>
      </c>
      <c r="BD167" s="126">
        <f t="shared" si="73"/>
        <v>427.21587932880851</v>
      </c>
      <c r="BE167" s="126">
        <f t="shared" si="73"/>
        <v>428.92474284612376</v>
      </c>
      <c r="BF167" s="126">
        <f t="shared" si="73"/>
        <v>430.64044181750825</v>
      </c>
      <c r="BG167" s="126">
        <f t="shared" si="73"/>
        <v>432.36300358477826</v>
      </c>
    </row>
    <row r="168" spans="1:59" ht="13.75" customHeight="1">
      <c r="A168" s="171" t="s">
        <v>166</v>
      </c>
      <c r="B168" s="165" t="s">
        <v>245</v>
      </c>
      <c r="C168" s="165"/>
      <c r="D168" s="165" t="s">
        <v>168</v>
      </c>
      <c r="E168" s="167"/>
      <c r="F168" s="168" t="s">
        <v>275</v>
      </c>
      <c r="G168" s="168" t="s">
        <v>276</v>
      </c>
      <c r="H168" s="168"/>
      <c r="I168" s="168" t="s">
        <v>277</v>
      </c>
      <c r="U168" s="112">
        <v>27.040000000000003</v>
      </c>
      <c r="V168" s="112">
        <v>31.97</v>
      </c>
      <c r="W168" s="125">
        <v>34.07</v>
      </c>
      <c r="X168" s="125">
        <v>41.71</v>
      </c>
      <c r="Y168" s="125">
        <v>41.84</v>
      </c>
      <c r="Z168" s="125">
        <v>35.645900000000005</v>
      </c>
      <c r="AA168" s="125">
        <v>38.979999999999997</v>
      </c>
      <c r="AB168" s="125">
        <v>41.64651666666667</v>
      </c>
      <c r="AC168" s="125">
        <v>43.524141666666665</v>
      </c>
      <c r="AD168" s="125">
        <v>55.998224999999998</v>
      </c>
      <c r="AE168" s="125">
        <v>55.313483333333338</v>
      </c>
      <c r="AF168" s="125">
        <v>58.217150000000004</v>
      </c>
      <c r="AG168" s="125">
        <v>59.916666666666671</v>
      </c>
      <c r="AH168" s="125">
        <v>60.821506089480117</v>
      </c>
      <c r="AI168" s="125">
        <v>62.392803519874427</v>
      </c>
      <c r="AJ168" s="125">
        <v>64.164759139838864</v>
      </c>
      <c r="AK168" s="125">
        <v>65.987038299410287</v>
      </c>
      <c r="AL168" s="125">
        <v>67.86107018711354</v>
      </c>
      <c r="AM168" s="125">
        <v>69.78832458042757</v>
      </c>
      <c r="AN168" s="125">
        <v>71.770312998511713</v>
      </c>
      <c r="AO168" s="125">
        <v>73.808589887669442</v>
      </c>
      <c r="AP168" s="125">
        <v>75.904753840479259</v>
      </c>
      <c r="AQ168" s="125">
        <v>78.060448849548862</v>
      </c>
      <c r="AR168" s="125">
        <v>80.277365596876052</v>
      </c>
      <c r="AS168" s="125">
        <v>82.557242779827334</v>
      </c>
      <c r="AT168" s="125">
        <v>84.901868474774432</v>
      </c>
      <c r="AU168" s="125">
        <v>87.313081539458025</v>
      </c>
      <c r="AV168" s="125">
        <v>89.792773055178628</v>
      </c>
      <c r="AW168" s="125">
        <v>92.342887809945694</v>
      </c>
      <c r="AX168" s="125">
        <v>94.965425823748149</v>
      </c>
      <c r="AY168" s="125">
        <v>97.662443917142596</v>
      </c>
      <c r="AZ168" s="125">
        <v>100.43605732438944</v>
      </c>
      <c r="BA168" s="125">
        <v>103.2884413524021</v>
      </c>
      <c r="BB168" s="125">
        <v>106.22183308681032</v>
      </c>
      <c r="BC168" s="125">
        <f t="shared" si="74"/>
        <v>109.23853314647573</v>
      </c>
      <c r="BD168" s="125">
        <f t="shared" si="74"/>
        <v>112.34090748783564</v>
      </c>
      <c r="BE168" s="125">
        <f t="shared" si="74"/>
        <v>115.53138926049017</v>
      </c>
      <c r="BF168" s="125">
        <f t="shared" si="74"/>
        <v>118.81248071548809</v>
      </c>
      <c r="BG168" s="125">
        <f t="shared" si="74"/>
        <v>122.18675516780795</v>
      </c>
    </row>
    <row r="169" spans="1:59" ht="13.75" customHeight="1">
      <c r="A169" s="171" t="s">
        <v>166</v>
      </c>
      <c r="B169" s="165" t="s">
        <v>245</v>
      </c>
      <c r="C169" s="165"/>
      <c r="D169" s="165" t="s">
        <v>168</v>
      </c>
      <c r="E169" s="167"/>
      <c r="F169" s="168" t="s">
        <v>278</v>
      </c>
      <c r="G169" s="168" t="s">
        <v>4</v>
      </c>
      <c r="H169" s="168"/>
      <c r="I169" s="168" t="s">
        <v>272</v>
      </c>
      <c r="T169" s="112"/>
      <c r="U169" s="112">
        <v>1161.25</v>
      </c>
      <c r="V169" s="112">
        <v>1028.3333333333333</v>
      </c>
      <c r="W169" s="126">
        <v>806</v>
      </c>
      <c r="X169" s="126">
        <v>765</v>
      </c>
      <c r="Y169" s="126">
        <v>773</v>
      </c>
      <c r="Z169" s="126">
        <v>735</v>
      </c>
      <c r="AA169" s="126">
        <v>705</v>
      </c>
      <c r="AB169" s="126">
        <v>673.36250000000007</v>
      </c>
      <c r="AC169" s="126">
        <v>820.75278333333335</v>
      </c>
      <c r="AD169" s="126">
        <v>1339.09</v>
      </c>
      <c r="AE169" s="126">
        <v>1424.8333333333335</v>
      </c>
      <c r="AF169" s="126">
        <v>899.89703840843526</v>
      </c>
      <c r="AG169" s="126">
        <v>931.04588514360125</v>
      </c>
      <c r="AH169" s="126">
        <v>926.3508861614132</v>
      </c>
      <c r="AI169" s="126">
        <v>930.16593722972891</v>
      </c>
      <c r="AJ169" s="126">
        <v>933.88660097864783</v>
      </c>
      <c r="AK169" s="126">
        <v>937.62214738256239</v>
      </c>
      <c r="AL169" s="126">
        <v>941.37263597209267</v>
      </c>
      <c r="AM169" s="126">
        <v>945.13812651598107</v>
      </c>
      <c r="AN169" s="126">
        <v>948.91867902204501</v>
      </c>
      <c r="AO169" s="126">
        <v>952.71435373813324</v>
      </c>
      <c r="AP169" s="126">
        <v>956.52521115308582</v>
      </c>
      <c r="AQ169" s="126">
        <v>960.35131199769819</v>
      </c>
      <c r="AR169" s="126">
        <v>964.19271724568898</v>
      </c>
      <c r="AS169" s="126">
        <v>968.0494881146717</v>
      </c>
      <c r="AT169" s="126">
        <v>971.92168606713039</v>
      </c>
      <c r="AU169" s="126">
        <v>975.80937281139893</v>
      </c>
      <c r="AV169" s="126">
        <v>979.71261030264452</v>
      </c>
      <c r="AW169" s="126">
        <v>983.63146074385509</v>
      </c>
      <c r="AX169" s="126">
        <v>987.56598658683049</v>
      </c>
      <c r="AY169" s="126">
        <v>991.51625053317787</v>
      </c>
      <c r="AZ169" s="126">
        <v>995.48231553531059</v>
      </c>
      <c r="BA169" s="126">
        <v>999.46424479745178</v>
      </c>
      <c r="BB169" s="126">
        <v>1003.4621017766416</v>
      </c>
      <c r="BC169" s="126">
        <f t="shared" si="74"/>
        <v>1007.4759501837482</v>
      </c>
      <c r="BD169" s="126">
        <f t="shared" si="74"/>
        <v>1011.5058539844832</v>
      </c>
      <c r="BE169" s="126">
        <f t="shared" si="74"/>
        <v>1015.5518774004212</v>
      </c>
      <c r="BF169" s="126">
        <f t="shared" si="74"/>
        <v>1019.6140849100228</v>
      </c>
      <c r="BG169" s="126">
        <f t="shared" si="74"/>
        <v>1023.6925412496629</v>
      </c>
    </row>
    <row r="170" spans="1:59" ht="13.75" customHeight="1">
      <c r="A170" s="171" t="s">
        <v>166</v>
      </c>
      <c r="B170" s="165" t="s">
        <v>245</v>
      </c>
      <c r="C170" s="165"/>
      <c r="D170" s="165" t="s">
        <v>168</v>
      </c>
      <c r="E170" s="167"/>
      <c r="F170" s="168" t="s">
        <v>279</v>
      </c>
      <c r="G170" s="168" t="s">
        <v>250</v>
      </c>
      <c r="H170" s="168" t="s">
        <v>280</v>
      </c>
      <c r="I170" s="168" t="s">
        <v>281</v>
      </c>
      <c r="S170" s="109">
        <v>31.4</v>
      </c>
      <c r="T170" s="109">
        <v>38.200000000000003</v>
      </c>
      <c r="U170" s="112">
        <v>34.4</v>
      </c>
      <c r="V170" s="112">
        <v>33.200000000000003</v>
      </c>
      <c r="W170" s="125">
        <v>34.36363636363636</v>
      </c>
      <c r="X170" s="125">
        <v>53.872179090909086</v>
      </c>
      <c r="Y170" s="125">
        <v>57.872727272727268</v>
      </c>
      <c r="Z170" s="125">
        <v>46.599999999999994</v>
      </c>
      <c r="AA170" s="125">
        <v>48.8</v>
      </c>
      <c r="AB170" s="125">
        <v>48.081818181818178</v>
      </c>
      <c r="AC170" s="125">
        <v>62.343401981381518</v>
      </c>
      <c r="AD170" s="125">
        <v>86.212121212121204</v>
      </c>
      <c r="AE170" s="125">
        <v>87.799242424242408</v>
      </c>
      <c r="AF170" s="125">
        <v>77.182625033889295</v>
      </c>
      <c r="AG170" s="125">
        <v>83.519193442495009</v>
      </c>
      <c r="AH170" s="125">
        <v>84.03845378508953</v>
      </c>
      <c r="AI170" s="125">
        <v>85.479391721563701</v>
      </c>
      <c r="AJ170" s="125">
        <v>87.537735474218962</v>
      </c>
      <c r="AK170" s="125">
        <v>89.645644144438151</v>
      </c>
      <c r="AL170" s="125">
        <v>91.804311255436218</v>
      </c>
      <c r="AM170" s="125">
        <v>94.014959070467128</v>
      </c>
      <c r="AN170" s="125">
        <v>96.278839284883958</v>
      </c>
      <c r="AO170" s="125">
        <v>98.597233734863948</v>
      </c>
      <c r="AP170" s="125">
        <v>100.97145512319948</v>
      </c>
      <c r="AQ170" s="125">
        <v>103.40284776256614</v>
      </c>
      <c r="AR170" s="125">
        <v>105.89278833668874</v>
      </c>
      <c r="AS170" s="125">
        <v>108.44268667983621</v>
      </c>
      <c r="AT170" s="125">
        <v>111.05398657508667</v>
      </c>
      <c r="AU170" s="125">
        <v>113.72816657181477</v>
      </c>
      <c r="AV170" s="125">
        <v>116.46674082286408</v>
      </c>
      <c r="AW170" s="125">
        <v>119.27125994187867</v>
      </c>
      <c r="AX170" s="125">
        <v>122.1433118812791</v>
      </c>
      <c r="AY170" s="125">
        <v>125.0845228313803</v>
      </c>
      <c r="AZ170" s="125">
        <v>128.09655814115996</v>
      </c>
      <c r="BA170" s="125">
        <v>131.1811232611991</v>
      </c>
      <c r="BB170" s="125">
        <v>134.33996470932877</v>
      </c>
      <c r="BC170" s="125">
        <f t="shared" si="74"/>
        <v>137.57487105952939</v>
      </c>
      <c r="BD170" s="125">
        <f t="shared" si="74"/>
        <v>140.88767395464285</v>
      </c>
      <c r="BE170" s="125">
        <f t="shared" si="74"/>
        <v>144.28024914347063</v>
      </c>
      <c r="BF170" s="125">
        <f t="shared" si="74"/>
        <v>147.75451754284538</v>
      </c>
      <c r="BG170" s="125">
        <f t="shared" si="74"/>
        <v>151.31244632527708</v>
      </c>
    </row>
    <row r="171" spans="1:59" ht="13.75" customHeight="1">
      <c r="A171" s="171" t="s">
        <v>166</v>
      </c>
      <c r="B171" s="165" t="s">
        <v>245</v>
      </c>
      <c r="C171" s="165"/>
      <c r="D171" s="165" t="s">
        <v>168</v>
      </c>
      <c r="E171" s="167"/>
      <c r="F171" s="168" t="s">
        <v>282</v>
      </c>
      <c r="G171" s="168" t="s">
        <v>247</v>
      </c>
      <c r="H171" s="168" t="s">
        <v>280</v>
      </c>
      <c r="I171" s="168" t="s">
        <v>283</v>
      </c>
      <c r="U171" s="112">
        <v>6.6449999999999996</v>
      </c>
      <c r="V171" s="112">
        <v>9.9760000000000009</v>
      </c>
      <c r="W171" s="125">
        <v>8.8181818181818166</v>
      </c>
      <c r="X171" s="125">
        <v>13.363636363636362</v>
      </c>
      <c r="Y171" s="125">
        <v>12.454545454545453</v>
      </c>
      <c r="Z171" s="125">
        <v>8.5709090909090904</v>
      </c>
      <c r="AA171" s="125">
        <v>12.981666666666664</v>
      </c>
      <c r="AB171" s="125">
        <v>11.529356060606061</v>
      </c>
      <c r="AC171" s="125">
        <v>15.063042929292926</v>
      </c>
      <c r="AD171" s="125">
        <v>20.881666666666664</v>
      </c>
      <c r="AE171" s="125">
        <v>13.921559343434343</v>
      </c>
      <c r="AF171" s="125">
        <v>12.721352267241814</v>
      </c>
      <c r="AG171" s="125">
        <v>13.27207379531187</v>
      </c>
      <c r="AH171" s="125">
        <v>12.629833400082489</v>
      </c>
      <c r="AI171" s="125">
        <v>12.846386718924681</v>
      </c>
      <c r="AJ171" s="125">
        <v>13.155727711116388</v>
      </c>
      <c r="AK171" s="125">
        <v>13.472517634400072</v>
      </c>
      <c r="AL171" s="125">
        <v>13.796935859036427</v>
      </c>
      <c r="AM171" s="125">
        <v>14.129166074522026</v>
      </c>
      <c r="AN171" s="125">
        <v>14.469396393596517</v>
      </c>
      <c r="AO171" s="125">
        <v>14.817819458754322</v>
      </c>
      <c r="AP171" s="125">
        <v>15.174632551321126</v>
      </c>
      <c r="AQ171" s="125">
        <v>15.540037703156941</v>
      </c>
      <c r="AR171" s="125">
        <v>15.914241811048962</v>
      </c>
      <c r="AS171" s="125">
        <v>16.297456753859024</v>
      </c>
      <c r="AT171" s="125">
        <v>16.689899512491952</v>
      </c>
      <c r="AU171" s="125">
        <v>17.091792292752761</v>
      </c>
      <c r="AV171" s="125">
        <v>17.503362651162249</v>
      </c>
      <c r="AW171" s="125">
        <v>17.924843623802236</v>
      </c>
      <c r="AX171" s="125">
        <v>18.356473858263396</v>
      </c>
      <c r="AY171" s="125">
        <v>18.79849774877038</v>
      </c>
      <c r="AZ171" s="125">
        <v>19.251165574560773</v>
      </c>
      <c r="BA171" s="125">
        <v>19.714733641596197</v>
      </c>
      <c r="BB171" s="125">
        <v>20.189464427685834</v>
      </c>
      <c r="BC171" s="125">
        <f t="shared" si="74"/>
        <v>20.675626731104511</v>
      </c>
      <c r="BD171" s="125">
        <f t="shared" si="74"/>
        <v>21.173495822789508</v>
      </c>
      <c r="BE171" s="125">
        <f t="shared" si="74"/>
        <v>21.683353602202281</v>
      </c>
      <c r="BF171" s="125">
        <f t="shared" si="74"/>
        <v>22.205488756943314</v>
      </c>
      <c r="BG171" s="125">
        <f t="shared" si="74"/>
        <v>22.740196926210512</v>
      </c>
    </row>
    <row r="172" spans="1:59" ht="13.75" customHeight="1">
      <c r="A172" s="171" t="s">
        <v>166</v>
      </c>
      <c r="B172" s="165" t="s">
        <v>245</v>
      </c>
      <c r="C172" s="165"/>
      <c r="D172" s="165" t="s">
        <v>168</v>
      </c>
      <c r="E172" s="167"/>
      <c r="F172" s="168" t="s">
        <v>284</v>
      </c>
      <c r="G172" s="168" t="s">
        <v>247</v>
      </c>
      <c r="H172" s="168"/>
      <c r="I172" s="168" t="s">
        <v>285</v>
      </c>
      <c r="W172" s="125">
        <v>1.8075524999999999</v>
      </c>
      <c r="X172" s="125">
        <v>2.8490025000000001</v>
      </c>
      <c r="Y172" s="125">
        <v>2.8644758333333331</v>
      </c>
      <c r="Z172" s="125">
        <v>2.1530208333333336</v>
      </c>
      <c r="AA172" s="125">
        <v>2.5517666666666665</v>
      </c>
      <c r="AB172" s="125">
        <v>2.0988908333333334</v>
      </c>
      <c r="AC172" s="125">
        <v>2.8948900000000002</v>
      </c>
      <c r="AD172" s="125">
        <v>3.6032348404560608</v>
      </c>
      <c r="AE172" s="125">
        <v>4.3007196642437018</v>
      </c>
      <c r="AF172" s="125">
        <v>4.8077924042073068</v>
      </c>
      <c r="AG172" s="125">
        <v>4.7742569999999951</v>
      </c>
      <c r="AH172" s="125">
        <v>4.3825329270092794</v>
      </c>
      <c r="AI172" s="125">
        <v>4.4662854407909274</v>
      </c>
      <c r="AJ172" s="125">
        <v>4.5583389668867467</v>
      </c>
      <c r="AK172" s="125">
        <v>4.6522897858849053</v>
      </c>
      <c r="AL172" s="125">
        <v>4.7481770024293084</v>
      </c>
      <c r="AM172" s="125">
        <v>4.8460405271401905</v>
      </c>
      <c r="AN172" s="125">
        <v>4.9459210932258761</v>
      </c>
      <c r="AO172" s="125">
        <v>5.0478602734369957</v>
      </c>
      <c r="AP172" s="125">
        <v>5.1519004973700522</v>
      </c>
      <c r="AQ172" s="125">
        <v>5.258085069127671</v>
      </c>
      <c r="AR172" s="125">
        <v>5.3664581853428359</v>
      </c>
      <c r="AS172" s="125">
        <v>5.4770649535746152</v>
      </c>
      <c r="AT172" s="125">
        <v>5.5899514110830371</v>
      </c>
      <c r="AU172" s="125">
        <v>5.7051645439909331</v>
      </c>
      <c r="AV172" s="125">
        <v>5.8227523068407159</v>
      </c>
      <c r="AW172" s="125">
        <v>5.9427636425542438</v>
      </c>
      <c r="AX172" s="125">
        <v>6.0652485028040681</v>
      </c>
      <c r="AY172" s="125">
        <v>6.1902578688045482</v>
      </c>
      <c r="AZ172" s="125">
        <v>6.3178437725314902</v>
      </c>
      <c r="BA172" s="125">
        <v>6.4480593183791353</v>
      </c>
      <c r="BB172" s="125">
        <v>6.580958705263515</v>
      </c>
      <c r="BC172" s="125">
        <f t="shared" si="74"/>
        <v>6.7165972491813761</v>
      </c>
      <c r="BD172" s="125">
        <f t="shared" si="74"/>
        <v>6.85503140623406</v>
      </c>
      <c r="BE172" s="125">
        <f t="shared" si="74"/>
        <v>6.9963187961259203</v>
      </c>
      <c r="BF172" s="125">
        <f t="shared" si="74"/>
        <v>7.1405182261470648</v>
      </c>
      <c r="BG172" s="125">
        <f t="shared" si="74"/>
        <v>7.2876897156503953</v>
      </c>
    </row>
    <row r="173" spans="1:59" ht="13.75" customHeight="1">
      <c r="A173" s="171" t="s">
        <v>166</v>
      </c>
      <c r="B173" s="165" t="s">
        <v>245</v>
      </c>
      <c r="C173" s="165"/>
      <c r="D173" s="165" t="s">
        <v>168</v>
      </c>
      <c r="E173" s="167"/>
      <c r="F173" s="168" t="s">
        <v>286</v>
      </c>
      <c r="G173" s="168" t="s">
        <v>247</v>
      </c>
      <c r="H173" s="168"/>
      <c r="I173" s="168" t="s">
        <v>287</v>
      </c>
      <c r="U173" s="112">
        <v>291</v>
      </c>
      <c r="V173" s="112">
        <v>305</v>
      </c>
      <c r="W173" s="126">
        <v>409.62687499999998</v>
      </c>
      <c r="X173" s="126">
        <v>444.61352333333326</v>
      </c>
      <c r="Y173" s="126">
        <v>433.9866591666667</v>
      </c>
      <c r="Z173" s="126">
        <v>425.00992583333328</v>
      </c>
      <c r="AA173" s="126">
        <v>430.87200000000001</v>
      </c>
      <c r="AB173" s="126">
        <v>457.83322678604645</v>
      </c>
      <c r="AC173" s="126">
        <v>459.79512560778295</v>
      </c>
      <c r="AD173" s="126">
        <v>492.84897756082313</v>
      </c>
      <c r="AE173" s="126">
        <v>568.43906756251056</v>
      </c>
      <c r="AF173" s="126">
        <v>537.44068512599324</v>
      </c>
      <c r="AG173" s="126">
        <v>559.18327078031336</v>
      </c>
      <c r="AH173" s="126">
        <v>595.88435839145939</v>
      </c>
      <c r="AI173" s="126">
        <v>611.06195154441048</v>
      </c>
      <c r="AJ173" s="126">
        <v>628.17168618765402</v>
      </c>
      <c r="AK173" s="126">
        <v>645.76049340090833</v>
      </c>
      <c r="AL173" s="126">
        <v>663.84178721613375</v>
      </c>
      <c r="AM173" s="126">
        <v>682.42935725818552</v>
      </c>
      <c r="AN173" s="126">
        <v>701.53737926141469</v>
      </c>
      <c r="AO173" s="126">
        <v>721.18042588073433</v>
      </c>
      <c r="AP173" s="126">
        <v>741.37347780539494</v>
      </c>
      <c r="AQ173" s="126">
        <v>762.13193518394598</v>
      </c>
      <c r="AR173" s="126">
        <v>783.47162936909649</v>
      </c>
      <c r="AS173" s="126">
        <v>805.40883499143126</v>
      </c>
      <c r="AT173" s="126">
        <v>827.9602823711914</v>
      </c>
      <c r="AU173" s="126">
        <v>851.14317027758477</v>
      </c>
      <c r="AV173" s="126">
        <v>874.97517904535721</v>
      </c>
      <c r="AW173" s="126">
        <v>899.47448405862724</v>
      </c>
      <c r="AX173" s="126">
        <v>924.65976961226886</v>
      </c>
      <c r="AY173" s="126">
        <v>950.55024316141237</v>
      </c>
      <c r="AZ173" s="126">
        <v>977.16564996993191</v>
      </c>
      <c r="BA173" s="126">
        <v>1004.52628816909</v>
      </c>
      <c r="BB173" s="126">
        <v>1032.6530242378244</v>
      </c>
      <c r="BC173" s="126">
        <f t="shared" si="74"/>
        <v>1061.5673089164834</v>
      </c>
      <c r="BD173" s="126">
        <f t="shared" si="74"/>
        <v>1091.2911935661448</v>
      </c>
      <c r="BE173" s="126">
        <f t="shared" si="74"/>
        <v>1121.8473469859966</v>
      </c>
      <c r="BF173" s="126">
        <f t="shared" si="74"/>
        <v>1153.2590727016043</v>
      </c>
      <c r="BG173" s="126">
        <f t="shared" si="74"/>
        <v>1185.550326737249</v>
      </c>
    </row>
    <row r="174" spans="1:59" ht="13.75" customHeight="1">
      <c r="A174" s="171" t="s">
        <v>166</v>
      </c>
      <c r="B174" s="165" t="s">
        <v>245</v>
      </c>
      <c r="C174" s="165"/>
      <c r="D174" s="165" t="s">
        <v>168</v>
      </c>
      <c r="E174" s="167"/>
      <c r="F174" s="168" t="s">
        <v>288</v>
      </c>
      <c r="G174" s="168" t="s">
        <v>247</v>
      </c>
      <c r="H174" s="168"/>
      <c r="I174" s="168"/>
      <c r="W174" s="125"/>
      <c r="X174" s="125">
        <v>159.69812185610925</v>
      </c>
      <c r="Y174" s="125">
        <v>158.83013626384013</v>
      </c>
      <c r="Z174" s="125">
        <v>174.45152803719049</v>
      </c>
      <c r="AA174" s="125">
        <v>163.19999999999999</v>
      </c>
      <c r="AB174" s="125">
        <v>169.51750000000001</v>
      </c>
      <c r="AC174" s="125">
        <v>174.57916666666668</v>
      </c>
      <c r="AD174" s="125">
        <v>193.37333333333333</v>
      </c>
      <c r="AE174" s="125">
        <v>211.28121665989445</v>
      </c>
      <c r="AF174" s="125">
        <v>223.17376713296159</v>
      </c>
      <c r="AG174" s="125">
        <v>232.23577252926628</v>
      </c>
      <c r="AH174" s="125">
        <v>235.74291159528045</v>
      </c>
      <c r="AI174" s="125">
        <v>241.8332282454202</v>
      </c>
      <c r="AJ174" s="125">
        <v>248.70129192759012</v>
      </c>
      <c r="AK174" s="125">
        <v>255.76440861833368</v>
      </c>
      <c r="AL174" s="125">
        <v>263.02811782309436</v>
      </c>
      <c r="AM174" s="125">
        <v>270.49811636927024</v>
      </c>
      <c r="AN174" s="125">
        <v>278.18026287415751</v>
      </c>
      <c r="AO174" s="125">
        <v>286.08058233978358</v>
      </c>
      <c r="AP174" s="125">
        <v>294.20527087823342</v>
      </c>
      <c r="AQ174" s="125">
        <v>302.56070057117523</v>
      </c>
      <c r="AR174" s="125">
        <v>311.15342446739658</v>
      </c>
      <c r="AS174" s="125">
        <v>319.99018172227062</v>
      </c>
      <c r="AT174" s="125">
        <v>329.07790288318307</v>
      </c>
      <c r="AU174" s="125">
        <v>338.42371532506547</v>
      </c>
      <c r="AV174" s="125">
        <v>348.03494884029732</v>
      </c>
      <c r="AW174" s="125">
        <v>357.91914138736178</v>
      </c>
      <c r="AX174" s="125">
        <v>368.08404500276282</v>
      </c>
      <c r="AY174" s="125">
        <v>378.53763188084127</v>
      </c>
      <c r="AZ174" s="125">
        <v>389.28810062625718</v>
      </c>
      <c r="BA174" s="125">
        <v>400.34388268404285</v>
      </c>
      <c r="BB174" s="125">
        <v>411.71364895226964</v>
      </c>
      <c r="BC174" s="125">
        <f>BB174*(1+((BB174-BA174)/BA174))</f>
        <v>423.40631658251408</v>
      </c>
      <c r="BD174" s="125">
        <f t="shared" si="74"/>
        <v>435.43105597345749</v>
      </c>
      <c r="BE174" s="125">
        <f t="shared" si="74"/>
        <v>447.79729796310369</v>
      </c>
      <c r="BF174" s="125">
        <f t="shared" si="74"/>
        <v>460.51474122525582</v>
      </c>
      <c r="BG174" s="125">
        <f t="shared" si="74"/>
        <v>473.59335987605306</v>
      </c>
    </row>
    <row r="175" spans="1:59" ht="13.75" customHeight="1">
      <c r="A175" s="171" t="s">
        <v>166</v>
      </c>
      <c r="B175" s="165" t="s">
        <v>245</v>
      </c>
      <c r="C175" s="165"/>
      <c r="D175" s="165" t="s">
        <v>168</v>
      </c>
      <c r="E175" s="167"/>
      <c r="F175" s="168" t="s">
        <v>289</v>
      </c>
      <c r="G175" s="168" t="s">
        <v>247</v>
      </c>
      <c r="H175" s="168"/>
      <c r="I175" s="168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</row>
    <row r="176" spans="1:59" ht="13.75" customHeight="1">
      <c r="A176" s="171" t="s">
        <v>166</v>
      </c>
      <c r="B176" s="165" t="s">
        <v>245</v>
      </c>
      <c r="C176" s="165"/>
      <c r="D176" s="165" t="s">
        <v>168</v>
      </c>
      <c r="E176" s="167"/>
      <c r="F176" s="168" t="s">
        <v>290</v>
      </c>
      <c r="G176" s="168" t="s">
        <v>291</v>
      </c>
      <c r="H176" s="168"/>
      <c r="I176" s="168" t="s">
        <v>292</v>
      </c>
      <c r="W176" s="125">
        <v>72.705726666666678</v>
      </c>
      <c r="X176" s="125">
        <v>82.937836666666669</v>
      </c>
      <c r="Y176" s="125">
        <v>87.611999999999995</v>
      </c>
      <c r="Z176" s="125">
        <v>89.4</v>
      </c>
      <c r="AA176" s="125">
        <v>92.840503333333331</v>
      </c>
      <c r="AB176" s="125">
        <v>102.36471916666667</v>
      </c>
      <c r="AC176" s="125">
        <v>108.48993333333334</v>
      </c>
      <c r="AD176" s="125">
        <v>105.75087749999999</v>
      </c>
      <c r="AE176" s="125">
        <v>114.55738166666666</v>
      </c>
      <c r="AF176" s="125">
        <v>129.47461384176671</v>
      </c>
      <c r="AG176" s="125">
        <v>137.68866721174942</v>
      </c>
      <c r="AH176" s="125">
        <v>142.03820035886028</v>
      </c>
      <c r="AI176" s="125">
        <v>147.67223706029438</v>
      </c>
      <c r="AJ176" s="125">
        <v>153.57912654270615</v>
      </c>
      <c r="AK176" s="125">
        <v>159.72229160441441</v>
      </c>
      <c r="AL176" s="125">
        <v>166.11118326859099</v>
      </c>
      <c r="AM176" s="125">
        <v>172.75563059933464</v>
      </c>
      <c r="AN176" s="125">
        <v>179.66585582330802</v>
      </c>
      <c r="AO176" s="125">
        <v>186.85249005624036</v>
      </c>
      <c r="AP176" s="125">
        <v>194.32658965848998</v>
      </c>
      <c r="AQ176" s="125">
        <v>202.0996532448296</v>
      </c>
      <c r="AR176" s="125">
        <v>210.1836393746228</v>
      </c>
      <c r="AS176" s="125">
        <v>218.59098494960773</v>
      </c>
      <c r="AT176" s="125">
        <v>227.33462434759204</v>
      </c>
      <c r="AU176" s="125">
        <v>236.42800932149572</v>
      </c>
      <c r="AV176" s="125">
        <v>245.88512969435556</v>
      </c>
      <c r="AW176" s="125">
        <v>255.72053488212978</v>
      </c>
      <c r="AX176" s="125">
        <v>265.94935627741501</v>
      </c>
      <c r="AY176" s="125">
        <v>276.58733052851164</v>
      </c>
      <c r="AZ176" s="125">
        <v>287.65082374965209</v>
      </c>
      <c r="BA176" s="125">
        <v>299.15685669963818</v>
      </c>
      <c r="BB176" s="125">
        <v>311.12313096762369</v>
      </c>
      <c r="BC176" s="125">
        <f t="shared" si="74"/>
        <v>323.56805620632866</v>
      </c>
      <c r="BD176" s="125">
        <f t="shared" si="74"/>
        <v>336.51077845458184</v>
      </c>
      <c r="BE176" s="125">
        <f t="shared" si="74"/>
        <v>349.97120959276515</v>
      </c>
      <c r="BF176" s="125">
        <f t="shared" si="74"/>
        <v>363.97005797647574</v>
      </c>
      <c r="BG176" s="125">
        <f t="shared" si="74"/>
        <v>378.5288602955348</v>
      </c>
    </row>
    <row r="177" spans="1:59" ht="13.75" customHeight="1">
      <c r="A177" s="171" t="s">
        <v>166</v>
      </c>
      <c r="B177" s="165" t="s">
        <v>245</v>
      </c>
      <c r="C177" s="165"/>
      <c r="D177" s="165" t="s">
        <v>168</v>
      </c>
      <c r="E177" s="167"/>
      <c r="F177" s="168" t="s">
        <v>293</v>
      </c>
      <c r="G177" s="168" t="s">
        <v>291</v>
      </c>
      <c r="H177" s="168"/>
      <c r="I177" s="168" t="s">
        <v>292</v>
      </c>
      <c r="W177" s="125">
        <v>160.11000000000001</v>
      </c>
      <c r="X177" s="125">
        <v>164.14869583333333</v>
      </c>
      <c r="Y177" s="125">
        <v>157.62048583333336</v>
      </c>
      <c r="Z177" s="125">
        <v>156.45000000000002</v>
      </c>
      <c r="AA177" s="125">
        <v>162.47088083333333</v>
      </c>
      <c r="AB177" s="125">
        <v>179.13825854166669</v>
      </c>
      <c r="AC177" s="125">
        <v>189.85738333333333</v>
      </c>
      <c r="AD177" s="125">
        <v>185.06403562499997</v>
      </c>
      <c r="AE177" s="125">
        <v>200.47541791666666</v>
      </c>
      <c r="AF177" s="125">
        <v>226.58057422309173</v>
      </c>
      <c r="AG177" s="125">
        <v>240.9551676205615</v>
      </c>
      <c r="AH177" s="125">
        <v>248.56685062800548</v>
      </c>
      <c r="AI177" s="125">
        <v>258.42641485551519</v>
      </c>
      <c r="AJ177" s="125">
        <v>268.76347144973579</v>
      </c>
      <c r="AK177" s="125">
        <v>279.51401030772524</v>
      </c>
      <c r="AL177" s="125">
        <v>290.69457072003422</v>
      </c>
      <c r="AM177" s="125">
        <v>302.32235354883562</v>
      </c>
      <c r="AN177" s="125">
        <v>314.41524769078904</v>
      </c>
      <c r="AO177" s="125">
        <v>326.99185759842061</v>
      </c>
      <c r="AP177" s="125">
        <v>340.07153190235749</v>
      </c>
      <c r="AQ177" s="125">
        <v>353.67439317845179</v>
      </c>
      <c r="AR177" s="125">
        <v>367.82136890558991</v>
      </c>
      <c r="AS177" s="125">
        <v>382.53422366181354</v>
      </c>
      <c r="AT177" s="125">
        <v>397.83559260828605</v>
      </c>
      <c r="AU177" s="125">
        <v>413.74901631261753</v>
      </c>
      <c r="AV177" s="125">
        <v>430.29897696512222</v>
      </c>
      <c r="AW177" s="125">
        <v>447.5109360437271</v>
      </c>
      <c r="AX177" s="125">
        <v>465.41137348547625</v>
      </c>
      <c r="AY177" s="125">
        <v>484.02782842489535</v>
      </c>
      <c r="AZ177" s="125">
        <v>503.38894156189116</v>
      </c>
      <c r="BA177" s="125">
        <v>523.52449922436676</v>
      </c>
      <c r="BB177" s="125">
        <v>544.46547919334148</v>
      </c>
      <c r="BC177" s="125">
        <f>BB177*(1+((BB177-BA177)/BA177))</f>
        <v>566.2440983610752</v>
      </c>
      <c r="BD177" s="125">
        <f t="shared" si="74"/>
        <v>588.89386229551826</v>
      </c>
      <c r="BE177" s="125">
        <f t="shared" si="74"/>
        <v>612.44961678733898</v>
      </c>
      <c r="BF177" s="125">
        <f t="shared" si="74"/>
        <v>636.94760145883254</v>
      </c>
      <c r="BG177" s="125">
        <f t="shared" si="74"/>
        <v>662.42550551718591</v>
      </c>
    </row>
    <row r="178" spans="1:59" ht="13.75" customHeight="1">
      <c r="A178" s="171" t="s">
        <v>166</v>
      </c>
      <c r="B178" s="165" t="s">
        <v>245</v>
      </c>
      <c r="C178" s="165"/>
      <c r="D178" s="165" t="s">
        <v>168</v>
      </c>
      <c r="E178" s="167"/>
      <c r="F178" s="168" t="s">
        <v>294</v>
      </c>
      <c r="G178" s="168" t="s">
        <v>4</v>
      </c>
      <c r="H178" s="168"/>
      <c r="I178" s="168" t="s">
        <v>295</v>
      </c>
      <c r="U178" s="112">
        <v>2400</v>
      </c>
      <c r="V178" s="112">
        <v>2500</v>
      </c>
      <c r="W178" s="127">
        <v>3008.19</v>
      </c>
      <c r="X178" s="127">
        <v>3092.69</v>
      </c>
      <c r="Y178" s="127">
        <v>2851.0533955111755</v>
      </c>
      <c r="Z178" s="127">
        <v>2008.6695034688171</v>
      </c>
      <c r="AA178" s="127">
        <v>2307.2487056120212</v>
      </c>
      <c r="AB178" s="127">
        <v>2386.0315252475725</v>
      </c>
      <c r="AC178" s="127">
        <v>2519.9916495784919</v>
      </c>
      <c r="AD178" s="127">
        <v>2493.1796528954137</v>
      </c>
      <c r="AE178" s="127">
        <v>2471.6005263157895</v>
      </c>
      <c r="AF178" s="127">
        <v>3216.9100147024342</v>
      </c>
      <c r="AG178" s="127">
        <v>3605.3333333333335</v>
      </c>
      <c r="AH178" s="127">
        <v>3460.2083333333335</v>
      </c>
      <c r="AI178" s="127">
        <v>3474.4587342298873</v>
      </c>
      <c r="AJ178" s="127">
        <v>3488.3565691668068</v>
      </c>
      <c r="AK178" s="127">
        <v>3502.3099954434742</v>
      </c>
      <c r="AL178" s="127">
        <v>3516.3192354252483</v>
      </c>
      <c r="AM178" s="127">
        <v>3530.3845123669494</v>
      </c>
      <c r="AN178" s="127">
        <v>3544.5060504164171</v>
      </c>
      <c r="AO178" s="127">
        <v>3558.6840746180828</v>
      </c>
      <c r="AP178" s="127">
        <v>3572.9188109165552</v>
      </c>
      <c r="AQ178" s="127">
        <v>3587.2104861602215</v>
      </c>
      <c r="AR178" s="127">
        <v>3601.5593281048623</v>
      </c>
      <c r="AS178" s="127">
        <v>3615.9655654172816</v>
      </c>
      <c r="AT178" s="127">
        <v>3630.4294276789506</v>
      </c>
      <c r="AU178" s="127">
        <v>3644.9511453896662</v>
      </c>
      <c r="AV178" s="127">
        <v>3659.5309499712248</v>
      </c>
      <c r="AW178" s="127">
        <v>3674.1690737711097</v>
      </c>
      <c r="AX178" s="127">
        <v>3688.8657500661943</v>
      </c>
      <c r="AY178" s="127">
        <v>3703.6212130664589</v>
      </c>
      <c r="AZ178" s="127">
        <v>3718.4356979187246</v>
      </c>
      <c r="BA178" s="127">
        <v>3733.3094407103995</v>
      </c>
      <c r="BB178" s="127">
        <v>3748.2426784732411</v>
      </c>
      <c r="BC178" s="127">
        <f>BB178*(1+((BB178-BA178)/BA178))</f>
        <v>3763.2356491871342</v>
      </c>
      <c r="BD178" s="127">
        <f t="shared" si="74"/>
        <v>3778.2885917838826</v>
      </c>
      <c r="BE178" s="127">
        <f t="shared" si="74"/>
        <v>3793.401746151018</v>
      </c>
      <c r="BF178" s="127">
        <f t="shared" si="74"/>
        <v>3808.5753531356222</v>
      </c>
      <c r="BG178" s="127">
        <f>BF178*(1+((BF178-BE178)/BE178))</f>
        <v>3823.8096545481649</v>
      </c>
    </row>
    <row r="179" spans="1:59" ht="13.75" customHeight="1">
      <c r="A179" s="171" t="s">
        <v>166</v>
      </c>
      <c r="B179" s="165" t="s">
        <v>245</v>
      </c>
      <c r="C179" s="165"/>
      <c r="D179" s="165" t="s">
        <v>168</v>
      </c>
      <c r="E179" s="167"/>
      <c r="F179" s="168" t="s">
        <v>296</v>
      </c>
      <c r="G179" s="168" t="s">
        <v>297</v>
      </c>
      <c r="H179" s="168"/>
      <c r="I179" s="168" t="s">
        <v>298</v>
      </c>
      <c r="U179" s="112">
        <v>74568</v>
      </c>
      <c r="V179" s="112">
        <v>79550</v>
      </c>
      <c r="W179" s="127">
        <v>115454.3322</v>
      </c>
      <c r="X179" s="127">
        <v>188468.52859999999</v>
      </c>
      <c r="Y179" s="127">
        <v>191163.13016902431</v>
      </c>
      <c r="Z179" s="127">
        <v>117101.7855445181</v>
      </c>
      <c r="AA179" s="127">
        <v>145186.83066199592</v>
      </c>
      <c r="AB179" s="127">
        <v>154253.5816147484</v>
      </c>
      <c r="AC179" s="127">
        <v>181836.55732445544</v>
      </c>
      <c r="AD179" s="127">
        <v>183726.33154162459</v>
      </c>
      <c r="AE179" s="127">
        <v>170492.05879749698</v>
      </c>
      <c r="AF179" s="127">
        <v>276752.38969881803</v>
      </c>
      <c r="AG179" s="127">
        <v>329716.5316666665</v>
      </c>
      <c r="AH179" s="127">
        <v>320034.6687499996</v>
      </c>
      <c r="AI179" s="127">
        <v>325522.0388099975</v>
      </c>
      <c r="AJ179" s="127">
        <v>333360.60950454226</v>
      </c>
      <c r="AK179" s="127">
        <v>341387.93298141164</v>
      </c>
      <c r="AL179" s="127">
        <v>349608.5544076041</v>
      </c>
      <c r="AM179" s="127">
        <v>358027.1283977392</v>
      </c>
      <c r="AN179" s="127">
        <v>366648.42164955678</v>
      </c>
      <c r="AO179" s="127">
        <v>375477.31564287812</v>
      </c>
      <c r="AP179" s="127">
        <v>384518.80940355867</v>
      </c>
      <c r="AQ179" s="127">
        <v>393778.02233399643</v>
      </c>
      <c r="AR179" s="127">
        <v>403260.19711179903</v>
      </c>
      <c r="AS179" s="127">
        <v>412970.7026582511</v>
      </c>
      <c r="AT179" s="127">
        <v>422915.03717826179</v>
      </c>
      <c r="AU179" s="127">
        <v>433098.83127351431</v>
      </c>
      <c r="AV179" s="127">
        <v>443527.85113058059</v>
      </c>
      <c r="AW179" s="127">
        <v>454208.00178580498</v>
      </c>
      <c r="AX179" s="127">
        <v>465145.33046880714</v>
      </c>
      <c r="AY179" s="127">
        <v>476346.03002649604</v>
      </c>
      <c r="AZ179" s="127">
        <v>487816.4424295341</v>
      </c>
      <c r="BA179" s="127">
        <v>499563.06236323732</v>
      </c>
      <c r="BB179" s="127">
        <v>511592.54090494406</v>
      </c>
      <c r="BC179" s="127">
        <f t="shared" si="74"/>
        <v>523911.68928993505</v>
      </c>
      <c r="BD179" s="127">
        <f t="shared" si="74"/>
        <v>536527.48276803666</v>
      </c>
      <c r="BE179" s="127">
        <f t="shared" si="74"/>
        <v>549447.06455309095</v>
      </c>
      <c r="BF179" s="127">
        <f t="shared" si="74"/>
        <v>562677.74986752926</v>
      </c>
      <c r="BG179" s="127">
        <f t="shared" si="74"/>
        <v>576227.03008433932</v>
      </c>
    </row>
    <row r="180" spans="1:59" ht="13.75" customHeight="1">
      <c r="A180" s="171" t="s">
        <v>166</v>
      </c>
      <c r="B180" s="165" t="s">
        <v>245</v>
      </c>
      <c r="C180" s="165"/>
      <c r="D180" s="165" t="s">
        <v>168</v>
      </c>
      <c r="E180" s="167"/>
      <c r="F180" s="168" t="s">
        <v>299</v>
      </c>
      <c r="G180" s="168" t="s">
        <v>247</v>
      </c>
      <c r="H180" s="168" t="s">
        <v>280</v>
      </c>
      <c r="I180" s="168" t="s">
        <v>248</v>
      </c>
      <c r="T180" s="109">
        <v>34.200000000000003</v>
      </c>
      <c r="U180" s="112">
        <v>30.4</v>
      </c>
      <c r="V180" s="112">
        <v>27.8</v>
      </c>
      <c r="W180" s="125">
        <v>28.036363636363635</v>
      </c>
      <c r="X180" s="125">
        <v>44.893482575757574</v>
      </c>
      <c r="Y180" s="125">
        <v>48.563636363636363</v>
      </c>
      <c r="Z180" s="125">
        <v>39.118181818181817</v>
      </c>
      <c r="AA180" s="125">
        <v>40.590909090909086</v>
      </c>
      <c r="AB180" s="125">
        <v>39.521148992424237</v>
      </c>
      <c r="AC180" s="125">
        <v>55.926452022727275</v>
      </c>
      <c r="AD180" s="125">
        <v>88.908964643939385</v>
      </c>
      <c r="AE180" s="125">
        <v>77.95915404040403</v>
      </c>
      <c r="AF180" s="125">
        <v>68.508130084394338</v>
      </c>
      <c r="AG180" s="125">
        <v>74.18586010916168</v>
      </c>
      <c r="AH180" s="125">
        <v>74.647092713885954</v>
      </c>
      <c r="AI180" s="125">
        <v>75.927004740992132</v>
      </c>
      <c r="AJ180" s="125">
        <v>77.755327015155231</v>
      </c>
      <c r="AK180" s="125">
        <v>79.62767528968017</v>
      </c>
      <c r="AL180" s="125">
        <v>81.545109710655666</v>
      </c>
      <c r="AM180" s="125">
        <v>83.508715952488259</v>
      </c>
      <c r="AN180" s="125">
        <v>85.519605832624165</v>
      </c>
      <c r="AO180" s="125">
        <v>87.578917941073755</v>
      </c>
      <c r="AP180" s="125">
        <v>89.687818285094806</v>
      </c>
      <c r="AQ180" s="125">
        <v>91.847500949399901</v>
      </c>
      <c r="AR180" s="125">
        <v>94.05918877226145</v>
      </c>
      <c r="AS180" s="125">
        <v>96.324134037897508</v>
      </c>
      <c r="AT180" s="125">
        <v>98.643619185530071</v>
      </c>
      <c r="AU180" s="125">
        <v>101.01895753551764</v>
      </c>
      <c r="AV180" s="125">
        <v>103.45149403297292</v>
      </c>
      <c r="AW180" s="125">
        <v>105.94260600928692</v>
      </c>
      <c r="AX180" s="125">
        <v>108.49370396199055</v>
      </c>
      <c r="AY180" s="125">
        <v>111.10623235339528</v>
      </c>
      <c r="AZ180" s="125">
        <v>113.78167042846505</v>
      </c>
      <c r="BA180" s="125">
        <v>116.52153305238249</v>
      </c>
      <c r="BB180" s="125">
        <v>119.32737156828387</v>
      </c>
      <c r="BC180" s="125">
        <f t="shared" si="74"/>
        <v>122.20077467564815</v>
      </c>
      <c r="BD180" s="125">
        <f t="shared" si="74"/>
        <v>125.14336932983777</v>
      </c>
      <c r="BE180" s="125">
        <f t="shared" si="74"/>
        <v>128.15682166330026</v>
      </c>
      <c r="BF180" s="125">
        <f t="shared" si="74"/>
        <v>131.24283792895255</v>
      </c>
      <c r="BG180" s="125">
        <f t="shared" si="74"/>
        <v>134.40316546628173</v>
      </c>
    </row>
    <row r="181" spans="1:59" ht="13.75" customHeight="1">
      <c r="A181" s="171" t="s">
        <v>166</v>
      </c>
      <c r="B181" s="165" t="s">
        <v>245</v>
      </c>
      <c r="C181" s="165"/>
      <c r="D181" s="165" t="s">
        <v>168</v>
      </c>
      <c r="E181" s="167"/>
      <c r="F181" s="168" t="s">
        <v>300</v>
      </c>
      <c r="G181" s="168" t="s">
        <v>4</v>
      </c>
      <c r="H181" s="168"/>
      <c r="I181" s="168" t="s">
        <v>295</v>
      </c>
      <c r="U181" s="112">
        <v>1677.2727272727273</v>
      </c>
      <c r="V181" s="112">
        <v>1115</v>
      </c>
      <c r="W181" s="127">
        <v>1280</v>
      </c>
      <c r="X181" s="127">
        <v>1110</v>
      </c>
      <c r="Y181" s="127">
        <v>1475</v>
      </c>
      <c r="Z181" s="127">
        <v>1650.65</v>
      </c>
      <c r="AA181" s="127">
        <v>996.86500000000001</v>
      </c>
      <c r="AB181" s="127">
        <v>734.59833333333336</v>
      </c>
      <c r="AC181" s="127">
        <v>1010.4037141479876</v>
      </c>
      <c r="AD181" s="127">
        <v>1636.3133333333333</v>
      </c>
      <c r="AE181" s="127">
        <v>1634.6375</v>
      </c>
      <c r="AF181" s="127">
        <v>1058.2141666666666</v>
      </c>
      <c r="AG181" s="127">
        <v>1100</v>
      </c>
      <c r="AH181" s="127">
        <v>1104.5302015012226</v>
      </c>
      <c r="AI181" s="127">
        <v>1109.0790600257558</v>
      </c>
      <c r="AJ181" s="127">
        <v>1113.5153762658588</v>
      </c>
      <c r="AK181" s="127">
        <v>1117.9694377709222</v>
      </c>
      <c r="AL181" s="127">
        <v>1122.4413155220059</v>
      </c>
      <c r="AM181" s="127">
        <v>1126.9310807840939</v>
      </c>
      <c r="AN181" s="127">
        <v>1131.4388051072303</v>
      </c>
      <c r="AO181" s="127">
        <v>1135.9645603276592</v>
      </c>
      <c r="AP181" s="127">
        <v>1140.5084185689698</v>
      </c>
      <c r="AQ181" s="127">
        <v>1145.0704522432457</v>
      </c>
      <c r="AR181" s="127">
        <v>1149.6507340522187</v>
      </c>
      <c r="AS181" s="127">
        <v>1154.2493369884276</v>
      </c>
      <c r="AT181" s="127">
        <v>1158.8663343363812</v>
      </c>
      <c r="AU181" s="127">
        <v>1163.5017996737267</v>
      </c>
      <c r="AV181" s="127">
        <v>1168.1558068724216</v>
      </c>
      <c r="AW181" s="127">
        <v>1172.8284300999114</v>
      </c>
      <c r="AX181" s="127">
        <v>1177.5197438203111</v>
      </c>
      <c r="AY181" s="127">
        <v>1182.2298227955923</v>
      </c>
      <c r="AZ181" s="127">
        <v>1186.9587420867747</v>
      </c>
      <c r="BA181" s="127">
        <v>1191.7065770551219</v>
      </c>
      <c r="BB181" s="127">
        <v>1196.4734033633424</v>
      </c>
      <c r="BC181" s="127">
        <f t="shared" si="74"/>
        <v>1201.2592969767959</v>
      </c>
      <c r="BD181" s="127">
        <f t="shared" si="74"/>
        <v>1206.064334164703</v>
      </c>
      <c r="BE181" s="127">
        <f t="shared" si="74"/>
        <v>1210.8885915013618</v>
      </c>
      <c r="BF181" s="127">
        <f t="shared" si="74"/>
        <v>1215.7321458673673</v>
      </c>
      <c r="BG181" s="127">
        <f t="shared" si="74"/>
        <v>1220.5950744508368</v>
      </c>
    </row>
    <row r="182" spans="1:59" ht="13.75" customHeight="1">
      <c r="A182" s="171" t="s">
        <v>166</v>
      </c>
      <c r="B182" s="165" t="s">
        <v>245</v>
      </c>
      <c r="C182" s="165"/>
      <c r="D182" s="165" t="s">
        <v>168</v>
      </c>
      <c r="E182" s="167"/>
      <c r="F182" s="168" t="s">
        <v>301</v>
      </c>
      <c r="G182" s="168" t="s">
        <v>297</v>
      </c>
      <c r="H182" s="168"/>
      <c r="I182" s="168" t="s">
        <v>298</v>
      </c>
      <c r="W182" s="127">
        <v>49126.400000000001</v>
      </c>
      <c r="X182" s="127">
        <v>67643.399999999994</v>
      </c>
      <c r="Y182" s="127">
        <v>98898.75</v>
      </c>
      <c r="Z182" s="127">
        <v>96229.898435384661</v>
      </c>
      <c r="AA182" s="127">
        <v>62729.115242684253</v>
      </c>
      <c r="AB182" s="127">
        <v>47489.005670583334</v>
      </c>
      <c r="AC182" s="127">
        <v>73365.006158063814</v>
      </c>
      <c r="AD182" s="127">
        <v>120513.14708491668</v>
      </c>
      <c r="AE182" s="127">
        <v>116018.61214635726</v>
      </c>
      <c r="AF182" s="127">
        <v>89854.151458333334</v>
      </c>
      <c r="AG182" s="127">
        <v>100600.49999999996</v>
      </c>
      <c r="AH182" s="127">
        <v>102157.99833684794</v>
      </c>
      <c r="AI182" s="127">
        <v>103909.61713381285</v>
      </c>
      <c r="AJ182" s="127">
        <v>106411.76071439507</v>
      </c>
      <c r="AK182" s="127">
        <v>108974.15591239771</v>
      </c>
      <c r="AL182" s="127">
        <v>111598.25358676825</v>
      </c>
      <c r="AM182" s="127">
        <v>114285.53953313762</v>
      </c>
      <c r="AN182" s="127">
        <v>117037.5353250956</v>
      </c>
      <c r="AO182" s="127">
        <v>119855.79917572391</v>
      </c>
      <c r="AP182" s="127">
        <v>122741.92681987533</v>
      </c>
      <c r="AQ182" s="127">
        <v>125697.55241769794</v>
      </c>
      <c r="AR182" s="127">
        <v>128724.34947991611</v>
      </c>
      <c r="AS182" s="127">
        <v>131824.03181539249</v>
      </c>
      <c r="AT182" s="127">
        <v>134998.35450150713</v>
      </c>
      <c r="AU182" s="127">
        <v>138249.11487790343</v>
      </c>
      <c r="AV182" s="127">
        <v>141578.15356416334</v>
      </c>
      <c r="AW182" s="127">
        <v>144987.35550198844</v>
      </c>
      <c r="AX182" s="127">
        <v>148478.65102247629</v>
      </c>
      <c r="AY182" s="127">
        <v>152054.01693909755</v>
      </c>
      <c r="AZ182" s="127">
        <v>155715.47766699101</v>
      </c>
      <c r="BA182" s="127">
        <v>159465.10636921218</v>
      </c>
      <c r="BB182" s="127">
        <v>163305.02613058282</v>
      </c>
      <c r="BC182" s="127">
        <f t="shared" si="74"/>
        <v>167237.41115980726</v>
      </c>
      <c r="BD182" s="127">
        <f t="shared" si="74"/>
        <v>171264.48802053544</v>
      </c>
      <c r="BE182" s="127">
        <f t="shared" si="74"/>
        <v>175388.53689206994</v>
      </c>
      <c r="BF182" s="127">
        <f t="shared" si="74"/>
        <v>179611.89286043099</v>
      </c>
      <c r="BG182" s="127">
        <f t="shared" si="74"/>
        <v>183936.9472405102</v>
      </c>
    </row>
    <row r="183" spans="1:59" ht="13.75" customHeight="1">
      <c r="A183" s="171" t="s">
        <v>166</v>
      </c>
      <c r="B183" s="165" t="s">
        <v>245</v>
      </c>
      <c r="C183" s="165"/>
      <c r="D183" s="165" t="s">
        <v>168</v>
      </c>
      <c r="E183" s="167"/>
      <c r="F183" s="168" t="s">
        <v>302</v>
      </c>
      <c r="G183" s="168" t="s">
        <v>4</v>
      </c>
      <c r="H183" s="168"/>
      <c r="I183" s="168" t="s">
        <v>295</v>
      </c>
      <c r="U183" s="112">
        <v>1087.5</v>
      </c>
      <c r="V183" s="112">
        <v>995.83333333333337</v>
      </c>
      <c r="W183" s="127">
        <v>739.52080460783225</v>
      </c>
      <c r="X183" s="127">
        <v>564.93138455031135</v>
      </c>
      <c r="Y183" s="127">
        <v>640.11994086753509</v>
      </c>
      <c r="Z183" s="127">
        <v>651.21444855267828</v>
      </c>
      <c r="AA183" s="127">
        <v>560.24543430363997</v>
      </c>
      <c r="AB183" s="127">
        <v>524.06742032293937</v>
      </c>
      <c r="AC183" s="127">
        <v>666.09517934025689</v>
      </c>
      <c r="AD183" s="127">
        <v>1073.1305688456789</v>
      </c>
      <c r="AE183" s="127">
        <v>1178.2859323886794</v>
      </c>
      <c r="AF183" s="127">
        <v>861.83470451480332</v>
      </c>
      <c r="AG183" s="127">
        <v>881.04588514360125</v>
      </c>
      <c r="AH183" s="127">
        <v>876.60302190773393</v>
      </c>
      <c r="AI183" s="127">
        <v>880.21319311302727</v>
      </c>
      <c r="AJ183" s="127">
        <v>883.73404588547942</v>
      </c>
      <c r="AK183" s="127">
        <v>887.26898206902138</v>
      </c>
      <c r="AL183" s="127">
        <v>890.8180579972975</v>
      </c>
      <c r="AM183" s="127">
        <v>894.38133022928673</v>
      </c>
      <c r="AN183" s="127">
        <v>897.95885555020391</v>
      </c>
      <c r="AO183" s="127">
        <v>901.55069097240471</v>
      </c>
      <c r="AP183" s="127">
        <v>905.15689373629436</v>
      </c>
      <c r="AQ183" s="127">
        <v>908.77752131123952</v>
      </c>
      <c r="AR183" s="127">
        <v>912.41263139648447</v>
      </c>
      <c r="AS183" s="127">
        <v>916.06228192207038</v>
      </c>
      <c r="AT183" s="127">
        <v>919.72653104975871</v>
      </c>
      <c r="AU183" s="127">
        <v>923.40543717395769</v>
      </c>
      <c r="AV183" s="127">
        <v>927.09905892265351</v>
      </c>
      <c r="AW183" s="127">
        <v>930.80745515834417</v>
      </c>
      <c r="AX183" s="127">
        <v>934.53068497897755</v>
      </c>
      <c r="AY183" s="127">
        <v>938.26880771889341</v>
      </c>
      <c r="AZ183" s="127">
        <v>942.02188294976895</v>
      </c>
      <c r="BA183" s="127">
        <v>945.78997048156805</v>
      </c>
      <c r="BB183" s="127">
        <v>949.57313036349433</v>
      </c>
      <c r="BC183" s="127">
        <f t="shared" si="74"/>
        <v>953.37142288494829</v>
      </c>
      <c r="BD183" s="127">
        <f t="shared" si="74"/>
        <v>957.18490857648806</v>
      </c>
      <c r="BE183" s="127">
        <f t="shared" si="74"/>
        <v>961.01364821079403</v>
      </c>
      <c r="BF183" s="127">
        <f t="shared" si="74"/>
        <v>964.85770280363727</v>
      </c>
      <c r="BG183" s="127">
        <f t="shared" si="74"/>
        <v>968.71713361485183</v>
      </c>
    </row>
    <row r="184" spans="1:59" ht="13.75" customHeight="1">
      <c r="A184" s="171" t="s">
        <v>166</v>
      </c>
      <c r="B184" s="165" t="s">
        <v>245</v>
      </c>
      <c r="C184" s="165"/>
      <c r="D184" s="165" t="s">
        <v>168</v>
      </c>
      <c r="E184" s="167"/>
      <c r="F184" s="168" t="s">
        <v>303</v>
      </c>
      <c r="G184" s="168" t="s">
        <v>297</v>
      </c>
      <c r="H184" s="168"/>
      <c r="I184" s="168" t="s">
        <v>298</v>
      </c>
      <c r="W184" s="127">
        <v>28382.808480848602</v>
      </c>
      <c r="X184" s="127">
        <v>34426.918574495976</v>
      </c>
      <c r="Y184" s="127">
        <v>42920.042035168226</v>
      </c>
      <c r="Z184" s="127">
        <v>37964.620145929941</v>
      </c>
      <c r="AA184" s="127">
        <v>35254.222399844235</v>
      </c>
      <c r="AB184" s="127">
        <v>33879.614025396615</v>
      </c>
      <c r="AC184" s="127">
        <v>48227.750908078793</v>
      </c>
      <c r="AD184" s="127">
        <v>79035.333625003288</v>
      </c>
      <c r="AE184" s="127">
        <v>83708.104862421547</v>
      </c>
      <c r="AF184" s="127">
        <v>73094.675187878893</v>
      </c>
      <c r="AG184" s="127">
        <v>80574.702980644579</v>
      </c>
      <c r="AH184" s="127">
        <v>81077.013496246203</v>
      </c>
      <c r="AI184" s="127">
        <v>82467.174062759354</v>
      </c>
      <c r="AJ184" s="127">
        <v>84452.983614190613</v>
      </c>
      <c r="AK184" s="127">
        <v>86486.611459620326</v>
      </c>
      <c r="AL184" s="127">
        <v>88569.209063567992</v>
      </c>
      <c r="AM184" s="127">
        <v>90701.955617818719</v>
      </c>
      <c r="AN184" s="127">
        <v>92886.0587090958</v>
      </c>
      <c r="AO184" s="127">
        <v>95122.755002810838</v>
      </c>
      <c r="AP184" s="127">
        <v>97413.310943278528</v>
      </c>
      <c r="AQ184" s="127">
        <v>99759.023470792687</v>
      </c>
      <c r="AR184" s="127">
        <v>102161.22075596936</v>
      </c>
      <c r="AS184" s="127">
        <v>104621.26295177311</v>
      </c>
      <c r="AT184" s="127">
        <v>107140.54296365181</v>
      </c>
      <c r="AU184" s="127">
        <v>109720.48723821655</v>
      </c>
      <c r="AV184" s="127">
        <v>112362.5565709128</v>
      </c>
      <c r="AW184" s="127">
        <v>115068.2469331404</v>
      </c>
      <c r="AX184" s="127">
        <v>117839.09031929041</v>
      </c>
      <c r="AY184" s="127">
        <v>120676.65561417892</v>
      </c>
      <c r="AZ184" s="127">
        <v>123582.54948136836</v>
      </c>
      <c r="BA184" s="127">
        <v>126558.41727287971</v>
      </c>
      <c r="BB184" s="127">
        <v>129605.94396081066</v>
      </c>
      <c r="BC184" s="127">
        <f t="shared" si="74"/>
        <v>132726.855091387</v>
      </c>
      <c r="BD184" s="127">
        <f t="shared" si="74"/>
        <v>135922.9177619876</v>
      </c>
      <c r="BE184" s="127">
        <f t="shared" si="74"/>
        <v>139195.94162169629</v>
      </c>
      <c r="BF184" s="127">
        <f t="shared" si="74"/>
        <v>142547.77989594673</v>
      </c>
      <c r="BG184" s="127">
        <f t="shared" si="74"/>
        <v>145980.33043584114</v>
      </c>
    </row>
    <row r="185" spans="1:59" ht="13.75" customHeight="1">
      <c r="A185" s="171" t="s">
        <v>166</v>
      </c>
      <c r="B185" s="165" t="s">
        <v>245</v>
      </c>
      <c r="C185" s="165"/>
      <c r="D185" s="165" t="s">
        <v>168</v>
      </c>
      <c r="E185" s="167"/>
      <c r="F185" s="168" t="s">
        <v>304</v>
      </c>
      <c r="G185" s="168" t="s">
        <v>4</v>
      </c>
      <c r="H185" s="168"/>
      <c r="I185" s="168" t="s">
        <v>295</v>
      </c>
      <c r="V185" s="112">
        <v>4589</v>
      </c>
      <c r="W185" s="127">
        <v>4991</v>
      </c>
      <c r="X185" s="127">
        <v>4908</v>
      </c>
      <c r="Y185" s="127">
        <v>4806</v>
      </c>
      <c r="Z185" s="127">
        <v>4679</v>
      </c>
      <c r="AA185" s="127">
        <v>4863</v>
      </c>
      <c r="AB185" s="127">
        <v>4577.8868055555549</v>
      </c>
      <c r="AC185" s="127">
        <v>4332.1555555555542</v>
      </c>
      <c r="AD185" s="127">
        <v>4154.7399629094825</v>
      </c>
      <c r="AE185" s="127">
        <v>4269.864526285387</v>
      </c>
      <c r="AF185" s="127">
        <v>4336.4153579789618</v>
      </c>
      <c r="AG185" s="127">
        <v>4120</v>
      </c>
      <c r="AH185" s="127">
        <v>4136.9676638045794</v>
      </c>
      <c r="AI185" s="127">
        <v>4154.0052066419221</v>
      </c>
      <c r="AJ185" s="127">
        <v>4170.6212274684895</v>
      </c>
      <c r="AK185" s="127">
        <v>4187.3037123783633</v>
      </c>
      <c r="AL185" s="127">
        <v>4204.0529272278773</v>
      </c>
      <c r="AM185" s="127">
        <v>4220.8691389367887</v>
      </c>
      <c r="AN185" s="127">
        <v>4237.7526154925363</v>
      </c>
      <c r="AO185" s="127">
        <v>4254.7036259545066</v>
      </c>
      <c r="AP185" s="127">
        <v>4271.7224404583249</v>
      </c>
      <c r="AQ185" s="127">
        <v>4288.8093302201578</v>
      </c>
      <c r="AR185" s="127">
        <v>4305.9645675410384</v>
      </c>
      <c r="AS185" s="127">
        <v>4323.1884258112023</v>
      </c>
      <c r="AT185" s="127">
        <v>4340.4811795144469</v>
      </c>
      <c r="AU185" s="127">
        <v>4357.8431042325046</v>
      </c>
      <c r="AV185" s="127">
        <v>4375.2744766494343</v>
      </c>
      <c r="AW185" s="127">
        <v>4392.7755745560316</v>
      </c>
      <c r="AX185" s="127">
        <v>4410.3466768542557</v>
      </c>
      <c r="AY185" s="127">
        <v>4427.9880635616728</v>
      </c>
      <c r="AZ185" s="127">
        <v>4445.7000158159199</v>
      </c>
      <c r="BA185" s="127">
        <v>4463.4828158791834</v>
      </c>
      <c r="BB185" s="127">
        <v>4481.3367471427</v>
      </c>
      <c r="BC185" s="127">
        <f t="shared" si="74"/>
        <v>4499.2620941312707</v>
      </c>
      <c r="BD185" s="127">
        <f t="shared" si="74"/>
        <v>4517.2591425077962</v>
      </c>
      <c r="BE185" s="127">
        <f t="shared" si="74"/>
        <v>4535.3281790778274</v>
      </c>
      <c r="BF185" s="127">
        <f t="shared" si="74"/>
        <v>4553.4694917941388</v>
      </c>
      <c r="BG185" s="127">
        <f t="shared" si="74"/>
        <v>4571.6833697613156</v>
      </c>
    </row>
    <row r="186" spans="1:59" ht="13.75" customHeight="1">
      <c r="A186" s="171" t="s">
        <v>166</v>
      </c>
      <c r="B186" s="165" t="s">
        <v>245</v>
      </c>
      <c r="C186" s="165"/>
      <c r="D186" s="165" t="s">
        <v>168</v>
      </c>
      <c r="E186" s="167"/>
      <c r="F186" s="168" t="s">
        <v>305</v>
      </c>
      <c r="G186" s="168" t="s">
        <v>297</v>
      </c>
      <c r="H186" s="168"/>
      <c r="I186" s="168" t="s">
        <v>298</v>
      </c>
      <c r="V186" s="112"/>
      <c r="W186" s="127">
        <v>191554.58000000002</v>
      </c>
      <c r="X186" s="127">
        <v>299093.51999999996</v>
      </c>
      <c r="Y186" s="127">
        <v>322242.3</v>
      </c>
      <c r="Z186" s="127">
        <v>272777.20581538475</v>
      </c>
      <c r="AA186" s="127">
        <v>306011.03201052651</v>
      </c>
      <c r="AB186" s="127">
        <v>296298.73582881945</v>
      </c>
      <c r="AC186" s="127">
        <v>312883.82082590269</v>
      </c>
      <c r="AD186" s="127">
        <v>306229.48506420822</v>
      </c>
      <c r="AE186" s="127">
        <v>292727.20492481248</v>
      </c>
      <c r="AF186" s="127">
        <v>367292.60251634225</v>
      </c>
      <c r="AG186" s="127">
        <v>376794.5999999998</v>
      </c>
      <c r="AH186" s="127">
        <v>382628.13922528503</v>
      </c>
      <c r="AI186" s="127">
        <v>389188.74781028088</v>
      </c>
      <c r="AJ186" s="127">
        <v>398560.41285755247</v>
      </c>
      <c r="AK186" s="127">
        <v>408157.74759916234</v>
      </c>
      <c r="AL186" s="127">
        <v>417986.18616135023</v>
      </c>
      <c r="AM186" s="127">
        <v>428051.29352411552</v>
      </c>
      <c r="AN186" s="127">
        <v>438358.76867217629</v>
      </c>
      <c r="AO186" s="127">
        <v>448914.44782180234</v>
      </c>
      <c r="AP186" s="127">
        <v>459724.30772535142</v>
      </c>
      <c r="AQ186" s="127">
        <v>470794.46905537788</v>
      </c>
      <c r="AR186" s="127">
        <v>482131.19987023133</v>
      </c>
      <c r="AS186" s="127">
        <v>493740.91916310648</v>
      </c>
      <c r="AT186" s="127">
        <v>505630.20049655408</v>
      </c>
      <c r="AU186" s="127">
        <v>517805.77572451113</v>
      </c>
      <c r="AV186" s="127">
        <v>530274.53880395729</v>
      </c>
      <c r="AW186" s="127">
        <v>543043.54969835666</v>
      </c>
      <c r="AX186" s="127">
        <v>556120.03837509302</v>
      </c>
      <c r="AY186" s="127">
        <v>569511.40889916534</v>
      </c>
      <c r="AZ186" s="127">
        <v>583225.24362545728</v>
      </c>
      <c r="BA186" s="127">
        <v>597269.30749195826</v>
      </c>
      <c r="BB186" s="127">
        <v>611651.55241636466</v>
      </c>
      <c r="BC186" s="127">
        <f t="shared" si="74"/>
        <v>626380.12179855083</v>
      </c>
      <c r="BD186" s="127">
        <f t="shared" si="74"/>
        <v>641463.35513146</v>
      </c>
      <c r="BE186" s="127">
        <f t="shared" si="74"/>
        <v>656909.79272302566</v>
      </c>
      <c r="BF186" s="127">
        <f t="shared" si="74"/>
        <v>672728.18053179618</v>
      </c>
      <c r="BG186" s="127">
        <f t="shared" si="74"/>
        <v>688927.47511900193</v>
      </c>
    </row>
    <row r="187" spans="1:59" ht="13.75" customHeight="1" outlineLevel="1">
      <c r="A187" s="171" t="s">
        <v>166</v>
      </c>
      <c r="B187" s="165" t="s">
        <v>245</v>
      </c>
      <c r="C187" s="165"/>
      <c r="D187" s="165" t="s">
        <v>168</v>
      </c>
      <c r="E187" s="167"/>
      <c r="F187" s="168" t="s">
        <v>306</v>
      </c>
      <c r="G187" s="168" t="s">
        <v>247</v>
      </c>
      <c r="H187" s="168"/>
      <c r="I187" s="168"/>
      <c r="W187" s="125">
        <v>7.3541283333333327</v>
      </c>
      <c r="X187" s="125">
        <v>8.9003099999999993</v>
      </c>
      <c r="Y187" s="125">
        <v>9.4220333333333333</v>
      </c>
      <c r="Z187" s="125">
        <v>7.9033519174999984</v>
      </c>
      <c r="AA187" s="125">
        <v>8.6852742024999987</v>
      </c>
      <c r="AB187" s="125">
        <v>11.228012878787878</v>
      </c>
      <c r="AC187" s="125">
        <v>13.020615151515152</v>
      </c>
      <c r="AD187" s="125">
        <v>14.348793181818181</v>
      </c>
      <c r="AE187" s="125">
        <v>13.737011113636363</v>
      </c>
      <c r="AF187" s="125">
        <v>10.438509863825693</v>
      </c>
      <c r="AG187" s="125">
        <v>12.446070925125449</v>
      </c>
      <c r="AH187" s="125">
        <v>13.025147961788774</v>
      </c>
      <c r="AI187" s="125">
        <v>13.248479412821021</v>
      </c>
      <c r="AJ187" s="125">
        <v>13.567502797081751</v>
      </c>
      <c r="AK187" s="125">
        <v>13.894208264435481</v>
      </c>
      <c r="AL187" s="125">
        <v>14.228780799443088</v>
      </c>
      <c r="AM187" s="125">
        <v>14.571409841093677</v>
      </c>
      <c r="AN187" s="125">
        <v>14.922289390067213</v>
      </c>
      <c r="AO187" s="125">
        <v>15.281618118580033</v>
      </c>
      <c r="AP187" s="125">
        <v>15.649599482875441</v>
      </c>
      <c r="AQ187" s="125">
        <v>16.026441838423082</v>
      </c>
      <c r="AR187" s="125">
        <v>16.412358557892308</v>
      </c>
      <c r="AS187" s="125">
        <v>16.807568151966358</v>
      </c>
      <c r="AT187" s="125">
        <v>17.212294393065708</v>
      </c>
      <c r="AU187" s="125">
        <v>17.626766442050734</v>
      </c>
      <c r="AV187" s="125">
        <v>18.051218977975317</v>
      </c>
      <c r="AW187" s="125">
        <v>18.485892330964962</v>
      </c>
      <c r="AX187" s="125">
        <v>18.931032618294598</v>
      </c>
      <c r="AY187" s="125">
        <v>19.386891883743132</v>
      </c>
      <c r="AZ187" s="125">
        <v>19.853728240303667</v>
      </c>
      <c r="BA187" s="125">
        <v>20.33180601633018</v>
      </c>
      <c r="BB187" s="125">
        <v>20.82139590520341</v>
      </c>
      <c r="BC187" s="125">
        <f t="shared" si="74"/>
        <v>21.322775118600706</v>
      </c>
      <c r="BD187" s="125">
        <f t="shared" si="74"/>
        <v>21.836227543456609</v>
      </c>
      <c r="BE187" s="125">
        <f t="shared" si="74"/>
        <v>22.362043902703043</v>
      </c>
      <c r="BF187" s="125">
        <f t="shared" si="74"/>
        <v>22.900521919880131</v>
      </c>
      <c r="BG187" s="125">
        <f t="shared" si="74"/>
        <v>23.451966487710841</v>
      </c>
    </row>
    <row r="188" spans="1:59" ht="13.75" customHeight="1" outlineLevel="1">
      <c r="A188" s="171" t="s">
        <v>166</v>
      </c>
      <c r="B188" s="165" t="s">
        <v>245</v>
      </c>
      <c r="C188" s="165"/>
      <c r="D188" s="165" t="s">
        <v>168</v>
      </c>
      <c r="E188" s="167"/>
      <c r="F188" s="168" t="s">
        <v>307</v>
      </c>
      <c r="G188" s="168" t="s">
        <v>247</v>
      </c>
      <c r="H188" s="168"/>
      <c r="I188" s="168"/>
      <c r="W188" s="125">
        <v>52.876262626262623</v>
      </c>
      <c r="X188" s="125">
        <v>72.011363636363626</v>
      </c>
      <c r="Y188" s="125">
        <v>68.712121212121204</v>
      </c>
      <c r="Z188" s="125">
        <v>59.318181818181813</v>
      </c>
      <c r="AA188" s="125">
        <v>70.454545454545453</v>
      </c>
      <c r="AB188" s="125">
        <v>98.333333333333329</v>
      </c>
      <c r="AC188" s="125">
        <v>79.25</v>
      </c>
      <c r="AD188" s="125">
        <v>67.272727272727266</v>
      </c>
      <c r="AE188" s="125">
        <v>83.443181818181813</v>
      </c>
      <c r="AF188" s="125">
        <v>91.81283333333333</v>
      </c>
      <c r="AG188" s="125">
        <v>94.748709999999946</v>
      </c>
      <c r="AH188" s="125">
        <v>107.57453386042179</v>
      </c>
      <c r="AI188" s="125">
        <v>111.20968347157968</v>
      </c>
      <c r="AJ188" s="125">
        <v>115.47364511976095</v>
      </c>
      <c r="AK188" s="125">
        <v>119.90109405043059</v>
      </c>
      <c r="AL188" s="125">
        <v>124.49829863411834</v>
      </c>
      <c r="AM188" s="125">
        <v>129.27176758096022</v>
      </c>
      <c r="AN188" s="125">
        <v>134.22825915571306</v>
      </c>
      <c r="AO188" s="125">
        <v>139.37479074608814</v>
      </c>
      <c r="AP188" s="125">
        <v>144.71864879794998</v>
      </c>
      <c r="AQ188" s="125">
        <v>150.26739913144743</v>
      </c>
      <c r="AR188" s="125">
        <v>156.02889765268171</v>
      </c>
      <c r="AS188" s="125">
        <v>162.01130147607768</v>
      </c>
      <c r="AT188" s="125">
        <v>168.22308047320493</v>
      </c>
      <c r="AU188" s="125">
        <v>174.67302926439959</v>
      </c>
      <c r="AV188" s="125">
        <v>181.37027967016468</v>
      </c>
      <c r="AW188" s="125">
        <v>188.32431363997748</v>
      </c>
      <c r="AX188" s="125">
        <v>195.5449766768086</v>
      </c>
      <c r="AY188" s="125">
        <v>203.04249177635921</v>
      </c>
      <c r="AZ188" s="125">
        <v>210.82747390075136</v>
      </c>
      <c r="BA188" s="125">
        <v>218.91094500716338</v>
      </c>
      <c r="BB188" s="125">
        <v>227.30434965268785</v>
      </c>
      <c r="BC188" s="125">
        <f t="shared" si="74"/>
        <v>236.01957119750534</v>
      </c>
      <c r="BD188" s="125">
        <f t="shared" si="74"/>
        <v>245.06894862931449</v>
      </c>
      <c r="BE188" s="125">
        <f t="shared" si="74"/>
        <v>254.46529403283819</v>
      </c>
      <c r="BF188" s="125">
        <f t="shared" si="74"/>
        <v>264.22191072913944</v>
      </c>
      <c r="BG188" s="125">
        <f t="shared" si="74"/>
        <v>274.35261211042825</v>
      </c>
    </row>
    <row r="189" spans="1:59" ht="13.75" customHeight="1" outlineLevel="1">
      <c r="A189" s="171" t="s">
        <v>166</v>
      </c>
      <c r="B189" s="165" t="s">
        <v>245</v>
      </c>
      <c r="C189" s="165"/>
      <c r="D189" s="165" t="s">
        <v>168</v>
      </c>
      <c r="E189" s="167"/>
      <c r="F189" s="168" t="s">
        <v>308</v>
      </c>
      <c r="G189" s="168" t="s">
        <v>4</v>
      </c>
      <c r="H189" s="168"/>
      <c r="I189" s="168"/>
      <c r="W189" s="127">
        <v>1492.0833333333333</v>
      </c>
      <c r="X189" s="127">
        <v>1342.5</v>
      </c>
      <c r="Y189" s="127">
        <v>1165</v>
      </c>
      <c r="Z189" s="127">
        <v>1061.6666666666667</v>
      </c>
      <c r="AA189" s="127">
        <v>1300</v>
      </c>
      <c r="AB189" s="127">
        <v>1584.5833333333333</v>
      </c>
      <c r="AC189" s="127">
        <v>1267.9166666666665</v>
      </c>
      <c r="AD189" s="127">
        <v>1314.5833333333333</v>
      </c>
      <c r="AE189" s="127">
        <v>1508.3333333333333</v>
      </c>
      <c r="AF189" s="127">
        <v>1277.0833333333333</v>
      </c>
      <c r="AG189" s="127">
        <v>1250</v>
      </c>
      <c r="AH189" s="127">
        <v>1312.5</v>
      </c>
      <c r="AI189" s="127">
        <v>1339.526770319794</v>
      </c>
      <c r="AJ189" s="127">
        <v>1366.3173057261899</v>
      </c>
      <c r="AK189" s="127">
        <v>1393.6436518407138</v>
      </c>
      <c r="AL189" s="127">
        <v>1421.5165248775281</v>
      </c>
      <c r="AM189" s="127">
        <v>1449.9468553750787</v>
      </c>
      <c r="AN189" s="127">
        <v>1478.9457924825804</v>
      </c>
      <c r="AO189" s="127">
        <v>1508.524708332232</v>
      </c>
      <c r="AP189" s="127">
        <v>1538.6952024988766</v>
      </c>
      <c r="AQ189" s="127">
        <v>1569.4691065488541</v>
      </c>
      <c r="AR189" s="127">
        <v>1600.8584886798312</v>
      </c>
      <c r="AS189" s="127">
        <v>1632.8756584534278</v>
      </c>
      <c r="AT189" s="127">
        <v>1665.5331716224964</v>
      </c>
      <c r="AU189" s="127">
        <v>1698.8438350549463</v>
      </c>
      <c r="AV189" s="127">
        <v>1732.8207117560453</v>
      </c>
      <c r="AW189" s="127">
        <v>1767.4771259911663</v>
      </c>
      <c r="AX189" s="127">
        <v>1802.8266685109897</v>
      </c>
      <c r="AY189" s="127">
        <v>1838.8832018812095</v>
      </c>
      <c r="AZ189" s="127">
        <v>1875.6608659188337</v>
      </c>
      <c r="BA189" s="127">
        <v>1913.1740832372104</v>
      </c>
      <c r="BB189" s="127">
        <v>1951.4375649019546</v>
      </c>
      <c r="BC189" s="127">
        <f t="shared" si="74"/>
        <v>1990.4663161999938</v>
      </c>
      <c r="BD189" s="127">
        <f t="shared" si="74"/>
        <v>2030.2756425239936</v>
      </c>
      <c r="BE189" s="127">
        <f t="shared" si="74"/>
        <v>2070.8811553744736</v>
      </c>
      <c r="BF189" s="127">
        <f t="shared" si="74"/>
        <v>2112.2987784819629</v>
      </c>
      <c r="BG189" s="127">
        <f t="shared" si="74"/>
        <v>2154.544754051602</v>
      </c>
    </row>
    <row r="190" spans="1:59" ht="13.75" customHeight="1" outlineLevel="1">
      <c r="A190" s="171" t="s">
        <v>166</v>
      </c>
      <c r="B190" s="165" t="s">
        <v>245</v>
      </c>
      <c r="C190" s="165"/>
      <c r="D190" s="165" t="s">
        <v>168</v>
      </c>
      <c r="E190" s="167"/>
      <c r="F190" s="168" t="s">
        <v>309</v>
      </c>
      <c r="G190" s="168" t="s">
        <v>247</v>
      </c>
      <c r="H190" s="168"/>
      <c r="I190" s="168"/>
      <c r="W190" s="125">
        <v>28.143939393939391</v>
      </c>
      <c r="X190" s="125">
        <v>60.275252525252519</v>
      </c>
      <c r="Y190" s="125">
        <v>61.36363636363636</v>
      </c>
      <c r="Z190" s="125">
        <v>46.13636363636364</v>
      </c>
      <c r="AA190" s="125">
        <v>39.318181818181813</v>
      </c>
      <c r="AB190" s="125">
        <v>53.939393939393938</v>
      </c>
      <c r="AC190" s="125">
        <v>50.830303030303028</v>
      </c>
      <c r="AD190" s="125">
        <v>61.666666666666671</v>
      </c>
      <c r="AE190" s="125">
        <v>70.291666666666657</v>
      </c>
      <c r="AF190" s="125">
        <v>59.582575757575754</v>
      </c>
      <c r="AG190" s="125">
        <v>61.099999999999994</v>
      </c>
      <c r="AH190" s="125">
        <v>67.089223805802334</v>
      </c>
      <c r="AI190" s="125">
        <v>69.359078115490419</v>
      </c>
      <c r="AJ190" s="125">
        <v>72.161184871356227</v>
      </c>
      <c r="AK190" s="125">
        <v>75.07649674015903</v>
      </c>
      <c r="AL190" s="125">
        <v>78.109587208461463</v>
      </c>
      <c r="AM190" s="125">
        <v>81.265214531683299</v>
      </c>
      <c r="AN190" s="125">
        <v>84.548329198763298</v>
      </c>
      <c r="AO190" s="125">
        <v>87.964081698393343</v>
      </c>
      <c r="AP190" s="125">
        <v>91.517830599008448</v>
      </c>
      <c r="AQ190" s="125">
        <v>95.215150955208387</v>
      </c>
      <c r="AR190" s="125">
        <v>99.061843053798796</v>
      </c>
      <c r="AS190" s="125">
        <v>103.06394151317228</v>
      </c>
      <c r="AT190" s="125">
        <v>107.22772475030445</v>
      </c>
      <c r="AU190" s="125">
        <v>111.55972483021675</v>
      </c>
      <c r="AV190" s="125">
        <v>116.06673771335751</v>
      </c>
      <c r="AW190" s="125">
        <v>120.75583391697717</v>
      </c>
      <c r="AX190" s="125">
        <v>125.63436960722305</v>
      </c>
      <c r="AY190" s="125">
        <v>130.70999813935487</v>
      </c>
      <c r="AZ190" s="125">
        <v>135.9906820641848</v>
      </c>
      <c r="BA190" s="125">
        <v>141.48470561957788</v>
      </c>
      <c r="BB190" s="125">
        <v>147.20068772660883</v>
      </c>
      <c r="BC190" s="125">
        <f t="shared" si="74"/>
        <v>153.14759551076384</v>
      </c>
      <c r="BD190" s="125">
        <f t="shared" si="74"/>
        <v>159.33475836939868</v>
      </c>
      <c r="BE190" s="125">
        <f t="shared" si="74"/>
        <v>165.7718826075224</v>
      </c>
      <c r="BF190" s="125">
        <f t="shared" si="74"/>
        <v>172.46906666486629</v>
      </c>
      <c r="BG190" s="125">
        <f t="shared" si="74"/>
        <v>179.43681695812688</v>
      </c>
    </row>
    <row r="191" spans="1:59" ht="13.75" customHeight="1" outlineLevel="1">
      <c r="A191" s="171" t="s">
        <v>166</v>
      </c>
      <c r="B191" s="165" t="s">
        <v>245</v>
      </c>
      <c r="C191" s="165"/>
      <c r="D191" s="165" t="s">
        <v>168</v>
      </c>
      <c r="E191" s="167"/>
      <c r="F191" s="168" t="s">
        <v>310</v>
      </c>
      <c r="G191" s="168" t="s">
        <v>247</v>
      </c>
      <c r="H191" s="168"/>
      <c r="I191" s="168"/>
      <c r="W191" s="125">
        <v>72.48</v>
      </c>
      <c r="X191" s="125">
        <v>79.290000000000006</v>
      </c>
      <c r="Y191" s="125">
        <v>79.849999999999994</v>
      </c>
      <c r="Z191" s="125">
        <v>81.2589775</v>
      </c>
      <c r="AA191" s="125">
        <v>74.271000000000001</v>
      </c>
      <c r="AB191" s="125">
        <v>80.172308333333348</v>
      </c>
      <c r="AC191" s="125">
        <v>73.506501666666651</v>
      </c>
      <c r="AD191" s="125">
        <v>83.566870833333326</v>
      </c>
      <c r="AE191" s="125">
        <v>89.763695000000013</v>
      </c>
      <c r="AF191" s="125">
        <v>103.08108686680769</v>
      </c>
      <c r="AG191" s="125">
        <v>107.19133120550359</v>
      </c>
      <c r="AH191" s="125">
        <v>109.77</v>
      </c>
      <c r="AI191" s="125">
        <v>112.54</v>
      </c>
      <c r="AJ191" s="125">
        <v>115.88</v>
      </c>
      <c r="AK191" s="125">
        <v>119.32</v>
      </c>
      <c r="AL191" s="125">
        <v>122.87</v>
      </c>
      <c r="AM191" s="125">
        <v>126.54</v>
      </c>
      <c r="AN191" s="125">
        <v>130.33620000000002</v>
      </c>
      <c r="AO191" s="125">
        <v>134.24628600000003</v>
      </c>
      <c r="AP191" s="125">
        <v>138.27367458000003</v>
      </c>
      <c r="AQ191" s="125">
        <v>142.42188481740004</v>
      </c>
      <c r="AR191" s="125">
        <v>146.69454136192203</v>
      </c>
      <c r="AS191" s="125">
        <v>151.09537760277971</v>
      </c>
      <c r="AT191" s="125">
        <v>155.62823893086309</v>
      </c>
      <c r="AU191" s="125">
        <v>160.29708609878898</v>
      </c>
      <c r="AV191" s="125">
        <v>165.10599868175265</v>
      </c>
      <c r="AW191" s="125">
        <v>170.05917864220524</v>
      </c>
      <c r="AX191" s="125">
        <v>175.1609540014714</v>
      </c>
      <c r="AY191" s="125">
        <v>180.41578262151555</v>
      </c>
      <c r="AZ191" s="125">
        <v>185.82825610016101</v>
      </c>
      <c r="BA191" s="125">
        <v>191.40310378316585</v>
      </c>
      <c r="BB191" s="125">
        <v>197.14519689666082</v>
      </c>
      <c r="BC191" s="125">
        <f t="shared" si="74"/>
        <v>203.05955280356065</v>
      </c>
      <c r="BD191" s="125">
        <f t="shared" si="74"/>
        <v>209.15133938766746</v>
      </c>
      <c r="BE191" s="125">
        <f t="shared" si="74"/>
        <v>215.42587956929748</v>
      </c>
      <c r="BF191" s="125">
        <f t="shared" si="74"/>
        <v>221.8886559563764</v>
      </c>
      <c r="BG191" s="125">
        <f t="shared" si="74"/>
        <v>228.54531563506768</v>
      </c>
    </row>
    <row r="192" spans="1:59" ht="13.75" customHeight="1" outlineLevel="1">
      <c r="A192" s="171" t="s">
        <v>166</v>
      </c>
      <c r="B192" s="165" t="s">
        <v>245</v>
      </c>
      <c r="C192" s="165"/>
      <c r="D192" s="165" t="s">
        <v>168</v>
      </c>
      <c r="E192" s="167"/>
      <c r="F192" s="168" t="s">
        <v>311</v>
      </c>
      <c r="G192" s="168" t="s">
        <v>247</v>
      </c>
      <c r="H192" s="168"/>
      <c r="I192" s="168"/>
      <c r="W192" s="125">
        <v>71.28</v>
      </c>
      <c r="X192" s="125">
        <v>90.86</v>
      </c>
      <c r="Y192" s="125">
        <v>91.29</v>
      </c>
      <c r="Z192" s="125">
        <v>93.726542499999994</v>
      </c>
      <c r="AA192" s="125">
        <v>87.795000000000002</v>
      </c>
      <c r="AB192" s="125">
        <v>97.130935000000008</v>
      </c>
      <c r="AC192" s="125">
        <v>95.016915833333343</v>
      </c>
      <c r="AD192" s="125">
        <v>104.60346416666667</v>
      </c>
      <c r="AE192" s="125">
        <v>111.02915416666666</v>
      </c>
      <c r="AF192" s="125">
        <v>126.35298245024354</v>
      </c>
      <c r="AG192" s="125">
        <v>135.48421539107804</v>
      </c>
      <c r="AH192" s="125">
        <v>138.56</v>
      </c>
      <c r="AI192" s="125">
        <v>141.88999999999999</v>
      </c>
      <c r="AJ192" s="125">
        <v>145.97</v>
      </c>
      <c r="AK192" s="125">
        <v>150.18</v>
      </c>
      <c r="AL192" s="125">
        <v>154.52000000000001</v>
      </c>
      <c r="AM192" s="125">
        <v>158.99</v>
      </c>
      <c r="AN192" s="125">
        <v>163.75970000000001</v>
      </c>
      <c r="AO192" s="125">
        <v>168.67249100000001</v>
      </c>
      <c r="AP192" s="125">
        <v>173.73266573000001</v>
      </c>
      <c r="AQ192" s="125">
        <v>178.94464570190001</v>
      </c>
      <c r="AR192" s="125">
        <v>184.31298507295702</v>
      </c>
      <c r="AS192" s="125">
        <v>189.84237462514574</v>
      </c>
      <c r="AT192" s="125">
        <v>195.53764586390011</v>
      </c>
      <c r="AU192" s="125">
        <v>201.40377523981712</v>
      </c>
      <c r="AV192" s="125">
        <v>207.44588849701165</v>
      </c>
      <c r="AW192" s="125">
        <v>213.66926515192202</v>
      </c>
      <c r="AX192" s="125">
        <v>220.07934310647968</v>
      </c>
      <c r="AY192" s="125">
        <v>226.68172339967407</v>
      </c>
      <c r="AZ192" s="125">
        <v>233.4821751016643</v>
      </c>
      <c r="BA192" s="125">
        <v>240.48664035471424</v>
      </c>
      <c r="BB192" s="125">
        <v>247.70123956535568</v>
      </c>
      <c r="BC192" s="125">
        <f t="shared" si="74"/>
        <v>255.13227675231636</v>
      </c>
      <c r="BD192" s="125">
        <f t="shared" si="74"/>
        <v>262.78624505488585</v>
      </c>
      <c r="BE192" s="125">
        <f t="shared" si="74"/>
        <v>270.66983240653246</v>
      </c>
      <c r="BF192" s="125">
        <f t="shared" si="74"/>
        <v>278.78992737872846</v>
      </c>
      <c r="BG192" s="125">
        <f t="shared" si="74"/>
        <v>287.15362520009035</v>
      </c>
    </row>
    <row r="193" spans="1:59" ht="13.75" customHeight="1" outlineLevel="1">
      <c r="A193" s="171" t="s">
        <v>166</v>
      </c>
      <c r="B193" s="165" t="s">
        <v>245</v>
      </c>
      <c r="C193" s="165"/>
      <c r="D193" s="165" t="s">
        <v>168</v>
      </c>
      <c r="E193" s="167"/>
      <c r="F193" s="168" t="s">
        <v>312</v>
      </c>
      <c r="G193" s="168" t="s">
        <v>247</v>
      </c>
      <c r="H193" s="168"/>
      <c r="I193" s="168"/>
      <c r="W193" s="125">
        <v>202.57417249999995</v>
      </c>
      <c r="X193" s="125">
        <v>206.62042583333331</v>
      </c>
      <c r="Y193" s="125">
        <v>213.99965</v>
      </c>
      <c r="Z193" s="125">
        <v>187.41547166666669</v>
      </c>
      <c r="AA193" s="125">
        <v>208.136</v>
      </c>
      <c r="AB193" s="125">
        <v>219.69926250000003</v>
      </c>
      <c r="AC193" s="125">
        <v>218.74244916666669</v>
      </c>
      <c r="AD193" s="125">
        <v>232.925085</v>
      </c>
      <c r="AE193" s="125">
        <v>264.34417083333335</v>
      </c>
      <c r="AF193" s="125">
        <v>270.42789845246108</v>
      </c>
      <c r="AG193" s="125">
        <v>281.36827179625067</v>
      </c>
      <c r="AH193" s="125">
        <v>299.83542225263102</v>
      </c>
      <c r="AI193" s="125">
        <v>307.4724410595656</v>
      </c>
      <c r="AJ193" s="125">
        <v>316.08166940923343</v>
      </c>
      <c r="AK193" s="125">
        <v>324.93195615269195</v>
      </c>
      <c r="AL193" s="125">
        <v>334.03005092496733</v>
      </c>
      <c r="AM193" s="125">
        <v>343.38289235086643</v>
      </c>
      <c r="AN193" s="125">
        <v>352.99761333669068</v>
      </c>
      <c r="AO193" s="125">
        <v>362.88154651011803</v>
      </c>
      <c r="AP193" s="125">
        <v>373.04222981240133</v>
      </c>
      <c r="AQ193" s="125">
        <v>383.4874122471486</v>
      </c>
      <c r="AR193" s="125">
        <v>394.22505979006877</v>
      </c>
      <c r="AS193" s="125">
        <v>405.26336146419072</v>
      </c>
      <c r="AT193" s="125">
        <v>416.61073558518808</v>
      </c>
      <c r="AU193" s="125">
        <v>428.27583618157337</v>
      </c>
      <c r="AV193" s="125">
        <v>440.26755959465743</v>
      </c>
      <c r="AW193" s="125">
        <v>452.59505126330782</v>
      </c>
      <c r="AX193" s="125">
        <v>465.26771269868044</v>
      </c>
      <c r="AY193" s="125">
        <v>478.29520865424348</v>
      </c>
      <c r="AZ193" s="125">
        <v>491.68747449656229</v>
      </c>
      <c r="BA193" s="125">
        <v>505.45472378246603</v>
      </c>
      <c r="BB193" s="125">
        <v>519.60745604837507</v>
      </c>
      <c r="BC193" s="125">
        <f t="shared" si="74"/>
        <v>534.15646481772956</v>
      </c>
      <c r="BD193" s="125">
        <f t="shared" si="74"/>
        <v>549.11284583262602</v>
      </c>
      <c r="BE193" s="125">
        <f t="shared" si="74"/>
        <v>564.48800551593956</v>
      </c>
      <c r="BF193" s="125">
        <f t="shared" si="74"/>
        <v>580.29366967038584</v>
      </c>
      <c r="BG193" s="125">
        <f t="shared" si="74"/>
        <v>596.5418924211566</v>
      </c>
    </row>
    <row r="194" spans="1:59" ht="13.75" customHeight="1">
      <c r="A194" s="171" t="s">
        <v>166</v>
      </c>
      <c r="B194" s="165" t="s">
        <v>313</v>
      </c>
      <c r="C194" s="165"/>
      <c r="D194" s="165" t="s">
        <v>98</v>
      </c>
      <c r="E194" s="167"/>
      <c r="F194" s="168" t="s">
        <v>314</v>
      </c>
      <c r="G194" s="168" t="s">
        <v>315</v>
      </c>
      <c r="H194" s="168"/>
      <c r="I194" s="168" t="s">
        <v>316</v>
      </c>
      <c r="J194" s="112"/>
      <c r="K194" s="112"/>
      <c r="L194" s="112"/>
      <c r="M194" s="112"/>
      <c r="N194" s="112"/>
      <c r="O194" s="112"/>
      <c r="P194" s="112"/>
      <c r="Q194" s="112"/>
      <c r="R194" s="112"/>
      <c r="S194" s="112">
        <v>79.73</v>
      </c>
      <c r="T194" s="112">
        <v>111.05</v>
      </c>
      <c r="U194" s="112">
        <v>111.94</v>
      </c>
      <c r="V194" s="112">
        <v>108.79</v>
      </c>
      <c r="W194" s="112">
        <v>98.88</v>
      </c>
      <c r="X194" s="112">
        <v>52.31</v>
      </c>
      <c r="Y194" s="112">
        <v>44.11</v>
      </c>
      <c r="Z194" s="112">
        <v>54.35</v>
      </c>
      <c r="AA194" s="112">
        <v>71.150000000000006</v>
      </c>
      <c r="AB194" s="112">
        <v>64.164900000000003</v>
      </c>
      <c r="AC194" s="112">
        <v>42.299401083819561</v>
      </c>
      <c r="AD194" s="112">
        <v>70.745833333333337</v>
      </c>
      <c r="AE194" s="112">
        <v>99.085135658914794</v>
      </c>
      <c r="AF194" s="112">
        <v>85.074139473397565</v>
      </c>
      <c r="AG194" s="112">
        <v>86.552628471066342</v>
      </c>
      <c r="AH194" s="112">
        <v>80.905914874384735</v>
      </c>
      <c r="AI194" s="112">
        <v>79.853201833016726</v>
      </c>
      <c r="AJ194" s="112">
        <v>80.172614640348797</v>
      </c>
      <c r="AK194" s="112">
        <v>80.493305098910199</v>
      </c>
      <c r="AL194" s="112">
        <v>80.815278319305833</v>
      </c>
      <c r="AM194" s="112">
        <v>81.138539432583059</v>
      </c>
      <c r="AN194" s="112">
        <v>81.463093590313392</v>
      </c>
      <c r="AO194" s="112">
        <v>81.788945964674639</v>
      </c>
      <c r="AP194" s="112">
        <v>82.116101748533339</v>
      </c>
      <c r="AQ194" s="112">
        <v>82.444566155527468</v>
      </c>
      <c r="AR194" s="112">
        <v>82.774344420149575</v>
      </c>
      <c r="AS194" s="112">
        <v>83.105441797830167</v>
      </c>
      <c r="AT194" s="112">
        <v>83.437863565021487</v>
      </c>
      <c r="AU194" s="112">
        <v>83.771615019281569</v>
      </c>
      <c r="AV194" s="112">
        <v>84.106701479358691</v>
      </c>
      <c r="AW194" s="112">
        <v>84.443128285276131</v>
      </c>
      <c r="AX194" s="112">
        <v>84.780900798417235</v>
      </c>
      <c r="AY194" s="112">
        <v>85.120024401610905</v>
      </c>
      <c r="AZ194" s="112">
        <v>85.46050449921735</v>
      </c>
      <c r="BA194" s="112">
        <v>85.802346517214218</v>
      </c>
      <c r="BB194" s="112">
        <v>86.145555903283082</v>
      </c>
      <c r="BC194" s="112">
        <f t="shared" si="74"/>
        <v>86.490138126896213</v>
      </c>
      <c r="BD194" s="112">
        <f t="shared" si="74"/>
        <v>86.836098679403804</v>
      </c>
      <c r="BE194" s="112">
        <f t="shared" si="74"/>
        <v>87.183443074121413</v>
      </c>
      <c r="BF194" s="112">
        <f t="shared" si="74"/>
        <v>87.532176846417897</v>
      </c>
      <c r="BG194" s="112">
        <f t="shared" si="74"/>
        <v>87.882305553803576</v>
      </c>
    </row>
    <row r="195" spans="1:59" ht="13.75" customHeight="1">
      <c r="A195" s="171" t="s">
        <v>166</v>
      </c>
      <c r="B195" s="165" t="s">
        <v>313</v>
      </c>
      <c r="C195" s="165"/>
      <c r="D195" s="165" t="s">
        <v>168</v>
      </c>
      <c r="E195" s="167"/>
      <c r="F195" s="168" t="s">
        <v>317</v>
      </c>
      <c r="G195" s="168" t="s">
        <v>318</v>
      </c>
      <c r="H195" s="168"/>
      <c r="I195" s="168" t="s">
        <v>319</v>
      </c>
      <c r="U195" s="112">
        <v>446</v>
      </c>
      <c r="V195" s="112">
        <v>470</v>
      </c>
      <c r="W195" s="112">
        <v>493</v>
      </c>
      <c r="X195" s="128">
        <v>766</v>
      </c>
      <c r="Y195" s="128">
        <v>857</v>
      </c>
      <c r="Z195" s="128">
        <v>919</v>
      </c>
      <c r="AA195" s="128">
        <v>919</v>
      </c>
      <c r="AB195" s="128">
        <v>919</v>
      </c>
      <c r="AC195" s="128">
        <v>919</v>
      </c>
      <c r="AD195" s="128">
        <v>919</v>
      </c>
      <c r="AE195" s="128">
        <v>919</v>
      </c>
      <c r="AF195" s="128">
        <v>919</v>
      </c>
      <c r="AG195" s="128">
        <v>919</v>
      </c>
      <c r="AH195" s="128">
        <v>919</v>
      </c>
      <c r="AI195" s="128">
        <v>919</v>
      </c>
      <c r="AJ195" s="128">
        <v>919</v>
      </c>
      <c r="AK195" s="128">
        <v>919</v>
      </c>
      <c r="AL195" s="128">
        <v>919</v>
      </c>
      <c r="AM195" s="128">
        <v>919</v>
      </c>
      <c r="AN195" s="109">
        <v>919</v>
      </c>
      <c r="AO195" s="109">
        <v>919</v>
      </c>
      <c r="AP195" s="109">
        <v>919</v>
      </c>
      <c r="AQ195" s="109">
        <v>919</v>
      </c>
      <c r="AR195" s="109">
        <v>919</v>
      </c>
      <c r="AS195" s="109">
        <v>919</v>
      </c>
      <c r="AT195" s="109">
        <v>919</v>
      </c>
      <c r="AU195" s="109">
        <v>919</v>
      </c>
      <c r="AV195" s="109">
        <v>919</v>
      </c>
      <c r="AW195" s="109">
        <v>919</v>
      </c>
      <c r="AX195" s="109">
        <v>919</v>
      </c>
      <c r="AY195" s="109">
        <v>919</v>
      </c>
      <c r="AZ195" s="109">
        <f>AY195</f>
        <v>919</v>
      </c>
      <c r="BA195" s="109">
        <f t="shared" ref="BA195:BG195" si="75">AZ195</f>
        <v>919</v>
      </c>
      <c r="BB195" s="109">
        <f t="shared" si="75"/>
        <v>919</v>
      </c>
      <c r="BC195" s="109">
        <f t="shared" si="75"/>
        <v>919</v>
      </c>
      <c r="BD195" s="109">
        <f t="shared" si="75"/>
        <v>919</v>
      </c>
      <c r="BE195" s="109">
        <f t="shared" si="75"/>
        <v>919</v>
      </c>
      <c r="BF195" s="109">
        <f t="shared" si="75"/>
        <v>919</v>
      </c>
      <c r="BG195" s="109">
        <f t="shared" si="75"/>
        <v>919</v>
      </c>
    </row>
    <row r="196" spans="1:59" ht="13.75" customHeight="1">
      <c r="A196" s="171" t="s">
        <v>166</v>
      </c>
      <c r="B196" s="165" t="s">
        <v>313</v>
      </c>
      <c r="C196" s="165"/>
      <c r="D196" s="165" t="s">
        <v>168</v>
      </c>
      <c r="E196" s="167"/>
      <c r="F196" s="168" t="s">
        <v>320</v>
      </c>
      <c r="G196" s="168" t="s">
        <v>318</v>
      </c>
      <c r="H196" s="168"/>
      <c r="I196" s="168" t="s">
        <v>321</v>
      </c>
      <c r="U196" s="112">
        <v>7975</v>
      </c>
      <c r="V196" s="112">
        <v>10100</v>
      </c>
      <c r="W196" s="112">
        <v>11110</v>
      </c>
      <c r="X196" s="128">
        <v>7300</v>
      </c>
      <c r="Y196" s="128">
        <v>7530</v>
      </c>
      <c r="Z196" s="128">
        <v>13100</v>
      </c>
      <c r="AA196" s="128">
        <v>13100</v>
      </c>
      <c r="AB196" s="128">
        <v>13100</v>
      </c>
      <c r="AC196" s="128">
        <v>13100</v>
      </c>
      <c r="AD196" s="128">
        <v>13624</v>
      </c>
      <c r="AE196" s="128">
        <v>14169</v>
      </c>
      <c r="AF196" s="128">
        <v>14736</v>
      </c>
      <c r="AG196" s="128">
        <v>15458</v>
      </c>
      <c r="AH196" s="128">
        <v>16076</v>
      </c>
      <c r="AI196" s="128">
        <v>16719</v>
      </c>
      <c r="AJ196" s="128">
        <f t="shared" ref="AJ196:AY206" si="76">AI196*(1+AJ$3)</f>
        <v>17387.760000000002</v>
      </c>
      <c r="AK196" s="128">
        <f t="shared" si="76"/>
        <v>18083.270400000001</v>
      </c>
      <c r="AL196" s="128">
        <f t="shared" si="76"/>
        <v>18806.601216000003</v>
      </c>
      <c r="AM196" s="128">
        <f t="shared" si="76"/>
        <v>19558.865264640004</v>
      </c>
      <c r="AN196" s="128">
        <f t="shared" si="76"/>
        <v>20341.219875225604</v>
      </c>
      <c r="AO196" s="128">
        <f t="shared" si="76"/>
        <v>21154.868670234628</v>
      </c>
      <c r="AP196" s="128">
        <f t="shared" si="76"/>
        <v>22001.063417044013</v>
      </c>
      <c r="AQ196" s="128">
        <f t="shared" si="76"/>
        <v>22881.105953725775</v>
      </c>
      <c r="AR196" s="128">
        <f t="shared" si="76"/>
        <v>23796.350191874808</v>
      </c>
      <c r="AS196" s="128">
        <f t="shared" si="76"/>
        <v>24748.2041995498</v>
      </c>
      <c r="AT196" s="128">
        <f t="shared" si="76"/>
        <v>25738.132367531794</v>
      </c>
      <c r="AU196" s="128">
        <f t="shared" si="76"/>
        <v>26767.657662233069</v>
      </c>
      <c r="AV196" s="128">
        <f t="shared" si="76"/>
        <v>27838.363968722391</v>
      </c>
      <c r="AW196" s="128">
        <f t="shared" si="76"/>
        <v>28951.898527471287</v>
      </c>
      <c r="AX196" s="128">
        <f t="shared" si="76"/>
        <v>30109.974468570141</v>
      </c>
      <c r="AY196" s="128">
        <f t="shared" si="76"/>
        <v>31314.373447312948</v>
      </c>
      <c r="AZ196" s="129">
        <f t="shared" ref="AZ196:BG208" si="77">AY196*(1+AZ$3)</f>
        <v>32566.948385205465</v>
      </c>
      <c r="BA196" s="129">
        <f t="shared" si="77"/>
        <v>33869.626320613686</v>
      </c>
      <c r="BB196" s="129">
        <f t="shared" si="77"/>
        <v>35224.411373438234</v>
      </c>
      <c r="BC196" s="129">
        <f t="shared" si="77"/>
        <v>36633.387828375766</v>
      </c>
      <c r="BD196" s="129">
        <f t="shared" si="77"/>
        <v>38098.723341510798</v>
      </c>
      <c r="BE196" s="129">
        <f t="shared" si="77"/>
        <v>39622.67227517123</v>
      </c>
      <c r="BF196" s="129">
        <f t="shared" si="77"/>
        <v>41207.579166178082</v>
      </c>
      <c r="BG196" s="129">
        <f t="shared" si="77"/>
        <v>42855.882332825204</v>
      </c>
    </row>
    <row r="197" spans="1:59" ht="13.75" customHeight="1">
      <c r="A197" s="171" t="s">
        <v>166</v>
      </c>
      <c r="B197" s="165" t="s">
        <v>313</v>
      </c>
      <c r="C197" s="165"/>
      <c r="D197" s="165" t="s">
        <v>168</v>
      </c>
      <c r="E197" s="167"/>
      <c r="F197" s="168" t="s">
        <v>322</v>
      </c>
      <c r="G197" s="168" t="s">
        <v>318</v>
      </c>
      <c r="H197" s="168"/>
      <c r="I197" s="168" t="s">
        <v>321</v>
      </c>
      <c r="U197" s="112">
        <v>7632</v>
      </c>
      <c r="V197" s="112">
        <v>9750</v>
      </c>
      <c r="W197" s="112">
        <v>10725</v>
      </c>
      <c r="X197" s="128">
        <v>7300</v>
      </c>
      <c r="Y197" s="128">
        <v>7530</v>
      </c>
      <c r="Z197" s="128">
        <v>13100</v>
      </c>
      <c r="AA197" s="128">
        <v>13100</v>
      </c>
      <c r="AB197" s="128">
        <v>13100</v>
      </c>
      <c r="AC197" s="128">
        <v>13100</v>
      </c>
      <c r="AD197" s="128">
        <v>13624</v>
      </c>
      <c r="AE197" s="128">
        <v>14169</v>
      </c>
      <c r="AF197" s="128">
        <v>14736</v>
      </c>
      <c r="AG197" s="128">
        <f>AG196</f>
        <v>15458</v>
      </c>
      <c r="AH197" s="128">
        <f t="shared" ref="AH197:AI198" si="78">AH196</f>
        <v>16076</v>
      </c>
      <c r="AI197" s="128">
        <f t="shared" si="78"/>
        <v>16719</v>
      </c>
      <c r="AJ197" s="128">
        <f t="shared" si="76"/>
        <v>17387.760000000002</v>
      </c>
      <c r="AK197" s="128">
        <f t="shared" si="76"/>
        <v>18083.270400000001</v>
      </c>
      <c r="AL197" s="128">
        <f t="shared" si="76"/>
        <v>18806.601216000003</v>
      </c>
      <c r="AM197" s="128">
        <f t="shared" si="76"/>
        <v>19558.865264640004</v>
      </c>
      <c r="AN197" s="128">
        <f t="shared" si="76"/>
        <v>20341.219875225604</v>
      </c>
      <c r="AO197" s="128">
        <f t="shared" si="76"/>
        <v>21154.868670234628</v>
      </c>
      <c r="AP197" s="128">
        <f t="shared" si="76"/>
        <v>22001.063417044013</v>
      </c>
      <c r="AQ197" s="128">
        <f t="shared" si="76"/>
        <v>22881.105953725775</v>
      </c>
      <c r="AR197" s="128">
        <f t="shared" si="76"/>
        <v>23796.350191874808</v>
      </c>
      <c r="AS197" s="128">
        <f t="shared" si="76"/>
        <v>24748.2041995498</v>
      </c>
      <c r="AT197" s="128">
        <f t="shared" si="76"/>
        <v>25738.132367531794</v>
      </c>
      <c r="AU197" s="128">
        <f t="shared" si="76"/>
        <v>26767.657662233069</v>
      </c>
      <c r="AV197" s="128">
        <f t="shared" si="76"/>
        <v>27838.363968722391</v>
      </c>
      <c r="AW197" s="128">
        <f t="shared" si="76"/>
        <v>28951.898527471287</v>
      </c>
      <c r="AX197" s="128">
        <f t="shared" si="76"/>
        <v>30109.974468570141</v>
      </c>
      <c r="AY197" s="128">
        <f t="shared" si="76"/>
        <v>31314.373447312948</v>
      </c>
      <c r="AZ197" s="129">
        <f t="shared" si="77"/>
        <v>32566.948385205465</v>
      </c>
      <c r="BA197" s="129">
        <f t="shared" si="77"/>
        <v>33869.626320613686</v>
      </c>
      <c r="BB197" s="129">
        <f t="shared" si="77"/>
        <v>35224.411373438234</v>
      </c>
      <c r="BC197" s="129">
        <f t="shared" si="77"/>
        <v>36633.387828375766</v>
      </c>
      <c r="BD197" s="129">
        <f t="shared" si="77"/>
        <v>38098.723341510798</v>
      </c>
      <c r="BE197" s="129">
        <f t="shared" si="77"/>
        <v>39622.67227517123</v>
      </c>
      <c r="BF197" s="129">
        <f t="shared" si="77"/>
        <v>41207.579166178082</v>
      </c>
      <c r="BG197" s="129">
        <f t="shared" si="77"/>
        <v>42855.882332825204</v>
      </c>
    </row>
    <row r="198" spans="1:59" ht="13.75" customHeight="1">
      <c r="A198" s="171" t="s">
        <v>166</v>
      </c>
      <c r="B198" s="165" t="s">
        <v>313</v>
      </c>
      <c r="C198" s="165"/>
      <c r="D198" s="165" t="s">
        <v>168</v>
      </c>
      <c r="E198" s="167"/>
      <c r="F198" s="168" t="s">
        <v>323</v>
      </c>
      <c r="G198" s="168" t="s">
        <v>318</v>
      </c>
      <c r="H198" s="168"/>
      <c r="I198" s="168" t="s">
        <v>321</v>
      </c>
      <c r="U198" s="112">
        <v>6822</v>
      </c>
      <c r="V198" s="112">
        <v>8760</v>
      </c>
      <c r="W198" s="112">
        <v>9916</v>
      </c>
      <c r="X198" s="128">
        <v>7300</v>
      </c>
      <c r="Y198" s="128">
        <v>7530</v>
      </c>
      <c r="Z198" s="128">
        <v>13100</v>
      </c>
      <c r="AA198" s="128">
        <v>13100</v>
      </c>
      <c r="AB198" s="128">
        <v>13100</v>
      </c>
      <c r="AC198" s="128">
        <v>13100</v>
      </c>
      <c r="AD198" s="128">
        <v>13624</v>
      </c>
      <c r="AE198" s="128">
        <v>14169</v>
      </c>
      <c r="AF198" s="128">
        <v>14736</v>
      </c>
      <c r="AG198" s="128">
        <f>AG197</f>
        <v>15458</v>
      </c>
      <c r="AH198" s="128">
        <f t="shared" si="78"/>
        <v>16076</v>
      </c>
      <c r="AI198" s="128">
        <f t="shared" si="78"/>
        <v>16719</v>
      </c>
      <c r="AJ198" s="128">
        <f t="shared" si="76"/>
        <v>17387.760000000002</v>
      </c>
      <c r="AK198" s="128">
        <f t="shared" si="76"/>
        <v>18083.270400000001</v>
      </c>
      <c r="AL198" s="128">
        <f t="shared" si="76"/>
        <v>18806.601216000003</v>
      </c>
      <c r="AM198" s="128">
        <f t="shared" si="76"/>
        <v>19558.865264640004</v>
      </c>
      <c r="AN198" s="128">
        <f t="shared" si="76"/>
        <v>20341.219875225604</v>
      </c>
      <c r="AO198" s="128">
        <f t="shared" si="76"/>
        <v>21154.868670234628</v>
      </c>
      <c r="AP198" s="128">
        <f t="shared" si="76"/>
        <v>22001.063417044013</v>
      </c>
      <c r="AQ198" s="128">
        <f t="shared" si="76"/>
        <v>22881.105953725775</v>
      </c>
      <c r="AR198" s="128">
        <f t="shared" si="76"/>
        <v>23796.350191874808</v>
      </c>
      <c r="AS198" s="128">
        <f t="shared" si="76"/>
        <v>24748.2041995498</v>
      </c>
      <c r="AT198" s="128">
        <f t="shared" si="76"/>
        <v>25738.132367531794</v>
      </c>
      <c r="AU198" s="128">
        <f t="shared" si="76"/>
        <v>26767.657662233069</v>
      </c>
      <c r="AV198" s="128">
        <f t="shared" si="76"/>
        <v>27838.363968722391</v>
      </c>
      <c r="AW198" s="128">
        <f t="shared" si="76"/>
        <v>28951.898527471287</v>
      </c>
      <c r="AX198" s="128">
        <f t="shared" si="76"/>
        <v>30109.974468570141</v>
      </c>
      <c r="AY198" s="128">
        <f t="shared" si="76"/>
        <v>31314.373447312948</v>
      </c>
      <c r="AZ198" s="129">
        <f t="shared" si="77"/>
        <v>32566.948385205465</v>
      </c>
      <c r="BA198" s="129">
        <f t="shared" si="77"/>
        <v>33869.626320613686</v>
      </c>
      <c r="BB198" s="129">
        <f t="shared" si="77"/>
        <v>35224.411373438234</v>
      </c>
      <c r="BC198" s="129">
        <f t="shared" si="77"/>
        <v>36633.387828375766</v>
      </c>
      <c r="BD198" s="129">
        <f t="shared" si="77"/>
        <v>38098.723341510798</v>
      </c>
      <c r="BE198" s="129">
        <f t="shared" si="77"/>
        <v>39622.67227517123</v>
      </c>
      <c r="BF198" s="129">
        <f t="shared" si="77"/>
        <v>41207.579166178082</v>
      </c>
      <c r="BG198" s="129">
        <f t="shared" si="77"/>
        <v>42855.882332825204</v>
      </c>
    </row>
    <row r="199" spans="1:59" ht="13.75" customHeight="1">
      <c r="A199" s="171" t="s">
        <v>166</v>
      </c>
      <c r="B199" s="165" t="s">
        <v>313</v>
      </c>
      <c r="C199" s="165"/>
      <c r="D199" s="165" t="s">
        <v>168</v>
      </c>
      <c r="E199" s="167"/>
      <c r="F199" s="168" t="s">
        <v>324</v>
      </c>
      <c r="G199" s="168" t="s">
        <v>318</v>
      </c>
      <c r="H199" s="168"/>
      <c r="I199" s="168" t="s">
        <v>321</v>
      </c>
      <c r="U199" s="112">
        <v>5983</v>
      </c>
      <c r="V199" s="112">
        <v>5446</v>
      </c>
      <c r="W199" s="112">
        <v>6450</v>
      </c>
      <c r="X199" s="128">
        <v>5530</v>
      </c>
      <c r="Y199" s="128">
        <v>7530</v>
      </c>
      <c r="Z199" s="128">
        <v>10130</v>
      </c>
      <c r="AA199" s="128">
        <v>11552.5</v>
      </c>
      <c r="AB199" s="128">
        <v>12314</v>
      </c>
      <c r="AC199" s="128">
        <v>12752</v>
      </c>
      <c r="AD199" s="128">
        <v>13262</v>
      </c>
      <c r="AE199" s="128">
        <v>13793</v>
      </c>
      <c r="AF199" s="128">
        <v>14345</v>
      </c>
      <c r="AG199" s="128">
        <v>15048</v>
      </c>
      <c r="AH199" s="128">
        <v>15650</v>
      </c>
      <c r="AI199" s="128">
        <v>16276</v>
      </c>
      <c r="AJ199" s="128">
        <f t="shared" si="76"/>
        <v>16927.04</v>
      </c>
      <c r="AK199" s="128">
        <f t="shared" si="76"/>
        <v>17604.121600000002</v>
      </c>
      <c r="AL199" s="128">
        <f t="shared" si="76"/>
        <v>18308.286464000004</v>
      </c>
      <c r="AM199" s="128">
        <f t="shared" si="76"/>
        <v>19040.617922560006</v>
      </c>
      <c r="AN199" s="128">
        <f t="shared" si="76"/>
        <v>19802.242639462409</v>
      </c>
      <c r="AO199" s="128">
        <f t="shared" si="76"/>
        <v>20594.332345040904</v>
      </c>
      <c r="AP199" s="128">
        <f t="shared" si="76"/>
        <v>21418.105638842542</v>
      </c>
      <c r="AQ199" s="128">
        <f t="shared" si="76"/>
        <v>22274.829864396244</v>
      </c>
      <c r="AR199" s="128">
        <f t="shared" si="76"/>
        <v>23165.823058972095</v>
      </c>
      <c r="AS199" s="128">
        <f t="shared" si="76"/>
        <v>24092.455981330979</v>
      </c>
      <c r="AT199" s="128">
        <f t="shared" si="76"/>
        <v>25056.15422058422</v>
      </c>
      <c r="AU199" s="128">
        <f t="shared" si="76"/>
        <v>26058.40038940759</v>
      </c>
      <c r="AV199" s="128">
        <f t="shared" si="76"/>
        <v>27100.736404983894</v>
      </c>
      <c r="AW199" s="128">
        <f t="shared" si="76"/>
        <v>28184.765861183252</v>
      </c>
      <c r="AX199" s="128">
        <f t="shared" si="76"/>
        <v>29312.156495630585</v>
      </c>
      <c r="AY199" s="128">
        <f t="shared" si="76"/>
        <v>30484.64275545581</v>
      </c>
      <c r="AZ199" s="129">
        <f t="shared" si="77"/>
        <v>31704.028465674044</v>
      </c>
      <c r="BA199" s="129">
        <f t="shared" si="77"/>
        <v>32972.189604301006</v>
      </c>
      <c r="BB199" s="129">
        <f t="shared" si="77"/>
        <v>34291.077188473049</v>
      </c>
      <c r="BC199" s="129">
        <f t="shared" si="77"/>
        <v>35662.720276011969</v>
      </c>
      <c r="BD199" s="129">
        <f t="shared" si="77"/>
        <v>37089.229087052452</v>
      </c>
      <c r="BE199" s="129">
        <f t="shared" si="77"/>
        <v>38572.79825053455</v>
      </c>
      <c r="BF199" s="129">
        <f t="shared" si="77"/>
        <v>40115.710180555936</v>
      </c>
      <c r="BG199" s="129">
        <f t="shared" si="77"/>
        <v>41720.338587778177</v>
      </c>
    </row>
    <row r="200" spans="1:59" ht="13.75" customHeight="1">
      <c r="A200" s="171" t="s">
        <v>166</v>
      </c>
      <c r="B200" s="165" t="s">
        <v>313</v>
      </c>
      <c r="C200" s="165"/>
      <c r="D200" s="165" t="s">
        <v>168</v>
      </c>
      <c r="E200" s="167"/>
      <c r="F200" s="168" t="s">
        <v>325</v>
      </c>
      <c r="G200" s="168" t="s">
        <v>318</v>
      </c>
      <c r="H200" s="168"/>
      <c r="I200" s="168" t="s">
        <v>321</v>
      </c>
      <c r="U200" s="112">
        <v>7824</v>
      </c>
      <c r="V200" s="112">
        <v>10229</v>
      </c>
      <c r="W200" s="112">
        <v>11252</v>
      </c>
      <c r="X200" s="128">
        <v>11300</v>
      </c>
      <c r="Y200" s="128">
        <v>10500</v>
      </c>
      <c r="Z200" s="128">
        <v>13100</v>
      </c>
      <c r="AA200" s="128">
        <v>13100</v>
      </c>
      <c r="AB200" s="128">
        <v>13912.455</v>
      </c>
      <c r="AC200" s="128">
        <v>14720.045</v>
      </c>
      <c r="AD200" s="128">
        <v>15532.5</v>
      </c>
      <c r="AE200" s="128">
        <v>16344.955</v>
      </c>
      <c r="AF200" s="128">
        <v>17152.544999999998</v>
      </c>
      <c r="AG200" s="128">
        <v>17965</v>
      </c>
      <c r="AH200" s="128">
        <f>AG200*(1+AH$3)</f>
        <v>18532.507584830328</v>
      </c>
      <c r="AI200" s="128">
        <f t="shared" ref="AI200:AX201" si="79">AH200*(1+AI$3)</f>
        <v>19267.611434630879</v>
      </c>
      <c r="AJ200" s="128">
        <f t="shared" si="79"/>
        <v>20038.315892016115</v>
      </c>
      <c r="AK200" s="128">
        <f t="shared" si="79"/>
        <v>20839.848527696759</v>
      </c>
      <c r="AL200" s="128">
        <f t="shared" si="79"/>
        <v>21673.442468804631</v>
      </c>
      <c r="AM200" s="128">
        <f t="shared" si="79"/>
        <v>22540.380167556817</v>
      </c>
      <c r="AN200" s="128">
        <f t="shared" si="79"/>
        <v>23441.995374259091</v>
      </c>
      <c r="AO200" s="128">
        <f t="shared" si="79"/>
        <v>24379.675189229456</v>
      </c>
      <c r="AP200" s="128">
        <f t="shared" si="79"/>
        <v>25354.862196798636</v>
      </c>
      <c r="AQ200" s="128">
        <f t="shared" si="79"/>
        <v>26369.056684670584</v>
      </c>
      <c r="AR200" s="128">
        <f t="shared" si="79"/>
        <v>27423.818952057409</v>
      </c>
      <c r="AS200" s="128">
        <f t="shared" si="79"/>
        <v>28520.771710139707</v>
      </c>
      <c r="AT200" s="128">
        <f t="shared" si="79"/>
        <v>29661.602578545295</v>
      </c>
      <c r="AU200" s="128">
        <f t="shared" si="79"/>
        <v>30848.066681687109</v>
      </c>
      <c r="AV200" s="128">
        <f t="shared" si="79"/>
        <v>32081.989348954594</v>
      </c>
      <c r="AW200" s="128">
        <f t="shared" si="76"/>
        <v>33365.268922912779</v>
      </c>
      <c r="AX200" s="128">
        <f t="shared" si="76"/>
        <v>34699.87967982929</v>
      </c>
      <c r="AY200" s="128">
        <f t="shared" si="76"/>
        <v>36087.87486702246</v>
      </c>
      <c r="AZ200" s="129">
        <f t="shared" si="77"/>
        <v>37531.389861703356</v>
      </c>
      <c r="BA200" s="129">
        <f t="shared" si="77"/>
        <v>39032.645456171493</v>
      </c>
      <c r="BB200" s="129">
        <f t="shared" si="77"/>
        <v>40593.951274418352</v>
      </c>
      <c r="BC200" s="129">
        <f t="shared" si="77"/>
        <v>42217.709325395088</v>
      </c>
      <c r="BD200" s="129">
        <f t="shared" si="77"/>
        <v>43906.417698410893</v>
      </c>
      <c r="BE200" s="129">
        <f t="shared" si="77"/>
        <v>45662.674406347331</v>
      </c>
      <c r="BF200" s="129">
        <f t="shared" si="77"/>
        <v>47489.181382601222</v>
      </c>
      <c r="BG200" s="129">
        <f t="shared" si="77"/>
        <v>49388.748637905272</v>
      </c>
    </row>
    <row r="201" spans="1:59" ht="13.75" customHeight="1">
      <c r="A201" s="171" t="s">
        <v>166</v>
      </c>
      <c r="B201" s="165" t="s">
        <v>313</v>
      </c>
      <c r="C201" s="165"/>
      <c r="D201" s="165" t="s">
        <v>168</v>
      </c>
      <c r="E201" s="167"/>
      <c r="F201" s="168" t="s">
        <v>326</v>
      </c>
      <c r="G201" s="168" t="s">
        <v>318</v>
      </c>
      <c r="H201" s="168"/>
      <c r="I201" s="168" t="s">
        <v>321</v>
      </c>
      <c r="U201" s="112">
        <v>4199</v>
      </c>
      <c r="V201" s="112">
        <v>5860</v>
      </c>
      <c r="W201" s="112">
        <v>6446</v>
      </c>
      <c r="X201" s="128">
        <v>3450</v>
      </c>
      <c r="Y201" s="128">
        <v>4150</v>
      </c>
      <c r="Z201" s="128">
        <v>6800</v>
      </c>
      <c r="AA201" s="128">
        <v>7961.5</v>
      </c>
      <c r="AB201" s="128">
        <v>8541</v>
      </c>
      <c r="AC201" s="128">
        <v>8835</v>
      </c>
      <c r="AD201" s="128">
        <v>9188</v>
      </c>
      <c r="AE201" s="128">
        <v>9556</v>
      </c>
      <c r="AF201" s="128">
        <v>9938</v>
      </c>
      <c r="AG201" s="128">
        <v>10425</v>
      </c>
      <c r="AH201" s="128">
        <v>10842</v>
      </c>
      <c r="AI201" s="128">
        <v>11276</v>
      </c>
      <c r="AJ201" s="128">
        <f t="shared" si="79"/>
        <v>11727.04</v>
      </c>
      <c r="AK201" s="128">
        <f t="shared" si="79"/>
        <v>12196.121600000002</v>
      </c>
      <c r="AL201" s="128">
        <f t="shared" si="79"/>
        <v>12683.966464000003</v>
      </c>
      <c r="AM201" s="128">
        <f t="shared" si="79"/>
        <v>13191.325122560003</v>
      </c>
      <c r="AN201" s="128">
        <f t="shared" si="79"/>
        <v>13718.978127462404</v>
      </c>
      <c r="AO201" s="128">
        <f t="shared" si="79"/>
        <v>14267.737252560901</v>
      </c>
      <c r="AP201" s="128">
        <f t="shared" si="79"/>
        <v>14838.446742663336</v>
      </c>
      <c r="AQ201" s="128">
        <f t="shared" si="79"/>
        <v>15431.98461236987</v>
      </c>
      <c r="AR201" s="128">
        <f t="shared" si="79"/>
        <v>16049.263996864665</v>
      </c>
      <c r="AS201" s="128">
        <f t="shared" si="79"/>
        <v>16691.234556739251</v>
      </c>
      <c r="AT201" s="128">
        <f t="shared" si="79"/>
        <v>17358.883939008821</v>
      </c>
      <c r="AU201" s="128">
        <f t="shared" si="79"/>
        <v>18053.239296569176</v>
      </c>
      <c r="AV201" s="128">
        <f t="shared" si="79"/>
        <v>18775.368868431942</v>
      </c>
      <c r="AW201" s="128">
        <f t="shared" si="79"/>
        <v>19526.383623169222</v>
      </c>
      <c r="AX201" s="128">
        <f t="shared" si="79"/>
        <v>20307.43896809599</v>
      </c>
      <c r="AY201" s="128">
        <f t="shared" si="76"/>
        <v>21119.73652681983</v>
      </c>
      <c r="AZ201" s="129">
        <f t="shared" si="77"/>
        <v>21964.525987892623</v>
      </c>
      <c r="BA201" s="129">
        <f t="shared" si="77"/>
        <v>22843.107027408329</v>
      </c>
      <c r="BB201" s="129">
        <f t="shared" si="77"/>
        <v>23756.831308504661</v>
      </c>
      <c r="BC201" s="129">
        <f t="shared" si="77"/>
        <v>24707.104560844848</v>
      </c>
      <c r="BD201" s="129">
        <f t="shared" si="77"/>
        <v>25695.388743278643</v>
      </c>
      <c r="BE201" s="129">
        <f t="shared" si="77"/>
        <v>26723.204293009789</v>
      </c>
      <c r="BF201" s="129">
        <f t="shared" si="77"/>
        <v>27792.132464730181</v>
      </c>
      <c r="BG201" s="129">
        <f t="shared" si="77"/>
        <v>28903.817763319388</v>
      </c>
    </row>
    <row r="202" spans="1:59" ht="13.75" customHeight="1">
      <c r="A202" s="171" t="s">
        <v>166</v>
      </c>
      <c r="B202" s="165" t="s">
        <v>313</v>
      </c>
      <c r="C202" s="165"/>
      <c r="D202" s="165" t="s">
        <v>168</v>
      </c>
      <c r="E202" s="167"/>
      <c r="F202" s="168" t="s">
        <v>327</v>
      </c>
      <c r="G202" s="168" t="s">
        <v>318</v>
      </c>
      <c r="H202" s="168"/>
      <c r="I202" s="168" t="s">
        <v>321</v>
      </c>
      <c r="U202" s="112">
        <v>4057</v>
      </c>
      <c r="V202" s="112">
        <v>5860</v>
      </c>
      <c r="W202" s="112">
        <v>6446</v>
      </c>
      <c r="X202" s="128">
        <v>3450</v>
      </c>
      <c r="Y202" s="128">
        <v>4150</v>
      </c>
      <c r="Z202" s="128">
        <v>6800</v>
      </c>
      <c r="AA202" s="128">
        <v>7961.5</v>
      </c>
      <c r="AB202" s="128">
        <v>8541</v>
      </c>
      <c r="AC202" s="128">
        <v>8835</v>
      </c>
      <c r="AD202" s="128">
        <v>9188</v>
      </c>
      <c r="AE202" s="128">
        <v>9556</v>
      </c>
      <c r="AF202" s="128">
        <v>9938</v>
      </c>
      <c r="AG202" s="128">
        <f>AG201</f>
        <v>10425</v>
      </c>
      <c r="AH202" s="128">
        <f t="shared" ref="AH202:AI204" si="80">AH201</f>
        <v>10842</v>
      </c>
      <c r="AI202" s="128">
        <f t="shared" si="80"/>
        <v>11276</v>
      </c>
      <c r="AJ202" s="128">
        <f t="shared" si="76"/>
        <v>11727.04</v>
      </c>
      <c r="AK202" s="128">
        <f t="shared" si="76"/>
        <v>12196.121600000002</v>
      </c>
      <c r="AL202" s="128">
        <f t="shared" si="76"/>
        <v>12683.966464000003</v>
      </c>
      <c r="AM202" s="128">
        <f t="shared" si="76"/>
        <v>13191.325122560003</v>
      </c>
      <c r="AN202" s="128">
        <f t="shared" si="76"/>
        <v>13718.978127462404</v>
      </c>
      <c r="AO202" s="128">
        <f t="shared" si="76"/>
        <v>14267.737252560901</v>
      </c>
      <c r="AP202" s="128">
        <f t="shared" si="76"/>
        <v>14838.446742663336</v>
      </c>
      <c r="AQ202" s="128">
        <f t="shared" si="76"/>
        <v>15431.98461236987</v>
      </c>
      <c r="AR202" s="128">
        <f t="shared" si="76"/>
        <v>16049.263996864665</v>
      </c>
      <c r="AS202" s="128">
        <f t="shared" si="76"/>
        <v>16691.234556739251</v>
      </c>
      <c r="AT202" s="128">
        <f t="shared" si="76"/>
        <v>17358.883939008821</v>
      </c>
      <c r="AU202" s="128">
        <f t="shared" si="76"/>
        <v>18053.239296569176</v>
      </c>
      <c r="AV202" s="128">
        <f t="shared" si="76"/>
        <v>18775.368868431942</v>
      </c>
      <c r="AW202" s="128">
        <f t="shared" si="76"/>
        <v>19526.383623169222</v>
      </c>
      <c r="AX202" s="128">
        <f t="shared" si="76"/>
        <v>20307.43896809599</v>
      </c>
      <c r="AY202" s="128">
        <f t="shared" si="76"/>
        <v>21119.73652681983</v>
      </c>
      <c r="AZ202" s="129">
        <f t="shared" si="77"/>
        <v>21964.525987892623</v>
      </c>
      <c r="BA202" s="129">
        <f t="shared" si="77"/>
        <v>22843.107027408329</v>
      </c>
      <c r="BB202" s="129">
        <f t="shared" si="77"/>
        <v>23756.831308504661</v>
      </c>
      <c r="BC202" s="129">
        <f t="shared" si="77"/>
        <v>24707.104560844848</v>
      </c>
      <c r="BD202" s="129">
        <f t="shared" si="77"/>
        <v>25695.388743278643</v>
      </c>
      <c r="BE202" s="129">
        <f t="shared" si="77"/>
        <v>26723.204293009789</v>
      </c>
      <c r="BF202" s="129">
        <f t="shared" si="77"/>
        <v>27792.132464730181</v>
      </c>
      <c r="BG202" s="129">
        <f t="shared" si="77"/>
        <v>28903.817763319388</v>
      </c>
    </row>
    <row r="203" spans="1:59" ht="13.75" customHeight="1">
      <c r="A203" s="171" t="s">
        <v>166</v>
      </c>
      <c r="B203" s="165" t="s">
        <v>313</v>
      </c>
      <c r="C203" s="165"/>
      <c r="D203" s="165" t="s">
        <v>168</v>
      </c>
      <c r="E203" s="167"/>
      <c r="F203" s="168" t="s">
        <v>328</v>
      </c>
      <c r="G203" s="168" t="s">
        <v>318</v>
      </c>
      <c r="H203" s="168"/>
      <c r="I203" s="168" t="s">
        <v>321</v>
      </c>
      <c r="U203" s="112">
        <v>3562</v>
      </c>
      <c r="V203" s="112">
        <v>5017</v>
      </c>
      <c r="W203" s="112">
        <v>5427</v>
      </c>
      <c r="X203" s="128">
        <v>3450</v>
      </c>
      <c r="Y203" s="128">
        <v>4150</v>
      </c>
      <c r="Z203" s="128">
        <v>6800</v>
      </c>
      <c r="AA203" s="128">
        <v>7961.5</v>
      </c>
      <c r="AB203" s="128">
        <v>8541</v>
      </c>
      <c r="AC203" s="128">
        <v>8835</v>
      </c>
      <c r="AD203" s="128">
        <v>9188</v>
      </c>
      <c r="AE203" s="128">
        <v>9556</v>
      </c>
      <c r="AF203" s="128">
        <v>9938</v>
      </c>
      <c r="AG203" s="128">
        <f t="shared" ref="AG203:AG204" si="81">AG202</f>
        <v>10425</v>
      </c>
      <c r="AH203" s="128">
        <f t="shared" si="80"/>
        <v>10842</v>
      </c>
      <c r="AI203" s="128">
        <f t="shared" si="80"/>
        <v>11276</v>
      </c>
      <c r="AJ203" s="128">
        <f t="shared" si="76"/>
        <v>11727.04</v>
      </c>
      <c r="AK203" s="128">
        <f t="shared" si="76"/>
        <v>12196.121600000002</v>
      </c>
      <c r="AL203" s="128">
        <f t="shared" si="76"/>
        <v>12683.966464000003</v>
      </c>
      <c r="AM203" s="128">
        <f t="shared" si="76"/>
        <v>13191.325122560003</v>
      </c>
      <c r="AN203" s="128">
        <f t="shared" si="76"/>
        <v>13718.978127462404</v>
      </c>
      <c r="AO203" s="128">
        <f t="shared" si="76"/>
        <v>14267.737252560901</v>
      </c>
      <c r="AP203" s="128">
        <f t="shared" si="76"/>
        <v>14838.446742663336</v>
      </c>
      <c r="AQ203" s="128">
        <f t="shared" si="76"/>
        <v>15431.98461236987</v>
      </c>
      <c r="AR203" s="128">
        <f t="shared" si="76"/>
        <v>16049.263996864665</v>
      </c>
      <c r="AS203" s="128">
        <f t="shared" si="76"/>
        <v>16691.234556739251</v>
      </c>
      <c r="AT203" s="128">
        <f t="shared" si="76"/>
        <v>17358.883939008821</v>
      </c>
      <c r="AU203" s="128">
        <f t="shared" si="76"/>
        <v>18053.239296569176</v>
      </c>
      <c r="AV203" s="128">
        <f t="shared" si="76"/>
        <v>18775.368868431942</v>
      </c>
      <c r="AW203" s="128">
        <f t="shared" si="76"/>
        <v>19526.383623169222</v>
      </c>
      <c r="AX203" s="128">
        <f t="shared" si="76"/>
        <v>20307.43896809599</v>
      </c>
      <c r="AY203" s="128">
        <f t="shared" si="76"/>
        <v>21119.73652681983</v>
      </c>
      <c r="AZ203" s="129">
        <f t="shared" si="77"/>
        <v>21964.525987892623</v>
      </c>
      <c r="BA203" s="129">
        <f t="shared" si="77"/>
        <v>22843.107027408329</v>
      </c>
      <c r="BB203" s="129">
        <f t="shared" si="77"/>
        <v>23756.831308504661</v>
      </c>
      <c r="BC203" s="129">
        <f t="shared" si="77"/>
        <v>24707.104560844848</v>
      </c>
      <c r="BD203" s="129">
        <f t="shared" si="77"/>
        <v>25695.388743278643</v>
      </c>
      <c r="BE203" s="129">
        <f t="shared" si="77"/>
        <v>26723.204293009789</v>
      </c>
      <c r="BF203" s="129">
        <f t="shared" si="77"/>
        <v>27792.132464730181</v>
      </c>
      <c r="BG203" s="129">
        <f t="shared" si="77"/>
        <v>28903.817763319388</v>
      </c>
    </row>
    <row r="204" spans="1:59" ht="13.75" customHeight="1">
      <c r="A204" s="171" t="s">
        <v>166</v>
      </c>
      <c r="B204" s="165" t="s">
        <v>313</v>
      </c>
      <c r="C204" s="165"/>
      <c r="D204" s="165" t="s">
        <v>168</v>
      </c>
      <c r="E204" s="167"/>
      <c r="F204" s="168" t="s">
        <v>329</v>
      </c>
      <c r="G204" s="168" t="s">
        <v>318</v>
      </c>
      <c r="H204" s="168"/>
      <c r="I204" s="168" t="s">
        <v>321</v>
      </c>
      <c r="U204" s="112">
        <v>3262</v>
      </c>
      <c r="V204" s="112">
        <v>4417</v>
      </c>
      <c r="W204" s="112">
        <v>4767</v>
      </c>
      <c r="X204" s="128">
        <v>3450</v>
      </c>
      <c r="Y204" s="128">
        <v>4150</v>
      </c>
      <c r="Z204" s="128">
        <v>6800</v>
      </c>
      <c r="AA204" s="128">
        <v>7961.5</v>
      </c>
      <c r="AB204" s="128">
        <v>8541</v>
      </c>
      <c r="AC204" s="128">
        <v>8835</v>
      </c>
      <c r="AD204" s="128">
        <v>9188</v>
      </c>
      <c r="AE204" s="128">
        <v>9556</v>
      </c>
      <c r="AF204" s="128">
        <v>9938</v>
      </c>
      <c r="AG204" s="128">
        <f t="shared" si="81"/>
        <v>10425</v>
      </c>
      <c r="AH204" s="128">
        <f t="shared" si="80"/>
        <v>10842</v>
      </c>
      <c r="AI204" s="128">
        <f t="shared" si="80"/>
        <v>11276</v>
      </c>
      <c r="AJ204" s="128">
        <f t="shared" si="76"/>
        <v>11727.04</v>
      </c>
      <c r="AK204" s="128">
        <f t="shared" si="76"/>
        <v>12196.121600000002</v>
      </c>
      <c r="AL204" s="128">
        <f t="shared" si="76"/>
        <v>12683.966464000003</v>
      </c>
      <c r="AM204" s="128">
        <f t="shared" si="76"/>
        <v>13191.325122560003</v>
      </c>
      <c r="AN204" s="128">
        <f t="shared" si="76"/>
        <v>13718.978127462404</v>
      </c>
      <c r="AO204" s="128">
        <f t="shared" si="76"/>
        <v>14267.737252560901</v>
      </c>
      <c r="AP204" s="128">
        <f t="shared" si="76"/>
        <v>14838.446742663336</v>
      </c>
      <c r="AQ204" s="128">
        <f t="shared" si="76"/>
        <v>15431.98461236987</v>
      </c>
      <c r="AR204" s="128">
        <f t="shared" si="76"/>
        <v>16049.263996864665</v>
      </c>
      <c r="AS204" s="128">
        <f t="shared" si="76"/>
        <v>16691.234556739251</v>
      </c>
      <c r="AT204" s="128">
        <f t="shared" si="76"/>
        <v>17358.883939008821</v>
      </c>
      <c r="AU204" s="128">
        <f t="shared" si="76"/>
        <v>18053.239296569176</v>
      </c>
      <c r="AV204" s="128">
        <f t="shared" si="76"/>
        <v>18775.368868431942</v>
      </c>
      <c r="AW204" s="128">
        <f t="shared" si="76"/>
        <v>19526.383623169222</v>
      </c>
      <c r="AX204" s="128">
        <f t="shared" si="76"/>
        <v>20307.43896809599</v>
      </c>
      <c r="AY204" s="128">
        <f t="shared" si="76"/>
        <v>21119.73652681983</v>
      </c>
      <c r="AZ204" s="129">
        <f t="shared" si="77"/>
        <v>21964.525987892623</v>
      </c>
      <c r="BA204" s="129">
        <f t="shared" si="77"/>
        <v>22843.107027408329</v>
      </c>
      <c r="BB204" s="129">
        <f t="shared" si="77"/>
        <v>23756.831308504661</v>
      </c>
      <c r="BC204" s="129">
        <f t="shared" si="77"/>
        <v>24707.104560844848</v>
      </c>
      <c r="BD204" s="129">
        <f t="shared" si="77"/>
        <v>25695.388743278643</v>
      </c>
      <c r="BE204" s="129">
        <f t="shared" si="77"/>
        <v>26723.204293009789</v>
      </c>
      <c r="BF204" s="129">
        <f t="shared" si="77"/>
        <v>27792.132464730181</v>
      </c>
      <c r="BG204" s="129">
        <f t="shared" si="77"/>
        <v>28903.817763319388</v>
      </c>
    </row>
    <row r="205" spans="1:59" ht="13.75" customHeight="1">
      <c r="A205" s="171" t="s">
        <v>166</v>
      </c>
      <c r="B205" s="165" t="s">
        <v>313</v>
      </c>
      <c r="C205" s="165"/>
      <c r="D205" s="165" t="s">
        <v>168</v>
      </c>
      <c r="E205" s="167"/>
      <c r="F205" s="168" t="s">
        <v>330</v>
      </c>
      <c r="G205" s="168" t="s">
        <v>318</v>
      </c>
      <c r="H205" s="168"/>
      <c r="I205" s="168" t="s">
        <v>321</v>
      </c>
      <c r="U205" s="112">
        <v>6072</v>
      </c>
      <c r="V205" s="112">
        <v>7509</v>
      </c>
      <c r="W205" s="112">
        <v>8260</v>
      </c>
      <c r="X205" s="128">
        <v>6500</v>
      </c>
      <c r="Y205" s="128">
        <v>6000</v>
      </c>
      <c r="Z205" s="128">
        <v>5400</v>
      </c>
      <c r="AA205" s="128">
        <v>5400</v>
      </c>
      <c r="AB205" s="128">
        <v>5400</v>
      </c>
      <c r="AC205" s="128">
        <v>5616</v>
      </c>
      <c r="AD205" s="128">
        <v>5841</v>
      </c>
      <c r="AE205" s="128">
        <v>6075</v>
      </c>
      <c r="AF205" s="128">
        <v>6318</v>
      </c>
      <c r="AG205" s="128">
        <v>6628</v>
      </c>
      <c r="AH205" s="128">
        <v>6893</v>
      </c>
      <c r="AI205" s="128">
        <v>7169</v>
      </c>
      <c r="AJ205" s="128">
        <f t="shared" si="76"/>
        <v>7455.76</v>
      </c>
      <c r="AK205" s="128">
        <f t="shared" si="76"/>
        <v>7753.9904000000006</v>
      </c>
      <c r="AL205" s="128">
        <f t="shared" si="76"/>
        <v>8064.1500160000005</v>
      </c>
      <c r="AM205" s="128">
        <f t="shared" si="76"/>
        <v>8386.7160166400008</v>
      </c>
      <c r="AN205" s="128">
        <f t="shared" si="76"/>
        <v>8722.1846573056009</v>
      </c>
      <c r="AO205" s="128">
        <f t="shared" si="76"/>
        <v>9071.0720435978255</v>
      </c>
      <c r="AP205" s="128">
        <f t="shared" si="76"/>
        <v>9433.9149253417381</v>
      </c>
      <c r="AQ205" s="128">
        <f t="shared" si="76"/>
        <v>9811.2715223554078</v>
      </c>
      <c r="AR205" s="128">
        <f t="shared" si="76"/>
        <v>10203.722383249624</v>
      </c>
      <c r="AS205" s="128">
        <f t="shared" si="76"/>
        <v>10611.871278579609</v>
      </c>
      <c r="AT205" s="128">
        <f t="shared" si="76"/>
        <v>11036.346129722793</v>
      </c>
      <c r="AU205" s="128">
        <f t="shared" si="76"/>
        <v>11477.799974911706</v>
      </c>
      <c r="AV205" s="128">
        <f t="shared" si="76"/>
        <v>11936.911973908174</v>
      </c>
      <c r="AW205" s="128">
        <f t="shared" si="76"/>
        <v>12414.388452864501</v>
      </c>
      <c r="AX205" s="128">
        <f t="shared" si="76"/>
        <v>12910.963990979082</v>
      </c>
      <c r="AY205" s="128">
        <f t="shared" si="76"/>
        <v>13427.402550618246</v>
      </c>
      <c r="AZ205" s="129">
        <f t="shared" si="77"/>
        <v>13964.498652642977</v>
      </c>
      <c r="BA205" s="129">
        <f t="shared" si="77"/>
        <v>14523.078598748696</v>
      </c>
      <c r="BB205" s="129">
        <f t="shared" si="77"/>
        <v>15104.001742698645</v>
      </c>
      <c r="BC205" s="129">
        <f t="shared" si="77"/>
        <v>15708.161812406592</v>
      </c>
      <c r="BD205" s="129">
        <f t="shared" si="77"/>
        <v>16336.488284902856</v>
      </c>
      <c r="BE205" s="129">
        <f t="shared" si="77"/>
        <v>16989.947816298973</v>
      </c>
      <c r="BF205" s="129">
        <f t="shared" si="77"/>
        <v>17669.545728950932</v>
      </c>
      <c r="BG205" s="129">
        <f t="shared" si="77"/>
        <v>18376.327558108969</v>
      </c>
    </row>
    <row r="206" spans="1:59" ht="13.75" customHeight="1">
      <c r="A206" s="171" t="s">
        <v>166</v>
      </c>
      <c r="B206" s="165" t="s">
        <v>313</v>
      </c>
      <c r="C206" s="165"/>
      <c r="D206" s="165" t="s">
        <v>168</v>
      </c>
      <c r="E206" s="167"/>
      <c r="F206" s="168" t="s">
        <v>331</v>
      </c>
      <c r="G206" s="168" t="s">
        <v>318</v>
      </c>
      <c r="H206" s="168"/>
      <c r="I206" s="168" t="s">
        <v>332</v>
      </c>
      <c r="U206" s="112">
        <v>0</v>
      </c>
      <c r="V206" s="112">
        <v>5860</v>
      </c>
      <c r="W206" s="112">
        <v>6446</v>
      </c>
      <c r="X206" s="128">
        <v>3000</v>
      </c>
      <c r="Y206" s="128">
        <v>3000</v>
      </c>
      <c r="Z206" s="128">
        <v>7800</v>
      </c>
      <c r="AA206" s="128">
        <v>8662</v>
      </c>
      <c r="AB206" s="128">
        <v>9241</v>
      </c>
      <c r="AC206" s="128">
        <v>9535</v>
      </c>
      <c r="AD206" s="128">
        <v>9916</v>
      </c>
      <c r="AE206" s="128">
        <v>10114.32</v>
      </c>
      <c r="AF206" s="128">
        <v>10316.606400000001</v>
      </c>
      <c r="AG206" s="128">
        <v>10522.938528000001</v>
      </c>
      <c r="AH206" s="128">
        <v>10733.397298560001</v>
      </c>
      <c r="AI206" s="128">
        <v>10948.065244531201</v>
      </c>
      <c r="AJ206" s="128">
        <f t="shared" si="76"/>
        <v>11385.987854312449</v>
      </c>
      <c r="AK206" s="128">
        <f t="shared" si="76"/>
        <v>11841.427368484947</v>
      </c>
      <c r="AL206" s="128">
        <f t="shared" si="76"/>
        <v>12315.084463224344</v>
      </c>
      <c r="AM206" s="128">
        <f t="shared" si="76"/>
        <v>12807.687841753319</v>
      </c>
      <c r="AN206" s="128">
        <f t="shared" si="76"/>
        <v>13319.995355423453</v>
      </c>
      <c r="AO206" s="128">
        <f t="shared" si="76"/>
        <v>13852.795169640391</v>
      </c>
      <c r="AP206" s="128">
        <f t="shared" si="76"/>
        <v>14406.906976426008</v>
      </c>
      <c r="AQ206" s="128">
        <f t="shared" si="76"/>
        <v>14983.183255483049</v>
      </c>
      <c r="AR206" s="128">
        <f t="shared" si="76"/>
        <v>15582.510585702372</v>
      </c>
      <c r="AS206" s="128">
        <f t="shared" si="76"/>
        <v>16205.811009130468</v>
      </c>
      <c r="AT206" s="128">
        <f t="shared" si="76"/>
        <v>16854.043449495686</v>
      </c>
      <c r="AU206" s="128">
        <f t="shared" si="76"/>
        <v>17528.205187475513</v>
      </c>
      <c r="AV206" s="128">
        <f t="shared" si="76"/>
        <v>18229.333394974532</v>
      </c>
      <c r="AW206" s="128">
        <f t="shared" si="76"/>
        <v>18958.506730773515</v>
      </c>
      <c r="AX206" s="128">
        <f t="shared" si="76"/>
        <v>19716.847000004458</v>
      </c>
      <c r="AY206" s="128">
        <f t="shared" si="76"/>
        <v>20505.520880004638</v>
      </c>
      <c r="AZ206" s="128">
        <f t="shared" si="77"/>
        <v>21325.741715204826</v>
      </c>
      <c r="BA206" s="128">
        <f t="shared" si="77"/>
        <v>22178.771383813018</v>
      </c>
      <c r="BB206" s="128">
        <f t="shared" si="77"/>
        <v>23065.922239165538</v>
      </c>
      <c r="BC206" s="128">
        <f t="shared" si="77"/>
        <v>23988.559128732162</v>
      </c>
      <c r="BD206" s="128">
        <f t="shared" si="77"/>
        <v>24948.101493881448</v>
      </c>
      <c r="BE206" s="128">
        <f t="shared" si="77"/>
        <v>25946.025553636708</v>
      </c>
      <c r="BF206" s="128">
        <f t="shared" si="77"/>
        <v>26983.866575782176</v>
      </c>
      <c r="BG206" s="128">
        <f t="shared" si="77"/>
        <v>28063.221238813465</v>
      </c>
    </row>
    <row r="207" spans="1:59" ht="13.75" customHeight="1">
      <c r="A207" s="171" t="s">
        <v>166</v>
      </c>
      <c r="B207" s="165" t="s">
        <v>313</v>
      </c>
      <c r="C207" s="165"/>
      <c r="D207" s="165" t="s">
        <v>168</v>
      </c>
      <c r="E207" s="167"/>
      <c r="F207" s="168" t="s">
        <v>333</v>
      </c>
      <c r="G207" s="168" t="s">
        <v>318</v>
      </c>
      <c r="H207" s="168"/>
      <c r="I207" s="168" t="s">
        <v>321</v>
      </c>
      <c r="U207" s="112">
        <v>0</v>
      </c>
      <c r="V207" s="112">
        <v>0</v>
      </c>
      <c r="W207" s="112">
        <v>0</v>
      </c>
      <c r="X207" s="128">
        <v>2300</v>
      </c>
      <c r="Y207" s="128">
        <v>3000</v>
      </c>
      <c r="Z207" s="128">
        <v>2800</v>
      </c>
      <c r="AA207" s="128">
        <v>2800</v>
      </c>
      <c r="AB207" s="128">
        <v>2929.2579999999998</v>
      </c>
      <c r="AC207" s="128">
        <v>3057.7420000000002</v>
      </c>
      <c r="AD207" s="128">
        <v>3187</v>
      </c>
      <c r="AE207" s="128">
        <v>3316.2579999999998</v>
      </c>
      <c r="AF207" s="128">
        <v>3444.7420000000002</v>
      </c>
      <c r="AG207" s="128">
        <v>3574</v>
      </c>
      <c r="AH207" s="129">
        <f t="shared" ref="AH207:AY208" si="82">AG207*(1+AH$3)</f>
        <v>3686.9013141209903</v>
      </c>
      <c r="AI207" s="129">
        <f t="shared" si="82"/>
        <v>3833.1446294111192</v>
      </c>
      <c r="AJ207" s="129">
        <f t="shared" si="82"/>
        <v>3986.4704145875639</v>
      </c>
      <c r="AK207" s="129">
        <f t="shared" si="82"/>
        <v>4145.9292311710669</v>
      </c>
      <c r="AL207" s="129">
        <f t="shared" si="82"/>
        <v>4311.7664004179096</v>
      </c>
      <c r="AM207" s="129">
        <f t="shared" si="82"/>
        <v>4484.2370564346265</v>
      </c>
      <c r="AN207" s="129">
        <f t="shared" si="82"/>
        <v>4663.6065386920118</v>
      </c>
      <c r="AO207" s="129">
        <f t="shared" si="82"/>
        <v>4850.1508002396922</v>
      </c>
      <c r="AP207" s="129">
        <f t="shared" si="82"/>
        <v>5044.1568322492803</v>
      </c>
      <c r="AQ207" s="129">
        <f t="shared" si="82"/>
        <v>5245.923105539252</v>
      </c>
      <c r="AR207" s="129">
        <f t="shared" si="82"/>
        <v>5455.7600297608224</v>
      </c>
      <c r="AS207" s="129">
        <f t="shared" si="82"/>
        <v>5673.9904309512558</v>
      </c>
      <c r="AT207" s="129">
        <f t="shared" si="82"/>
        <v>5900.9500481893065</v>
      </c>
      <c r="AU207" s="129">
        <f t="shared" si="82"/>
        <v>6136.9880501168791</v>
      </c>
      <c r="AV207" s="129">
        <f t="shared" si="82"/>
        <v>6382.4675721215544</v>
      </c>
      <c r="AW207" s="129">
        <f t="shared" si="82"/>
        <v>6637.7662750064164</v>
      </c>
      <c r="AX207" s="129">
        <f t="shared" si="82"/>
        <v>6903.2769260066734</v>
      </c>
      <c r="AY207" s="129">
        <f t="shared" si="82"/>
        <v>7179.4080030469404</v>
      </c>
      <c r="AZ207" s="129">
        <f t="shared" si="77"/>
        <v>7466.5843231688186</v>
      </c>
      <c r="BA207" s="129">
        <f t="shared" si="77"/>
        <v>7765.2476960955719</v>
      </c>
      <c r="BB207" s="129">
        <f t="shared" si="77"/>
        <v>8075.8576039393947</v>
      </c>
      <c r="BC207" s="129">
        <f t="shared" si="77"/>
        <v>8398.8919080969699</v>
      </c>
      <c r="BD207" s="129">
        <f t="shared" si="77"/>
        <v>8734.8475844208497</v>
      </c>
      <c r="BE207" s="129">
        <f t="shared" si="77"/>
        <v>9084.2414877976844</v>
      </c>
      <c r="BF207" s="129">
        <f t="shared" si="77"/>
        <v>9447.6111473095916</v>
      </c>
      <c r="BG207" s="129">
        <f t="shared" si="77"/>
        <v>9825.5155932019752</v>
      </c>
    </row>
    <row r="208" spans="1:59" ht="13.75" customHeight="1">
      <c r="A208" s="171" t="s">
        <v>166</v>
      </c>
      <c r="B208" s="165" t="s">
        <v>313</v>
      </c>
      <c r="C208" s="165"/>
      <c r="D208" s="165" t="s">
        <v>168</v>
      </c>
      <c r="F208" s="168" t="s">
        <v>334</v>
      </c>
      <c r="G208" s="168" t="s">
        <v>318</v>
      </c>
      <c r="I208" s="168" t="s">
        <v>321</v>
      </c>
      <c r="U208" s="112">
        <v>0</v>
      </c>
      <c r="V208" s="112">
        <v>0</v>
      </c>
      <c r="W208" s="112">
        <v>0</v>
      </c>
      <c r="X208" s="128">
        <v>2300</v>
      </c>
      <c r="Y208" s="128">
        <v>3000</v>
      </c>
      <c r="Z208" s="128">
        <v>2800</v>
      </c>
      <c r="AA208" s="128">
        <v>2800</v>
      </c>
      <c r="AB208" s="128">
        <v>2800</v>
      </c>
      <c r="AC208" s="128">
        <v>2800</v>
      </c>
      <c r="AD208" s="128">
        <v>2800</v>
      </c>
      <c r="AE208" s="128">
        <v>2800</v>
      </c>
      <c r="AF208" s="128">
        <v>2800</v>
      </c>
      <c r="AG208" s="128">
        <v>2800</v>
      </c>
      <c r="AH208" s="128">
        <v>2800</v>
      </c>
      <c r="AI208" s="128">
        <v>2800</v>
      </c>
      <c r="AJ208" s="128">
        <f t="shared" si="82"/>
        <v>2912</v>
      </c>
      <c r="AK208" s="128">
        <f t="shared" si="82"/>
        <v>3028.48</v>
      </c>
      <c r="AL208" s="128">
        <f t="shared" si="82"/>
        <v>3149.6192000000001</v>
      </c>
      <c r="AM208" s="128">
        <f t="shared" si="82"/>
        <v>3275.6039680000004</v>
      </c>
      <c r="AN208" s="128">
        <f t="shared" si="82"/>
        <v>3406.6281267200006</v>
      </c>
      <c r="AO208" s="128">
        <f t="shared" si="82"/>
        <v>3542.8932517888006</v>
      </c>
      <c r="AP208" s="128">
        <f t="shared" si="82"/>
        <v>3684.6089818603527</v>
      </c>
      <c r="AQ208" s="128">
        <f t="shared" si="82"/>
        <v>3831.993341134767</v>
      </c>
      <c r="AR208" s="128">
        <f t="shared" si="82"/>
        <v>3985.2730747801579</v>
      </c>
      <c r="AS208" s="128">
        <f t="shared" si="82"/>
        <v>4144.6839977713644</v>
      </c>
      <c r="AT208" s="128">
        <f t="shared" si="82"/>
        <v>4310.4713576822187</v>
      </c>
      <c r="AU208" s="128">
        <f t="shared" si="82"/>
        <v>4482.8902119895074</v>
      </c>
      <c r="AV208" s="128">
        <f t="shared" si="82"/>
        <v>4662.2058204690875</v>
      </c>
      <c r="AW208" s="128">
        <f t="shared" si="82"/>
        <v>4848.6940532878516</v>
      </c>
      <c r="AX208" s="128">
        <f t="shared" si="82"/>
        <v>5042.6418154193661</v>
      </c>
      <c r="AY208" s="128">
        <f t="shared" si="82"/>
        <v>5244.3474880361409</v>
      </c>
      <c r="AZ208" s="129">
        <f>AY208*(1+AZ$3)</f>
        <v>5454.1213875575868</v>
      </c>
      <c r="BA208" s="129">
        <f t="shared" si="77"/>
        <v>5672.2862430598907</v>
      </c>
      <c r="BB208" s="129">
        <f t="shared" si="77"/>
        <v>5899.1776927822866</v>
      </c>
      <c r="BC208" s="129">
        <f t="shared" si="77"/>
        <v>6135.1448004935783</v>
      </c>
      <c r="BD208" s="129">
        <f t="shared" si="77"/>
        <v>6380.550592513322</v>
      </c>
      <c r="BE208" s="129">
        <f t="shared" si="77"/>
        <v>6635.7726162138551</v>
      </c>
      <c r="BF208" s="129">
        <f t="shared" si="77"/>
        <v>6901.2035208624093</v>
      </c>
      <c r="BG208" s="129">
        <f t="shared" si="77"/>
        <v>7177.251661696906</v>
      </c>
    </row>
    <row r="209" spans="1:59" ht="13.75" customHeight="1">
      <c r="A209" s="171" t="s">
        <v>166</v>
      </c>
      <c r="B209" s="165" t="s">
        <v>313</v>
      </c>
      <c r="C209" s="165"/>
      <c r="D209" s="165" t="s">
        <v>168</v>
      </c>
      <c r="E209" s="167"/>
      <c r="F209" s="168" t="s">
        <v>335</v>
      </c>
      <c r="G209" s="168" t="s">
        <v>3</v>
      </c>
      <c r="H209" s="168"/>
      <c r="I209" s="168" t="s">
        <v>336</v>
      </c>
      <c r="U209" s="107"/>
      <c r="V209" s="107"/>
      <c r="W209" s="107"/>
      <c r="X209" s="107">
        <v>0.42</v>
      </c>
      <c r="Y209" s="107">
        <v>0.42</v>
      </c>
      <c r="Z209" s="107">
        <v>0.3</v>
      </c>
      <c r="AA209" s="107">
        <v>0.3</v>
      </c>
      <c r="AB209" s="107">
        <v>0.3</v>
      </c>
      <c r="AC209" s="107">
        <v>0.3</v>
      </c>
      <c r="AD209" s="107">
        <v>0.3</v>
      </c>
      <c r="AE209" s="107">
        <v>0.3</v>
      </c>
      <c r="AF209" s="107">
        <v>0.3</v>
      </c>
      <c r="AG209" s="107">
        <v>0.3</v>
      </c>
      <c r="AH209" s="107">
        <v>0.3</v>
      </c>
      <c r="AI209" s="107">
        <v>0.3</v>
      </c>
      <c r="AJ209" s="107">
        <v>0.3</v>
      </c>
      <c r="AK209" s="107">
        <v>0.3</v>
      </c>
      <c r="AL209" s="107">
        <v>0.3</v>
      </c>
      <c r="AM209" s="107">
        <v>0.3</v>
      </c>
      <c r="AN209" s="107">
        <v>0.3</v>
      </c>
      <c r="AO209" s="107">
        <v>0.3</v>
      </c>
      <c r="AP209" s="107">
        <v>0.3</v>
      </c>
      <c r="AQ209" s="107">
        <v>0.3</v>
      </c>
      <c r="AR209" s="107">
        <v>0.3</v>
      </c>
      <c r="AS209" s="107">
        <v>0.3</v>
      </c>
      <c r="AT209" s="107">
        <v>0.3</v>
      </c>
      <c r="AU209" s="107">
        <v>0.3</v>
      </c>
      <c r="AV209" s="107">
        <v>0.3</v>
      </c>
      <c r="AW209" s="107">
        <v>0.3</v>
      </c>
      <c r="AX209" s="107">
        <v>0.3</v>
      </c>
      <c r="AY209" s="107">
        <v>0.3</v>
      </c>
      <c r="AZ209" s="107">
        <f t="shared" ref="AZ209:BG215" si="83">AY209</f>
        <v>0.3</v>
      </c>
      <c r="BA209" s="107">
        <f t="shared" si="83"/>
        <v>0.3</v>
      </c>
      <c r="BB209" s="107">
        <f t="shared" si="83"/>
        <v>0.3</v>
      </c>
      <c r="BC209" s="107">
        <f t="shared" si="83"/>
        <v>0.3</v>
      </c>
      <c r="BD209" s="107">
        <f t="shared" si="83"/>
        <v>0.3</v>
      </c>
      <c r="BE209" s="107">
        <f t="shared" si="83"/>
        <v>0.3</v>
      </c>
      <c r="BF209" s="107">
        <f t="shared" si="83"/>
        <v>0.3</v>
      </c>
      <c r="BG209" s="107">
        <f t="shared" si="83"/>
        <v>0.3</v>
      </c>
    </row>
    <row r="210" spans="1:59" ht="13.75" customHeight="1">
      <c r="A210" s="171" t="s">
        <v>166</v>
      </c>
      <c r="B210" s="165" t="s">
        <v>313</v>
      </c>
      <c r="C210" s="165"/>
      <c r="D210" s="165" t="s">
        <v>168</v>
      </c>
      <c r="E210" s="167"/>
      <c r="F210" s="168" t="s">
        <v>337</v>
      </c>
      <c r="G210" s="168" t="s">
        <v>3</v>
      </c>
      <c r="H210" s="168"/>
      <c r="I210" s="168" t="s">
        <v>338</v>
      </c>
      <c r="U210" s="107"/>
      <c r="V210" s="107"/>
      <c r="W210" s="107"/>
      <c r="X210" s="107">
        <v>0.48</v>
      </c>
      <c r="Y210" s="107">
        <v>0.4</v>
      </c>
      <c r="Z210" s="107">
        <v>0.3</v>
      </c>
      <c r="AA210" s="107">
        <v>0.3</v>
      </c>
      <c r="AB210" s="107">
        <v>0.3</v>
      </c>
      <c r="AC210" s="107">
        <v>0.3</v>
      </c>
      <c r="AD210" s="107">
        <v>0.3</v>
      </c>
      <c r="AE210" s="107">
        <v>0.3</v>
      </c>
      <c r="AF210" s="107">
        <v>0.3</v>
      </c>
      <c r="AG210" s="107">
        <v>0.3</v>
      </c>
      <c r="AH210" s="107">
        <v>0.3</v>
      </c>
      <c r="AI210" s="107">
        <v>0.3</v>
      </c>
      <c r="AJ210" s="107">
        <v>0.3</v>
      </c>
      <c r="AK210" s="107">
        <v>0.3</v>
      </c>
      <c r="AL210" s="107">
        <v>0.3</v>
      </c>
      <c r="AM210" s="107">
        <v>0.3</v>
      </c>
      <c r="AN210" s="107">
        <v>0.3</v>
      </c>
      <c r="AO210" s="107">
        <v>0.3</v>
      </c>
      <c r="AP210" s="107">
        <v>0.3</v>
      </c>
      <c r="AQ210" s="107">
        <v>0.3</v>
      </c>
      <c r="AR210" s="107">
        <v>0.3</v>
      </c>
      <c r="AS210" s="107">
        <v>0.3</v>
      </c>
      <c r="AT210" s="107">
        <v>0.3</v>
      </c>
      <c r="AU210" s="107">
        <v>0.3</v>
      </c>
      <c r="AV210" s="107">
        <v>0.3</v>
      </c>
      <c r="AW210" s="107">
        <v>0.3</v>
      </c>
      <c r="AX210" s="107">
        <v>0.3</v>
      </c>
      <c r="AY210" s="107">
        <v>0.3</v>
      </c>
      <c r="AZ210" s="107">
        <f t="shared" si="83"/>
        <v>0.3</v>
      </c>
      <c r="BA210" s="107">
        <f t="shared" si="83"/>
        <v>0.3</v>
      </c>
      <c r="BB210" s="107">
        <f t="shared" si="83"/>
        <v>0.3</v>
      </c>
      <c r="BC210" s="107">
        <f t="shared" si="83"/>
        <v>0.3</v>
      </c>
      <c r="BD210" s="107">
        <f t="shared" si="83"/>
        <v>0.3</v>
      </c>
      <c r="BE210" s="107">
        <f t="shared" si="83"/>
        <v>0.3</v>
      </c>
      <c r="BF210" s="107">
        <f t="shared" si="83"/>
        <v>0.3</v>
      </c>
      <c r="BG210" s="107">
        <f t="shared" si="83"/>
        <v>0.3</v>
      </c>
    </row>
    <row r="211" spans="1:59" ht="13.75" customHeight="1">
      <c r="A211" s="171" t="s">
        <v>166</v>
      </c>
      <c r="B211" s="165" t="s">
        <v>313</v>
      </c>
      <c r="C211" s="165"/>
      <c r="D211" s="165" t="s">
        <v>168</v>
      </c>
      <c r="E211" s="167"/>
      <c r="F211" s="168" t="s">
        <v>339</v>
      </c>
      <c r="G211" s="168" t="s">
        <v>3</v>
      </c>
      <c r="H211" s="168"/>
      <c r="I211" s="168" t="s">
        <v>338</v>
      </c>
      <c r="U211" s="107"/>
      <c r="V211" s="107"/>
      <c r="W211" s="107"/>
      <c r="X211" s="107">
        <v>0.78</v>
      </c>
      <c r="Y211" s="107">
        <v>0.61</v>
      </c>
      <c r="Z211" s="107">
        <v>0.3</v>
      </c>
      <c r="AA211" s="107">
        <v>0.3</v>
      </c>
      <c r="AB211" s="107">
        <v>0.3</v>
      </c>
      <c r="AC211" s="107">
        <v>0.3</v>
      </c>
      <c r="AD211" s="107">
        <v>0.3</v>
      </c>
      <c r="AE211" s="107">
        <v>0.3</v>
      </c>
      <c r="AF211" s="107">
        <v>0.3</v>
      </c>
      <c r="AG211" s="107">
        <v>0.3</v>
      </c>
      <c r="AH211" s="107">
        <v>0.3</v>
      </c>
      <c r="AI211" s="107">
        <v>0.3</v>
      </c>
      <c r="AJ211" s="107">
        <v>0.3</v>
      </c>
      <c r="AK211" s="107">
        <v>0.3</v>
      </c>
      <c r="AL211" s="107">
        <v>0.3</v>
      </c>
      <c r="AM211" s="107">
        <v>0.3</v>
      </c>
      <c r="AN211" s="107">
        <v>0.3</v>
      </c>
      <c r="AO211" s="107">
        <v>0.3</v>
      </c>
      <c r="AP211" s="107">
        <v>0.3</v>
      </c>
      <c r="AQ211" s="107">
        <v>0.3</v>
      </c>
      <c r="AR211" s="107">
        <v>0.3</v>
      </c>
      <c r="AS211" s="107">
        <v>0.3</v>
      </c>
      <c r="AT211" s="107">
        <v>0.3</v>
      </c>
      <c r="AU211" s="107">
        <v>0.3</v>
      </c>
      <c r="AV211" s="107">
        <v>0.3</v>
      </c>
      <c r="AW211" s="107">
        <v>0.3</v>
      </c>
      <c r="AX211" s="107">
        <v>0.3</v>
      </c>
      <c r="AY211" s="107">
        <v>0.3</v>
      </c>
      <c r="AZ211" s="107">
        <f t="shared" si="83"/>
        <v>0.3</v>
      </c>
      <c r="BA211" s="107">
        <f t="shared" si="83"/>
        <v>0.3</v>
      </c>
      <c r="BB211" s="107">
        <f t="shared" si="83"/>
        <v>0.3</v>
      </c>
      <c r="BC211" s="107">
        <f t="shared" si="83"/>
        <v>0.3</v>
      </c>
      <c r="BD211" s="107">
        <f t="shared" si="83"/>
        <v>0.3</v>
      </c>
      <c r="BE211" s="107">
        <f t="shared" si="83"/>
        <v>0.3</v>
      </c>
      <c r="BF211" s="107">
        <f t="shared" si="83"/>
        <v>0.3</v>
      </c>
      <c r="BG211" s="107">
        <f t="shared" si="83"/>
        <v>0.3</v>
      </c>
    </row>
    <row r="212" spans="1:59" ht="13.75" customHeight="1">
      <c r="A212" s="171" t="s">
        <v>166</v>
      </c>
      <c r="B212" s="165" t="s">
        <v>313</v>
      </c>
      <c r="C212" s="165"/>
      <c r="D212" s="165" t="s">
        <v>168</v>
      </c>
      <c r="E212" s="167"/>
      <c r="F212" s="168" t="s">
        <v>340</v>
      </c>
      <c r="G212" s="168" t="s">
        <v>3</v>
      </c>
      <c r="H212" s="168"/>
      <c r="I212" s="168" t="s">
        <v>338</v>
      </c>
      <c r="U212" s="107"/>
      <c r="V212" s="107"/>
      <c r="W212" s="107"/>
      <c r="X212" s="107">
        <v>0.85</v>
      </c>
      <c r="Y212" s="107">
        <v>0.71</v>
      </c>
      <c r="Z212" s="107">
        <v>0.55000000000000004</v>
      </c>
      <c r="AA212" s="107">
        <v>0.55000000000000004</v>
      </c>
      <c r="AB212" s="107">
        <v>0.55000000000000004</v>
      </c>
      <c r="AC212" s="107">
        <v>0.55000000000000004</v>
      </c>
      <c r="AD212" s="107">
        <v>0.55000000000000004</v>
      </c>
      <c r="AE212" s="107">
        <v>0.55000000000000004</v>
      </c>
      <c r="AF212" s="107">
        <v>0.55000000000000004</v>
      </c>
      <c r="AG212" s="107">
        <v>0.55000000000000004</v>
      </c>
      <c r="AH212" s="107">
        <v>0.55000000000000004</v>
      </c>
      <c r="AI212" s="107">
        <v>0.55000000000000004</v>
      </c>
      <c r="AJ212" s="107">
        <v>0.55000000000000004</v>
      </c>
      <c r="AK212" s="107">
        <v>0.55000000000000004</v>
      </c>
      <c r="AL212" s="107">
        <v>0.55000000000000004</v>
      </c>
      <c r="AM212" s="107">
        <v>0.55000000000000004</v>
      </c>
      <c r="AN212" s="107">
        <v>0.55000000000000004</v>
      </c>
      <c r="AO212" s="107">
        <v>0.55000000000000004</v>
      </c>
      <c r="AP212" s="107">
        <v>0.55000000000000004</v>
      </c>
      <c r="AQ212" s="107">
        <v>0.55000000000000004</v>
      </c>
      <c r="AR212" s="107">
        <v>0.55000000000000004</v>
      </c>
      <c r="AS212" s="107">
        <v>0.55000000000000004</v>
      </c>
      <c r="AT212" s="107">
        <v>0.55000000000000004</v>
      </c>
      <c r="AU212" s="107">
        <v>0.55000000000000004</v>
      </c>
      <c r="AV212" s="107">
        <v>0.55000000000000004</v>
      </c>
      <c r="AW212" s="107">
        <v>0.55000000000000004</v>
      </c>
      <c r="AX212" s="107">
        <v>0.55000000000000004</v>
      </c>
      <c r="AY212" s="107">
        <v>0.55000000000000004</v>
      </c>
      <c r="AZ212" s="107">
        <f t="shared" si="83"/>
        <v>0.55000000000000004</v>
      </c>
      <c r="BA212" s="107">
        <f t="shared" si="83"/>
        <v>0.55000000000000004</v>
      </c>
      <c r="BB212" s="107">
        <f t="shared" si="83"/>
        <v>0.55000000000000004</v>
      </c>
      <c r="BC212" s="107">
        <f t="shared" si="83"/>
        <v>0.55000000000000004</v>
      </c>
      <c r="BD212" s="107">
        <f t="shared" si="83"/>
        <v>0.55000000000000004</v>
      </c>
      <c r="BE212" s="107">
        <f t="shared" si="83"/>
        <v>0.55000000000000004</v>
      </c>
      <c r="BF212" s="107">
        <f t="shared" si="83"/>
        <v>0.55000000000000004</v>
      </c>
      <c r="BG212" s="107">
        <f t="shared" si="83"/>
        <v>0.55000000000000004</v>
      </c>
    </row>
    <row r="213" spans="1:59" ht="13.75" customHeight="1">
      <c r="A213" s="171" t="s">
        <v>166</v>
      </c>
      <c r="B213" s="165" t="s">
        <v>313</v>
      </c>
      <c r="C213" s="165"/>
      <c r="D213" s="165" t="s">
        <v>168</v>
      </c>
      <c r="E213" s="167"/>
      <c r="F213" s="168" t="s">
        <v>341</v>
      </c>
      <c r="G213" s="168" t="s">
        <v>3</v>
      </c>
      <c r="H213" s="168"/>
      <c r="I213" s="168" t="s">
        <v>338</v>
      </c>
      <c r="U213" s="107"/>
      <c r="V213" s="107"/>
      <c r="W213" s="107"/>
      <c r="X213" s="107">
        <v>0.76</v>
      </c>
      <c r="Y213" s="107">
        <v>0.82</v>
      </c>
      <c r="Z213" s="107">
        <v>1</v>
      </c>
      <c r="AA213" s="107">
        <v>1</v>
      </c>
      <c r="AB213" s="107">
        <v>1</v>
      </c>
      <c r="AC213" s="107">
        <v>1</v>
      </c>
      <c r="AD213" s="107">
        <v>1</v>
      </c>
      <c r="AE213" s="107">
        <v>1</v>
      </c>
      <c r="AF213" s="107">
        <v>1</v>
      </c>
      <c r="AG213" s="107">
        <v>1</v>
      </c>
      <c r="AH213" s="107">
        <v>1</v>
      </c>
      <c r="AI213" s="107">
        <v>1</v>
      </c>
      <c r="AJ213" s="107">
        <v>1</v>
      </c>
      <c r="AK213" s="107">
        <v>1</v>
      </c>
      <c r="AL213" s="107">
        <v>1</v>
      </c>
      <c r="AM213" s="107">
        <v>1</v>
      </c>
      <c r="AN213" s="107">
        <v>1</v>
      </c>
      <c r="AO213" s="107">
        <v>1</v>
      </c>
      <c r="AP213" s="107">
        <v>1</v>
      </c>
      <c r="AQ213" s="107">
        <v>1</v>
      </c>
      <c r="AR213" s="107">
        <v>1</v>
      </c>
      <c r="AS213" s="107">
        <v>1</v>
      </c>
      <c r="AT213" s="107">
        <v>1</v>
      </c>
      <c r="AU213" s="107">
        <v>1</v>
      </c>
      <c r="AV213" s="107">
        <v>1</v>
      </c>
      <c r="AW213" s="107">
        <v>1</v>
      </c>
      <c r="AX213" s="107">
        <v>1</v>
      </c>
      <c r="AY213" s="107">
        <v>1</v>
      </c>
      <c r="AZ213" s="107">
        <f t="shared" si="83"/>
        <v>1</v>
      </c>
      <c r="BA213" s="107">
        <f t="shared" si="83"/>
        <v>1</v>
      </c>
      <c r="BB213" s="107">
        <f t="shared" si="83"/>
        <v>1</v>
      </c>
      <c r="BC213" s="107">
        <f t="shared" si="83"/>
        <v>1</v>
      </c>
      <c r="BD213" s="107">
        <f t="shared" si="83"/>
        <v>1</v>
      </c>
      <c r="BE213" s="107">
        <f t="shared" si="83"/>
        <v>1</v>
      </c>
      <c r="BF213" s="107">
        <f t="shared" si="83"/>
        <v>1</v>
      </c>
      <c r="BG213" s="107">
        <f t="shared" si="83"/>
        <v>1</v>
      </c>
    </row>
    <row r="214" spans="1:59" ht="13.75" customHeight="1">
      <c r="A214" s="171" t="s">
        <v>166</v>
      </c>
      <c r="B214" s="165" t="s">
        <v>313</v>
      </c>
      <c r="C214" s="165"/>
      <c r="D214" s="165" t="s">
        <v>168</v>
      </c>
      <c r="E214" s="167"/>
      <c r="F214" s="168" t="s">
        <v>342</v>
      </c>
      <c r="G214" s="168" t="s">
        <v>3</v>
      </c>
      <c r="H214" s="168"/>
      <c r="I214" s="168" t="s">
        <v>338</v>
      </c>
      <c r="U214" s="107"/>
      <c r="V214" s="107"/>
      <c r="W214" s="107"/>
      <c r="X214" s="107">
        <v>0.48</v>
      </c>
      <c r="Y214" s="107">
        <v>0.4</v>
      </c>
      <c r="Z214" s="107">
        <v>0.3</v>
      </c>
      <c r="AA214" s="107">
        <v>0.3</v>
      </c>
      <c r="AB214" s="107">
        <v>0.3</v>
      </c>
      <c r="AC214" s="107">
        <v>0.3</v>
      </c>
      <c r="AD214" s="107">
        <v>0.3</v>
      </c>
      <c r="AE214" s="107">
        <v>0.3</v>
      </c>
      <c r="AF214" s="107">
        <v>0.3</v>
      </c>
      <c r="AG214" s="107">
        <v>0.3</v>
      </c>
      <c r="AH214" s="107">
        <v>0.3</v>
      </c>
      <c r="AI214" s="107">
        <v>0.3</v>
      </c>
      <c r="AJ214" s="107">
        <v>0.3</v>
      </c>
      <c r="AK214" s="107">
        <v>0.3</v>
      </c>
      <c r="AL214" s="107">
        <v>0.3</v>
      </c>
      <c r="AM214" s="107">
        <v>0.3</v>
      </c>
      <c r="AN214" s="107">
        <v>0.3</v>
      </c>
      <c r="AO214" s="107">
        <v>0.3</v>
      </c>
      <c r="AP214" s="107">
        <v>0.3</v>
      </c>
      <c r="AQ214" s="107">
        <v>0.3</v>
      </c>
      <c r="AR214" s="107">
        <v>0.3</v>
      </c>
      <c r="AS214" s="107">
        <v>0.3</v>
      </c>
      <c r="AT214" s="107">
        <v>0.3</v>
      </c>
      <c r="AU214" s="107">
        <v>0.3</v>
      </c>
      <c r="AV214" s="107">
        <v>0.3</v>
      </c>
      <c r="AW214" s="107">
        <v>0.3</v>
      </c>
      <c r="AX214" s="107">
        <v>0.3</v>
      </c>
      <c r="AY214" s="107">
        <v>0.3</v>
      </c>
      <c r="AZ214" s="107">
        <f t="shared" si="83"/>
        <v>0.3</v>
      </c>
      <c r="BA214" s="107">
        <f t="shared" si="83"/>
        <v>0.3</v>
      </c>
      <c r="BB214" s="107">
        <f t="shared" si="83"/>
        <v>0.3</v>
      </c>
      <c r="BC214" s="107">
        <f t="shared" si="83"/>
        <v>0.3</v>
      </c>
      <c r="BD214" s="107">
        <f t="shared" si="83"/>
        <v>0.3</v>
      </c>
      <c r="BE214" s="107">
        <f t="shared" si="83"/>
        <v>0.3</v>
      </c>
      <c r="BF214" s="107">
        <f t="shared" si="83"/>
        <v>0.3</v>
      </c>
      <c r="BG214" s="107">
        <f t="shared" si="83"/>
        <v>0.3</v>
      </c>
    </row>
    <row r="215" spans="1:59" ht="13.75" customHeight="1">
      <c r="A215" s="171" t="s">
        <v>166</v>
      </c>
      <c r="B215" s="165" t="s">
        <v>313</v>
      </c>
      <c r="C215" s="165"/>
      <c r="D215" s="165" t="s">
        <v>168</v>
      </c>
      <c r="E215" s="167"/>
      <c r="F215" s="168" t="s">
        <v>343</v>
      </c>
      <c r="G215" s="168" t="s">
        <v>3</v>
      </c>
      <c r="H215" s="168"/>
      <c r="I215" s="168" t="s">
        <v>338</v>
      </c>
      <c r="U215" s="107"/>
      <c r="V215" s="107"/>
      <c r="W215" s="107"/>
      <c r="X215" s="107">
        <v>6.5000000000000002E-2</v>
      </c>
      <c r="Y215" s="107">
        <v>6.5000000000000002E-2</v>
      </c>
      <c r="Z215" s="107">
        <v>6.5000000000000002E-2</v>
      </c>
      <c r="AA215" s="107">
        <v>6.5000000000000002E-2</v>
      </c>
      <c r="AB215" s="107">
        <v>6.5000000000000002E-2</v>
      </c>
      <c r="AC215" s="107">
        <v>6.5000000000000002E-2</v>
      </c>
      <c r="AD215" s="107">
        <v>6.5000000000000002E-2</v>
      </c>
      <c r="AE215" s="107">
        <v>6.5000000000000002E-2</v>
      </c>
      <c r="AF215" s="107">
        <v>6.5000000000000002E-2</v>
      </c>
      <c r="AG215" s="107">
        <v>6.5000000000000002E-2</v>
      </c>
      <c r="AH215" s="107">
        <v>6.5000000000000002E-2</v>
      </c>
      <c r="AI215" s="107">
        <v>6.5000000000000002E-2</v>
      </c>
      <c r="AJ215" s="107">
        <v>6.5000000000000002E-2</v>
      </c>
      <c r="AK215" s="107">
        <v>6.5000000000000002E-2</v>
      </c>
      <c r="AL215" s="107">
        <v>6.5000000000000002E-2</v>
      </c>
      <c r="AM215" s="107">
        <v>6.5000000000000002E-2</v>
      </c>
      <c r="AN215" s="107">
        <v>6.5000000000000002E-2</v>
      </c>
      <c r="AO215" s="107">
        <v>6.5000000000000002E-2</v>
      </c>
      <c r="AP215" s="107">
        <v>6.5000000000000002E-2</v>
      </c>
      <c r="AQ215" s="107">
        <v>6.5000000000000002E-2</v>
      </c>
      <c r="AR215" s="107">
        <v>6.5000000000000002E-2</v>
      </c>
      <c r="AS215" s="107">
        <v>6.5000000000000002E-2</v>
      </c>
      <c r="AT215" s="107">
        <v>6.5000000000000002E-2</v>
      </c>
      <c r="AU215" s="107">
        <v>6.5000000000000002E-2</v>
      </c>
      <c r="AV215" s="107">
        <v>6.5000000000000002E-2</v>
      </c>
      <c r="AW215" s="107">
        <v>6.5000000000000002E-2</v>
      </c>
      <c r="AX215" s="107">
        <v>6.5000000000000002E-2</v>
      </c>
      <c r="AY215" s="107">
        <v>6.5000000000000002E-2</v>
      </c>
      <c r="AZ215" s="107">
        <f>AY215</f>
        <v>6.5000000000000002E-2</v>
      </c>
      <c r="BA215" s="107">
        <f t="shared" si="83"/>
        <v>6.5000000000000002E-2</v>
      </c>
      <c r="BB215" s="107">
        <f t="shared" si="83"/>
        <v>6.5000000000000002E-2</v>
      </c>
      <c r="BC215" s="107">
        <f t="shared" si="83"/>
        <v>6.5000000000000002E-2</v>
      </c>
      <c r="BD215" s="107">
        <f t="shared" si="83"/>
        <v>6.5000000000000002E-2</v>
      </c>
      <c r="BE215" s="107">
        <f t="shared" si="83"/>
        <v>6.5000000000000002E-2</v>
      </c>
      <c r="BF215" s="107">
        <f t="shared" si="83"/>
        <v>6.5000000000000002E-2</v>
      </c>
      <c r="BG215" s="107">
        <f t="shared" si="83"/>
        <v>6.5000000000000002E-2</v>
      </c>
    </row>
    <row r="216" spans="1:59" ht="13.75" customHeight="1">
      <c r="A216" s="171" t="s">
        <v>166</v>
      </c>
      <c r="B216" s="165" t="s">
        <v>313</v>
      </c>
      <c r="C216" s="165"/>
      <c r="D216" s="165" t="s">
        <v>87</v>
      </c>
      <c r="E216" s="167"/>
      <c r="F216" s="168" t="s">
        <v>344</v>
      </c>
      <c r="G216" s="168" t="s">
        <v>315</v>
      </c>
      <c r="H216" s="168"/>
      <c r="I216" s="168" t="s">
        <v>345</v>
      </c>
      <c r="S216" s="115">
        <v>78.081027667984188</v>
      </c>
      <c r="T216" s="115">
        <v>109.58242063492062</v>
      </c>
      <c r="U216" s="115">
        <v>110.63688235294121</v>
      </c>
      <c r="V216" s="115">
        <v>107.97051181102361</v>
      </c>
      <c r="W216" s="115">
        <v>97.595118577075112</v>
      </c>
      <c r="X216" s="112">
        <v>50.926936758893277</v>
      </c>
      <c r="Y216" s="112">
        <v>41.569031620553368</v>
      </c>
      <c r="Z216" s="112">
        <v>52.995509803921564</v>
      </c>
      <c r="AA216" s="140">
        <v>70.025866141732266</v>
      </c>
      <c r="AB216" s="140">
        <v>63.918039215686299</v>
      </c>
      <c r="AC216" s="140">
        <v>41.557499999999997</v>
      </c>
      <c r="AD216" s="140">
        <v>68.823333333333323</v>
      </c>
      <c r="AE216" s="112">
        <v>76.030833333333334</v>
      </c>
      <c r="AF216" s="112">
        <v>64.212499999999991</v>
      </c>
      <c r="AG216" s="112">
        <v>72.375</v>
      </c>
      <c r="AH216" s="112">
        <v>67.75</v>
      </c>
      <c r="AI216" s="112">
        <v>67</v>
      </c>
      <c r="AJ216" s="112">
        <v>69.479785233892073</v>
      </c>
      <c r="AK216" s="112">
        <v>69.726912796083624</v>
      </c>
      <c r="AL216" s="112">
        <v>69.973849207021772</v>
      </c>
      <c r="AM216" s="112">
        <v>70.220570055555839</v>
      </c>
      <c r="AN216" s="112">
        <v>70.467050358675806</v>
      </c>
      <c r="AO216" s="112">
        <v>70.713264549709621</v>
      </c>
      <c r="AP216" s="112">
        <v>70.959186466282361</v>
      </c>
      <c r="AQ216" s="112">
        <v>71.204789338032199</v>
      </c>
      <c r="AR216" s="112">
        <v>71.450045774078546</v>
      </c>
      <c r="AS216" s="112">
        <v>71.694927750237255</v>
      </c>
      <c r="AT216" s="112">
        <v>71.939406595977744</v>
      </c>
      <c r="AU216" s="112">
        <v>72.183452981116943</v>
      </c>
      <c r="AV216" s="112">
        <v>72.427036902244822</v>
      </c>
      <c r="AW216" s="112">
        <v>72.670127668875892</v>
      </c>
      <c r="AX216" s="112">
        <v>72.912693889321403</v>
      </c>
      <c r="AY216" s="112">
        <v>73.154703456276508</v>
      </c>
      <c r="AZ216" s="112">
        <v>73.39612353211659</v>
      </c>
      <c r="BA216" s="112">
        <v>73.636920533897083</v>
      </c>
      <c r="BB216" s="112">
        <v>73.877060118050707</v>
      </c>
      <c r="BC216" s="112">
        <f t="shared" ref="BC216:BG216" si="84">BB216*(1+((BB216-BA216)/BA216))</f>
        <v>74.117982828650398</v>
      </c>
      <c r="BD216" s="112">
        <f t="shared" si="84"/>
        <v>74.359691219573449</v>
      </c>
      <c r="BE216" s="112">
        <f t="shared" si="84"/>
        <v>74.602187853025683</v>
      </c>
      <c r="BF216" s="112">
        <f t="shared" si="84"/>
        <v>74.845475299568605</v>
      </c>
      <c r="BG216" s="112">
        <f t="shared" si="84"/>
        <v>75.089556138146648</v>
      </c>
    </row>
    <row r="217" spans="1:59" ht="13.75" customHeight="1">
      <c r="A217" s="171" t="s">
        <v>166</v>
      </c>
      <c r="B217" s="165" t="s">
        <v>313</v>
      </c>
      <c r="C217" s="165"/>
      <c r="D217" s="165" t="s">
        <v>168</v>
      </c>
      <c r="E217" s="167"/>
      <c r="F217" s="168" t="s">
        <v>346</v>
      </c>
      <c r="G217" s="168" t="s">
        <v>318</v>
      </c>
      <c r="H217" s="168"/>
      <c r="I217" s="168" t="s">
        <v>347</v>
      </c>
      <c r="U217" s="112">
        <v>0</v>
      </c>
      <c r="V217" s="112">
        <v>5860</v>
      </c>
      <c r="W217" s="112">
        <v>6446</v>
      </c>
      <c r="X217" s="128">
        <v>0</v>
      </c>
      <c r="Y217" s="128">
        <v>0</v>
      </c>
      <c r="Z217" s="128">
        <v>7800</v>
      </c>
      <c r="AA217" s="128">
        <v>8662</v>
      </c>
      <c r="AB217" s="128">
        <v>9241</v>
      </c>
      <c r="AC217" s="128">
        <v>9535</v>
      </c>
      <c r="AD217" s="128">
        <v>9916</v>
      </c>
      <c r="AE217" s="128">
        <v>10114.32</v>
      </c>
      <c r="AF217" s="128">
        <v>10316.606400000001</v>
      </c>
      <c r="AG217" s="128">
        <v>10522.938528000001</v>
      </c>
      <c r="AH217" s="128">
        <v>10733.397298560001</v>
      </c>
      <c r="AI217" s="128">
        <v>10948.065244531201</v>
      </c>
      <c r="AJ217" s="128">
        <v>11167.026549421826</v>
      </c>
      <c r="AK217" s="128">
        <v>11390.367080410262</v>
      </c>
      <c r="AL217" s="128">
        <v>11618.174422018468</v>
      </c>
      <c r="AM217" s="128">
        <v>11850.537910458837</v>
      </c>
      <c r="AN217" s="112">
        <v>11897.940062100673</v>
      </c>
      <c r="AO217" s="112">
        <v>11945.531822349076</v>
      </c>
      <c r="AP217" s="112">
        <v>11993.313949638472</v>
      </c>
      <c r="AQ217" s="112">
        <v>12041.287205437025</v>
      </c>
      <c r="AR217" s="112">
        <v>12089.452354258774</v>
      </c>
      <c r="AS217" s="112">
        <v>12137.810163675809</v>
      </c>
      <c r="AT217" s="112">
        <v>12186.361404330513</v>
      </c>
      <c r="AU217" s="112">
        <v>12235.106849947835</v>
      </c>
      <c r="AV217" s="112">
        <v>12284.047277347627</v>
      </c>
      <c r="AW217" s="112">
        <v>12333.183466457018</v>
      </c>
      <c r="AX217" s="112">
        <v>12382.516200322845</v>
      </c>
      <c r="AY217" s="112">
        <v>12432.046265124136</v>
      </c>
      <c r="AZ217" s="129">
        <f>AY217*(1+AZ$3)</f>
        <v>12929.328115729102</v>
      </c>
      <c r="BA217" s="129">
        <f t="shared" ref="BA217:BG217" si="85">AZ217*(1+BA$3)</f>
        <v>13446.501240358266</v>
      </c>
      <c r="BB217" s="129">
        <f t="shared" si="85"/>
        <v>13984.361289972598</v>
      </c>
      <c r="BC217" s="129">
        <f t="shared" si="85"/>
        <v>14543.735741571501</v>
      </c>
      <c r="BD217" s="129">
        <f t="shared" si="85"/>
        <v>15125.485171234362</v>
      </c>
      <c r="BE217" s="129">
        <f t="shared" si="85"/>
        <v>15730.504578083737</v>
      </c>
      <c r="BF217" s="129">
        <f t="shared" si="85"/>
        <v>16359.724761207088</v>
      </c>
      <c r="BG217" s="129">
        <f t="shared" si="85"/>
        <v>17014.113751655372</v>
      </c>
    </row>
    <row r="218" spans="1:59" ht="13.75" customHeight="1">
      <c r="A218" s="171" t="s">
        <v>166</v>
      </c>
      <c r="B218" s="165" t="s">
        <v>313</v>
      </c>
      <c r="C218" s="165"/>
      <c r="D218" s="165" t="s">
        <v>168</v>
      </c>
      <c r="E218" s="167"/>
      <c r="F218" s="168" t="s">
        <v>348</v>
      </c>
      <c r="G218" s="168" t="s">
        <v>318</v>
      </c>
      <c r="H218" s="168"/>
      <c r="I218" s="168"/>
      <c r="X218" s="128">
        <v>0</v>
      </c>
      <c r="Y218" s="128">
        <v>0</v>
      </c>
      <c r="Z218" s="128">
        <v>306</v>
      </c>
      <c r="AA218" s="128">
        <v>357</v>
      </c>
      <c r="AB218" s="128">
        <v>428</v>
      </c>
      <c r="AC218" s="128">
        <v>428</v>
      </c>
      <c r="AD218" s="151">
        <v>428</v>
      </c>
      <c r="AE218" s="151">
        <v>428</v>
      </c>
      <c r="AF218" s="151">
        <v>428</v>
      </c>
      <c r="AG218" s="151">
        <v>428</v>
      </c>
      <c r="AH218" s="151">
        <v>428</v>
      </c>
      <c r="AI218" s="151">
        <v>428</v>
      </c>
      <c r="AJ218" s="151">
        <v>428</v>
      </c>
      <c r="AK218" s="151">
        <v>428</v>
      </c>
      <c r="AL218" s="151">
        <v>428</v>
      </c>
      <c r="AM218" s="151">
        <v>428</v>
      </c>
      <c r="AN218" s="151">
        <v>428</v>
      </c>
      <c r="AO218" s="151">
        <v>428</v>
      </c>
      <c r="AP218" s="151">
        <v>428</v>
      </c>
      <c r="AQ218" s="151">
        <v>428</v>
      </c>
      <c r="AR218" s="151">
        <v>428</v>
      </c>
      <c r="AS218" s="151">
        <v>428</v>
      </c>
      <c r="AT218" s="151">
        <v>428</v>
      </c>
      <c r="AU218" s="151">
        <v>428</v>
      </c>
      <c r="AV218" s="151">
        <v>428</v>
      </c>
      <c r="AW218" s="151">
        <v>428</v>
      </c>
      <c r="AX218" s="151">
        <v>428</v>
      </c>
      <c r="AY218" s="151">
        <v>428</v>
      </c>
      <c r="AZ218" s="151">
        <f>AY218</f>
        <v>428</v>
      </c>
      <c r="BA218" s="151">
        <f t="shared" ref="BA218:BG220" si="86">AZ218</f>
        <v>428</v>
      </c>
      <c r="BB218" s="151">
        <f t="shared" si="86"/>
        <v>428</v>
      </c>
      <c r="BC218" s="151">
        <f t="shared" si="86"/>
        <v>428</v>
      </c>
      <c r="BD218" s="151">
        <f t="shared" si="86"/>
        <v>428</v>
      </c>
      <c r="BE218" s="151">
        <f t="shared" si="86"/>
        <v>428</v>
      </c>
      <c r="BF218" s="151">
        <f t="shared" si="86"/>
        <v>428</v>
      </c>
      <c r="BG218" s="151">
        <f t="shared" si="86"/>
        <v>428</v>
      </c>
    </row>
    <row r="219" spans="1:59" ht="13.75" customHeight="1">
      <c r="A219" s="171" t="s">
        <v>166</v>
      </c>
      <c r="B219" s="165" t="s">
        <v>313</v>
      </c>
      <c r="C219" s="165"/>
      <c r="D219" s="165" t="s">
        <v>168</v>
      </c>
      <c r="E219" s="167"/>
      <c r="F219" s="168" t="s">
        <v>349</v>
      </c>
      <c r="G219" s="168"/>
      <c r="H219" s="168"/>
      <c r="I219" s="168"/>
      <c r="X219" s="120"/>
      <c r="Y219" s="120"/>
      <c r="Z219" s="120"/>
      <c r="AA219" s="120"/>
      <c r="AB219" s="152">
        <v>0.83299999999999996</v>
      </c>
      <c r="AC219" s="152">
        <v>0.66700000000000004</v>
      </c>
      <c r="AD219" s="152">
        <v>0.5</v>
      </c>
      <c r="AE219" s="152">
        <v>0.33300000000000002</v>
      </c>
      <c r="AF219" s="152">
        <v>0.16700000000000001</v>
      </c>
      <c r="AG219" s="152">
        <v>0</v>
      </c>
      <c r="AH219" s="146">
        <v>0</v>
      </c>
      <c r="AI219" s="146">
        <v>0</v>
      </c>
      <c r="AJ219" s="146">
        <v>0</v>
      </c>
      <c r="AK219" s="146">
        <v>0</v>
      </c>
      <c r="AL219" s="146">
        <v>0</v>
      </c>
      <c r="AM219" s="146">
        <v>0</v>
      </c>
      <c r="AN219" s="146">
        <v>0</v>
      </c>
      <c r="AO219" s="146">
        <v>0</v>
      </c>
      <c r="AP219" s="146">
        <v>0</v>
      </c>
      <c r="AQ219" s="146">
        <v>0</v>
      </c>
      <c r="AR219" s="146">
        <v>0</v>
      </c>
      <c r="AS219" s="146">
        <v>0</v>
      </c>
      <c r="AT219" s="146">
        <v>0</v>
      </c>
      <c r="AU219" s="146">
        <v>0</v>
      </c>
      <c r="AV219" s="146">
        <v>0</v>
      </c>
      <c r="AW219" s="146">
        <v>0</v>
      </c>
      <c r="AX219" s="146">
        <v>0</v>
      </c>
      <c r="AY219" s="146">
        <v>0</v>
      </c>
      <c r="AZ219" s="146">
        <f>AY219</f>
        <v>0</v>
      </c>
      <c r="BA219" s="146">
        <f t="shared" si="86"/>
        <v>0</v>
      </c>
      <c r="BB219" s="146">
        <f t="shared" si="86"/>
        <v>0</v>
      </c>
      <c r="BC219" s="146">
        <f t="shared" si="86"/>
        <v>0</v>
      </c>
      <c r="BD219" s="146">
        <f t="shared" si="86"/>
        <v>0</v>
      </c>
      <c r="BE219" s="146">
        <f t="shared" si="86"/>
        <v>0</v>
      </c>
      <c r="BF219" s="146">
        <f t="shared" si="86"/>
        <v>0</v>
      </c>
      <c r="BG219" s="146">
        <f t="shared" si="86"/>
        <v>0</v>
      </c>
    </row>
    <row r="220" spans="1:59" ht="13.75" customHeight="1">
      <c r="A220" s="171" t="s">
        <v>166</v>
      </c>
      <c r="B220" s="165" t="s">
        <v>313</v>
      </c>
      <c r="C220" s="165"/>
      <c r="D220" s="165" t="s">
        <v>168</v>
      </c>
      <c r="E220" s="167"/>
      <c r="F220" s="168" t="s">
        <v>350</v>
      </c>
      <c r="G220" s="168"/>
      <c r="H220" s="168"/>
      <c r="I220" s="168"/>
      <c r="X220" s="120"/>
      <c r="Y220" s="120"/>
      <c r="Z220" s="120"/>
      <c r="AA220" s="120"/>
      <c r="AB220" s="152">
        <v>0.16700000000000001</v>
      </c>
      <c r="AC220" s="152">
        <v>0.33300000000000002</v>
      </c>
      <c r="AD220" s="152">
        <v>0.5</v>
      </c>
      <c r="AE220" s="152">
        <v>0.66700000000000004</v>
      </c>
      <c r="AF220" s="152">
        <v>0.83299999999999996</v>
      </c>
      <c r="AG220" s="152">
        <v>1</v>
      </c>
      <c r="AH220" s="119">
        <v>1</v>
      </c>
      <c r="AI220" s="119">
        <v>1</v>
      </c>
      <c r="AJ220" s="119">
        <v>1</v>
      </c>
      <c r="AK220" s="119">
        <v>1</v>
      </c>
      <c r="AL220" s="119">
        <v>1</v>
      </c>
      <c r="AM220" s="119">
        <v>1</v>
      </c>
      <c r="AN220" s="119">
        <v>1</v>
      </c>
      <c r="AO220" s="119">
        <v>1</v>
      </c>
      <c r="AP220" s="119">
        <v>1</v>
      </c>
      <c r="AQ220" s="119">
        <v>1</v>
      </c>
      <c r="AR220" s="119">
        <v>1</v>
      </c>
      <c r="AS220" s="119">
        <v>1</v>
      </c>
      <c r="AT220" s="119">
        <v>1</v>
      </c>
      <c r="AU220" s="119">
        <v>1</v>
      </c>
      <c r="AV220" s="119">
        <v>1</v>
      </c>
      <c r="AW220" s="119">
        <v>1</v>
      </c>
      <c r="AX220" s="119">
        <v>1</v>
      </c>
      <c r="AY220" s="119">
        <v>1</v>
      </c>
      <c r="AZ220" s="119">
        <f>AY220</f>
        <v>1</v>
      </c>
      <c r="BA220" s="119">
        <f t="shared" si="86"/>
        <v>1</v>
      </c>
      <c r="BB220" s="119">
        <f t="shared" si="86"/>
        <v>1</v>
      </c>
      <c r="BC220" s="119">
        <f t="shared" si="86"/>
        <v>1</v>
      </c>
      <c r="BD220" s="119">
        <f t="shared" si="86"/>
        <v>1</v>
      </c>
      <c r="BE220" s="119">
        <f t="shared" si="86"/>
        <v>1</v>
      </c>
      <c r="BF220" s="119">
        <f t="shared" si="86"/>
        <v>1</v>
      </c>
      <c r="BG220" s="119">
        <f t="shared" si="86"/>
        <v>1</v>
      </c>
    </row>
    <row r="221" spans="1:59" ht="13.75" customHeight="1">
      <c r="A221" s="171" t="s">
        <v>166</v>
      </c>
      <c r="B221" s="165" t="s">
        <v>313</v>
      </c>
      <c r="C221" s="165"/>
      <c r="D221" s="165" t="s">
        <v>168</v>
      </c>
      <c r="E221" s="167"/>
      <c r="F221" s="168" t="s">
        <v>351</v>
      </c>
      <c r="G221" s="168" t="s">
        <v>4</v>
      </c>
      <c r="H221" s="168"/>
      <c r="I221" s="168"/>
      <c r="P221" s="119"/>
      <c r="Q221" s="119"/>
      <c r="R221" s="119"/>
      <c r="S221" s="119"/>
      <c r="T221" s="119"/>
      <c r="U221" s="119"/>
      <c r="V221" s="119"/>
      <c r="W221" s="119"/>
      <c r="X221" s="153">
        <v>489.03583333333341</v>
      </c>
      <c r="Y221" s="153">
        <v>390.00749999999999</v>
      </c>
      <c r="Z221" s="153">
        <v>482.41166666666663</v>
      </c>
      <c r="AA221" s="153">
        <v>624.85333333333335</v>
      </c>
      <c r="AB221" s="153">
        <v>580.02333333333331</v>
      </c>
      <c r="AC221" s="153">
        <v>359.72409048945127</v>
      </c>
      <c r="AD221" s="153">
        <v>571.97409653745706</v>
      </c>
      <c r="AE221" s="150">
        <v>1041.4864320932536</v>
      </c>
      <c r="AF221" s="150">
        <v>844.68216462305213</v>
      </c>
      <c r="AG221" s="150">
        <v>813.08208160268634</v>
      </c>
      <c r="AH221" s="150">
        <v>754.29936898916162</v>
      </c>
      <c r="AI221" s="150">
        <v>729.15879493808359</v>
      </c>
      <c r="AJ221" s="150">
        <v>715.7451401383737</v>
      </c>
      <c r="AK221" s="150">
        <v>716.36233225322076</v>
      </c>
      <c r="AL221" s="150">
        <v>719.71061336819798</v>
      </c>
      <c r="AM221" s="150">
        <v>723.8335175774248</v>
      </c>
      <c r="AN221" s="150">
        <v>725.87002371789163</v>
      </c>
      <c r="AO221" s="150">
        <v>727.99483457621034</v>
      </c>
      <c r="AP221" s="150">
        <v>730.78180212092423</v>
      </c>
      <c r="AQ221" s="150">
        <v>733.83214370524524</v>
      </c>
      <c r="AR221" s="150">
        <v>737.37725758362058</v>
      </c>
      <c r="AS221" s="150">
        <v>740.28530537870074</v>
      </c>
      <c r="AT221" s="150">
        <v>743.64584501920797</v>
      </c>
      <c r="AU221" s="150">
        <v>747.94205994083666</v>
      </c>
      <c r="AV221" s="150">
        <v>752.29848154315016</v>
      </c>
      <c r="AW221" s="150">
        <v>756.972137527776</v>
      </c>
      <c r="AX221" s="150">
        <v>762.28861373489156</v>
      </c>
      <c r="AY221" s="150">
        <v>767.04373739167363</v>
      </c>
      <c r="AZ221" s="150">
        <v>769.60755252665012</v>
      </c>
      <c r="BA221" s="150">
        <v>772.18162292216653</v>
      </c>
      <c r="BB221" s="150">
        <v>774.76598959926503</v>
      </c>
      <c r="BC221" s="150">
        <f t="shared" ref="BC221:BG222" si="87">BB221*(1+((BB221-BA221)/BA221))</f>
        <v>777.3590057325581</v>
      </c>
      <c r="BD221" s="150">
        <f t="shared" si="87"/>
        <v>779.96070027037308</v>
      </c>
      <c r="BE221" s="150">
        <f t="shared" si="87"/>
        <v>782.57110225792258</v>
      </c>
      <c r="BF221" s="150">
        <f t="shared" si="87"/>
        <v>785.19024083762883</v>
      </c>
      <c r="BG221" s="150">
        <f t="shared" si="87"/>
        <v>787.81814524944912</v>
      </c>
    </row>
    <row r="222" spans="1:59" ht="13.75" customHeight="1">
      <c r="A222" s="171" t="s">
        <v>166</v>
      </c>
      <c r="B222" s="165" t="s">
        <v>313</v>
      </c>
      <c r="C222" s="165"/>
      <c r="D222" s="165" t="s">
        <v>168</v>
      </c>
      <c r="E222" s="167"/>
      <c r="F222" s="168" t="s">
        <v>352</v>
      </c>
      <c r="G222" s="168" t="s">
        <v>4</v>
      </c>
      <c r="H222" s="168"/>
      <c r="I222" s="168"/>
      <c r="S222" s="119"/>
      <c r="T222" s="119"/>
      <c r="U222" s="119"/>
      <c r="V222" s="119"/>
      <c r="W222" s="119"/>
      <c r="X222" s="119">
        <v>560.99416666666673</v>
      </c>
      <c r="Y222" s="119">
        <v>451.36000000000007</v>
      </c>
      <c r="Z222" s="119">
        <v>547.33499999999992</v>
      </c>
      <c r="AA222" s="119">
        <v>653.46749999999986</v>
      </c>
      <c r="AB222" s="119">
        <v>588.89358333333337</v>
      </c>
      <c r="AC222" s="119">
        <v>373.61</v>
      </c>
      <c r="AD222" s="153">
        <v>659.45566753936066</v>
      </c>
      <c r="AE222" s="119">
        <v>1030.9458070932535</v>
      </c>
      <c r="AF222" s="119">
        <v>876.72010020856396</v>
      </c>
      <c r="AG222" s="119">
        <v>817.44372328282225</v>
      </c>
      <c r="AH222" s="119">
        <v>770.76531757169084</v>
      </c>
      <c r="AI222" s="119">
        <v>763.26509088599119</v>
      </c>
      <c r="AJ222" s="119">
        <v>760.69845572765917</v>
      </c>
      <c r="AK222" s="119">
        <v>769.87952852552701</v>
      </c>
      <c r="AL222" s="119">
        <v>783.80303353045281</v>
      </c>
      <c r="AM222" s="119">
        <v>788.2146008723447</v>
      </c>
      <c r="AN222" s="112">
        <v>790.61810760673484</v>
      </c>
      <c r="AO222" s="112">
        <v>793.17950707989644</v>
      </c>
      <c r="AP222" s="112">
        <v>796.09357140358577</v>
      </c>
      <c r="AQ222" s="112">
        <v>798.97328155080754</v>
      </c>
      <c r="AR222" s="112">
        <v>802.47518614969522</v>
      </c>
      <c r="AS222" s="112">
        <v>805.90828844601128</v>
      </c>
      <c r="AT222" s="112">
        <v>809.41947818270773</v>
      </c>
      <c r="AU222" s="112">
        <v>812.15873049173126</v>
      </c>
      <c r="AV222" s="112">
        <v>814.77597115665344</v>
      </c>
      <c r="AW222" s="112">
        <v>817.42348508920554</v>
      </c>
      <c r="AX222" s="112">
        <v>816.87225000420915</v>
      </c>
      <c r="AY222" s="112">
        <v>816.90649583942104</v>
      </c>
      <c r="AZ222" s="112">
        <v>819.47031097439753</v>
      </c>
      <c r="BA222" s="112">
        <v>822.04438136991394</v>
      </c>
      <c r="BB222" s="112">
        <v>824.62874804701244</v>
      </c>
      <c r="BC222" s="112">
        <f t="shared" si="87"/>
        <v>827.22123953011044</v>
      </c>
      <c r="BD222" s="112">
        <f t="shared" si="87"/>
        <v>829.821881362206</v>
      </c>
      <c r="BE222" s="112">
        <f t="shared" si="87"/>
        <v>832.43069916659965</v>
      </c>
      <c r="BF222" s="112">
        <f t="shared" si="87"/>
        <v>835.04771864714746</v>
      </c>
      <c r="BG222" s="112">
        <f t="shared" si="87"/>
        <v>837.67296558851376</v>
      </c>
    </row>
    <row r="223" spans="1:59" ht="13.75" customHeight="1">
      <c r="A223" s="171" t="s">
        <v>166</v>
      </c>
      <c r="B223" s="165" t="s">
        <v>313</v>
      </c>
      <c r="C223" s="165"/>
      <c r="D223" s="165" t="s">
        <v>168</v>
      </c>
      <c r="E223" s="167"/>
      <c r="F223" s="168" t="s">
        <v>353</v>
      </c>
      <c r="G223" s="168" t="s">
        <v>4</v>
      </c>
      <c r="H223" s="168"/>
      <c r="I223" s="168"/>
      <c r="X223" s="120"/>
      <c r="Y223" s="120"/>
      <c r="Z223" s="120"/>
      <c r="AA223" s="120"/>
      <c r="AB223" s="128">
        <v>46000</v>
      </c>
      <c r="AC223" s="128">
        <v>48300</v>
      </c>
      <c r="AD223" s="128">
        <v>50700</v>
      </c>
      <c r="AE223" s="128">
        <v>52250</v>
      </c>
      <c r="AF223" s="128">
        <v>53850</v>
      </c>
      <c r="AG223" s="128">
        <v>55500</v>
      </c>
      <c r="AH223" s="129">
        <v>57200</v>
      </c>
      <c r="AI223" s="129">
        <v>58950</v>
      </c>
      <c r="AJ223" s="128">
        <f t="shared" ref="AJ223:AY224" si="88">AI223*(1+AJ$3)</f>
        <v>61308</v>
      </c>
      <c r="AK223" s="128">
        <f t="shared" si="88"/>
        <v>63760.32</v>
      </c>
      <c r="AL223" s="128">
        <f t="shared" si="88"/>
        <v>66310.732799999998</v>
      </c>
      <c r="AM223" s="128">
        <f t="shared" si="88"/>
        <v>68963.162112000005</v>
      </c>
      <c r="AN223" s="128">
        <f t="shared" si="88"/>
        <v>71721.688596480002</v>
      </c>
      <c r="AO223" s="128">
        <f t="shared" si="88"/>
        <v>74590.556140339206</v>
      </c>
      <c r="AP223" s="128">
        <f t="shared" si="88"/>
        <v>77574.178385952779</v>
      </c>
      <c r="AQ223" s="128">
        <f t="shared" si="88"/>
        <v>80677.145521390892</v>
      </c>
      <c r="AR223" s="128">
        <f t="shared" si="88"/>
        <v>83904.231342246538</v>
      </c>
      <c r="AS223" s="128">
        <f t="shared" si="88"/>
        <v>87260.4005959364</v>
      </c>
      <c r="AT223" s="128">
        <f t="shared" si="88"/>
        <v>90750.816619773861</v>
      </c>
      <c r="AU223" s="128">
        <f t="shared" si="88"/>
        <v>94380.849284564814</v>
      </c>
      <c r="AV223" s="128">
        <f t="shared" si="88"/>
        <v>98156.083255947407</v>
      </c>
      <c r="AW223" s="128">
        <f t="shared" si="88"/>
        <v>102082.32658618531</v>
      </c>
      <c r="AX223" s="128">
        <f t="shared" si="88"/>
        <v>106165.61964963273</v>
      </c>
      <c r="AY223" s="128">
        <f t="shared" si="88"/>
        <v>110412.24443561805</v>
      </c>
      <c r="AZ223" s="128">
        <f t="shared" ref="AZ223:BG224" si="89">AY223*(1+AZ$3)</f>
        <v>114828.73421304277</v>
      </c>
      <c r="BA223" s="128">
        <f t="shared" si="89"/>
        <v>119421.88358156449</v>
      </c>
      <c r="BB223" s="128">
        <f t="shared" si="89"/>
        <v>124198.75892482707</v>
      </c>
      <c r="BC223" s="128">
        <f t="shared" si="89"/>
        <v>129166.70928182015</v>
      </c>
      <c r="BD223" s="128">
        <f t="shared" si="89"/>
        <v>134333.37765309296</v>
      </c>
      <c r="BE223" s="128">
        <f t="shared" si="89"/>
        <v>139706.71275921669</v>
      </c>
      <c r="BF223" s="128">
        <f t="shared" si="89"/>
        <v>145294.98126958538</v>
      </c>
      <c r="BG223" s="128">
        <f t="shared" si="89"/>
        <v>151106.7805203688</v>
      </c>
    </row>
    <row r="224" spans="1:59" ht="13.75" customHeight="1">
      <c r="A224" s="171" t="s">
        <v>166</v>
      </c>
      <c r="B224" s="165" t="s">
        <v>313</v>
      </c>
      <c r="C224" s="165"/>
      <c r="D224" s="165" t="s">
        <v>168</v>
      </c>
      <c r="E224" s="167"/>
      <c r="F224" s="168" t="s">
        <v>354</v>
      </c>
      <c r="G224" s="168" t="s">
        <v>4</v>
      </c>
      <c r="H224" s="168"/>
      <c r="I224" s="168"/>
      <c r="X224" s="120"/>
      <c r="Y224" s="120"/>
      <c r="Z224" s="120"/>
      <c r="AA224" s="120"/>
      <c r="AB224" s="128">
        <v>51000</v>
      </c>
      <c r="AC224" s="128">
        <v>53600</v>
      </c>
      <c r="AD224" s="128">
        <v>53633.333333333328</v>
      </c>
      <c r="AE224" s="128">
        <v>55200</v>
      </c>
      <c r="AF224" s="128">
        <v>56900</v>
      </c>
      <c r="AG224" s="128">
        <v>58650</v>
      </c>
      <c r="AH224" s="129">
        <v>60450</v>
      </c>
      <c r="AI224" s="129">
        <v>67300</v>
      </c>
      <c r="AJ224" s="128">
        <f t="shared" si="88"/>
        <v>69992</v>
      </c>
      <c r="AK224" s="128">
        <f t="shared" si="88"/>
        <v>72791.680000000008</v>
      </c>
      <c r="AL224" s="128">
        <f t="shared" si="88"/>
        <v>75703.347200000004</v>
      </c>
      <c r="AM224" s="128">
        <f t="shared" si="88"/>
        <v>78731.481088</v>
      </c>
      <c r="AN224" s="128">
        <f t="shared" si="88"/>
        <v>81880.740331520006</v>
      </c>
      <c r="AO224" s="128">
        <f t="shared" si="88"/>
        <v>85155.969944780809</v>
      </c>
      <c r="AP224" s="128">
        <f t="shared" si="88"/>
        <v>88562.208742572038</v>
      </c>
      <c r="AQ224" s="128">
        <f t="shared" si="88"/>
        <v>92104.697092274917</v>
      </c>
      <c r="AR224" s="128">
        <f t="shared" si="88"/>
        <v>95788.884975965921</v>
      </c>
      <c r="AS224" s="128">
        <f t="shared" si="88"/>
        <v>99620.44037500456</v>
      </c>
      <c r="AT224" s="128">
        <f t="shared" si="88"/>
        <v>103605.25799000474</v>
      </c>
      <c r="AU224" s="128">
        <f t="shared" si="88"/>
        <v>107749.46830960494</v>
      </c>
      <c r="AV224" s="128">
        <f t="shared" si="88"/>
        <v>112059.44704198914</v>
      </c>
      <c r="AW224" s="128">
        <f t="shared" si="88"/>
        <v>116541.82492366871</v>
      </c>
      <c r="AX224" s="128">
        <f t="shared" si="88"/>
        <v>121203.49792061547</v>
      </c>
      <c r="AY224" s="128">
        <f t="shared" si="88"/>
        <v>126051.6378374401</v>
      </c>
      <c r="AZ224" s="128">
        <f t="shared" si="89"/>
        <v>131093.70335093769</v>
      </c>
      <c r="BA224" s="128">
        <f t="shared" si="89"/>
        <v>136337.4514849752</v>
      </c>
      <c r="BB224" s="128">
        <f t="shared" si="89"/>
        <v>141790.94954437422</v>
      </c>
      <c r="BC224" s="128">
        <f t="shared" si="89"/>
        <v>147462.5875261492</v>
      </c>
      <c r="BD224" s="128">
        <f t="shared" si="89"/>
        <v>153361.09102719519</v>
      </c>
      <c r="BE224" s="128">
        <f t="shared" si="89"/>
        <v>159495.53466828301</v>
      </c>
      <c r="BF224" s="128">
        <f t="shared" si="89"/>
        <v>165875.35605501433</v>
      </c>
      <c r="BG224" s="128">
        <f t="shared" si="89"/>
        <v>172510.37029721492</v>
      </c>
    </row>
    <row r="225" spans="1:59" ht="13.75" customHeight="1" outlineLevel="1">
      <c r="A225" s="171" t="s">
        <v>166</v>
      </c>
      <c r="B225" s="165" t="s">
        <v>313</v>
      </c>
      <c r="C225" s="165"/>
      <c r="D225" s="165" t="s">
        <v>168</v>
      </c>
      <c r="E225" s="167"/>
      <c r="F225" s="168" t="s">
        <v>355</v>
      </c>
      <c r="G225" s="168" t="s">
        <v>315</v>
      </c>
      <c r="H225" s="168"/>
      <c r="I225" s="168"/>
      <c r="X225" s="120"/>
      <c r="Y225" s="116">
        <v>40.083784860557756</v>
      </c>
      <c r="Z225" s="116">
        <v>51.832560000000015</v>
      </c>
      <c r="AA225" s="116">
        <v>68.78443775100402</v>
      </c>
      <c r="AB225" s="116">
        <v>62.026159999999997</v>
      </c>
      <c r="AC225" s="116">
        <v>40.58442231075697</v>
      </c>
      <c r="AD225" s="116">
        <v>67.85027307188335</v>
      </c>
      <c r="AE225" s="116">
        <v>73.380576923076916</v>
      </c>
      <c r="AF225" s="112">
        <v>62.045672380531975</v>
      </c>
      <c r="AG225" s="112">
        <v>70.08965889363968</v>
      </c>
      <c r="AH225" s="112">
        <v>66.206259650008263</v>
      </c>
      <c r="AI225" s="112">
        <v>65.424471218867211</v>
      </c>
      <c r="AJ225" s="112">
        <v>67.872745877136623</v>
      </c>
      <c r="AK225" s="112">
        <v>68.087732652193068</v>
      </c>
      <c r="AL225" s="112">
        <v>68.301885460253402</v>
      </c>
      <c r="AM225" s="112">
        <v>68.515167033852109</v>
      </c>
      <c r="AN225" s="112">
        <v>68.72753927653801</v>
      </c>
      <c r="AO225" s="112">
        <v>68.93896324592906</v>
      </c>
      <c r="AP225" s="112">
        <v>69.149399136426183</v>
      </c>
      <c r="AQ225" s="112">
        <v>69.358806261578891</v>
      </c>
      <c r="AR225" s="112">
        <v>69.567143036096184</v>
      </c>
      <c r="AS225" s="112">
        <v>69.774366957495246</v>
      </c>
      <c r="AT225" s="112">
        <v>69.980434587380898</v>
      </c>
      <c r="AU225" s="112">
        <v>70.185301532348163</v>
      </c>
      <c r="AV225" s="112">
        <v>70.388922424500663</v>
      </c>
      <c r="AW225" s="112">
        <v>70.591250901576842</v>
      </c>
      <c r="AX225" s="112">
        <v>70.792239586676374</v>
      </c>
      <c r="AY225" s="112">
        <v>70.991840067578579</v>
      </c>
      <c r="AZ225" s="112">
        <v>71.190002875644694</v>
      </c>
      <c r="BA225" s="112">
        <v>71.386677464295758</v>
      </c>
      <c r="BB225" s="112">
        <v>71.581812187057352</v>
      </c>
      <c r="BC225" s="112">
        <f t="shared" ref="BC225:BG238" si="90">BB225*(1+((BB225-BA225)/BA225))</f>
        <v>71.777480308505929</v>
      </c>
      <c r="BD225" s="112">
        <f t="shared" si="90"/>
        <v>71.973683286681123</v>
      </c>
      <c r="BE225" s="112">
        <f t="shared" si="90"/>
        <v>72.170422583608087</v>
      </c>
      <c r="BF225" s="112">
        <f t="shared" si="90"/>
        <v>72.367699665308436</v>
      </c>
      <c r="BG225" s="112">
        <f t="shared" si="90"/>
        <v>72.565516001811105</v>
      </c>
    </row>
    <row r="226" spans="1:59" ht="13.75" customHeight="1" outlineLevel="1">
      <c r="A226" s="171" t="s">
        <v>166</v>
      </c>
      <c r="B226" s="165" t="s">
        <v>313</v>
      </c>
      <c r="C226" s="165"/>
      <c r="D226" s="165" t="s">
        <v>168</v>
      </c>
      <c r="E226" s="167"/>
      <c r="F226" s="168" t="s">
        <v>356</v>
      </c>
      <c r="G226" s="168" t="s">
        <v>315</v>
      </c>
      <c r="H226" s="168"/>
      <c r="I226" s="168"/>
      <c r="X226" s="120"/>
      <c r="Y226" s="116">
        <v>45.58</v>
      </c>
      <c r="Z226" s="116">
        <v>52.127791164658653</v>
      </c>
      <c r="AA226" s="116">
        <v>68.810341365461866</v>
      </c>
      <c r="AB226" s="116">
        <v>62.32820000000001</v>
      </c>
      <c r="AC226" s="116">
        <v>40.703904382470149</v>
      </c>
      <c r="AD226" s="116">
        <v>67.911453785434986</v>
      </c>
      <c r="AE226" s="116">
        <v>74.751153846153827</v>
      </c>
      <c r="AF226" s="112">
        <v>62.396846486932965</v>
      </c>
      <c r="AG226" s="112">
        <v>71.610596639541484</v>
      </c>
      <c r="AH226" s="130">
        <v>67.303537470928688</v>
      </c>
      <c r="AI226" s="130">
        <v>67.548508175889623</v>
      </c>
      <c r="AJ226" s="130">
        <v>69.130088825494255</v>
      </c>
      <c r="AK226" s="130">
        <v>69.321863902069637</v>
      </c>
      <c r="AL226" s="130">
        <v>69.51233812251904</v>
      </c>
      <c r="AM226" s="130">
        <v>69.701464817658064</v>
      </c>
      <c r="AN226" s="130">
        <v>69.889196299742736</v>
      </c>
      <c r="AO226" s="130">
        <v>70.0754838416957</v>
      </c>
      <c r="AP226" s="130">
        <v>70.260277655913981</v>
      </c>
      <c r="AQ226" s="130">
        <v>70.443526872649656</v>
      </c>
      <c r="AR226" s="130">
        <v>70.625179517955004</v>
      </c>
      <c r="AS226" s="130">
        <v>70.80518249118326</v>
      </c>
      <c r="AT226" s="112">
        <v>70.983481542036202</v>
      </c>
      <c r="AU226" s="112">
        <v>71.160021247149032</v>
      </c>
      <c r="AV226" s="112">
        <v>71.334744986204072</v>
      </c>
      <c r="AW226" s="112">
        <v>71.507594917562741</v>
      </c>
      <c r="AX226" s="112">
        <v>71.678511953406868</v>
      </c>
      <c r="AY226" s="112">
        <v>71.84743573437953</v>
      </c>
      <c r="AZ226" s="112">
        <v>72.014304603714479</v>
      </c>
      <c r="BA226" s="112">
        <v>72.179055580845073</v>
      </c>
      <c r="BB226" s="112">
        <v>72.341624334481253</v>
      </c>
      <c r="BC226" s="112">
        <f t="shared" si="90"/>
        <v>72.504559241421134</v>
      </c>
      <c r="BD226" s="112">
        <f t="shared" si="90"/>
        <v>72.667861126351127</v>
      </c>
      <c r="BE226" s="112">
        <f t="shared" si="90"/>
        <v>72.831530815815071</v>
      </c>
      <c r="BF226" s="112">
        <f t="shared" si="90"/>
        <v>72.995569138218457</v>
      </c>
      <c r="BG226" s="112">
        <f t="shared" si="90"/>
        <v>73.159976923832559</v>
      </c>
    </row>
    <row r="227" spans="1:59" ht="13.75" customHeight="1" outlineLevel="1">
      <c r="A227" s="171" t="s">
        <v>166</v>
      </c>
      <c r="B227" s="165" t="s">
        <v>313</v>
      </c>
      <c r="C227" s="165"/>
      <c r="D227" s="165" t="s">
        <v>168</v>
      </c>
      <c r="E227" s="167"/>
      <c r="F227" s="168" t="s">
        <v>357</v>
      </c>
      <c r="G227" s="168" t="s">
        <v>315</v>
      </c>
      <c r="H227" s="168"/>
      <c r="I227" s="168"/>
      <c r="X227" s="120"/>
      <c r="Y227" s="116">
        <v>41.57865384615387</v>
      </c>
      <c r="Z227" s="116">
        <v>53.094186046511595</v>
      </c>
      <c r="AA227" s="116">
        <v>69.304115384615358</v>
      </c>
      <c r="AB227" s="116">
        <v>63.209961685823792</v>
      </c>
      <c r="AC227" s="116">
        <v>42.679501915708805</v>
      </c>
      <c r="AD227" s="116">
        <v>69.393076923076919</v>
      </c>
      <c r="AE227" s="116">
        <v>95.533703703703722</v>
      </c>
      <c r="AF227" s="112">
        <v>82.669726588208491</v>
      </c>
      <c r="AG227" s="112">
        <v>87.004956474284384</v>
      </c>
      <c r="AH227" s="112">
        <v>80.679737049063604</v>
      </c>
      <c r="AI227" s="112">
        <v>79.556409635188345</v>
      </c>
      <c r="AJ227" s="112">
        <v>79.804693244967481</v>
      </c>
      <c r="AK227" s="112">
        <v>80.051170032587507</v>
      </c>
      <c r="AL227" s="112">
        <v>80.297439998302451</v>
      </c>
      <c r="AM227" s="112">
        <v>80.543478353612329</v>
      </c>
      <c r="AN227" s="112">
        <v>80.789259729071276</v>
      </c>
      <c r="AO227" s="112">
        <v>81.034758162265987</v>
      </c>
      <c r="AP227" s="112">
        <v>81.279947085550859</v>
      </c>
      <c r="AQ227" s="112">
        <v>81.524799313534459</v>
      </c>
      <c r="AR227" s="112">
        <v>81.769287030312682</v>
      </c>
      <c r="AS227" s="112">
        <v>82.013381776443282</v>
      </c>
      <c r="AT227" s="112">
        <v>82.257054435656599</v>
      </c>
      <c r="AU227" s="112">
        <v>82.500275221297031</v>
      </c>
      <c r="AV227" s="112">
        <v>82.743013662490227</v>
      </c>
      <c r="AW227" s="112">
        <v>82.98523859002978</v>
      </c>
      <c r="AX227" s="112">
        <v>83.226918121978457</v>
      </c>
      <c r="AY227" s="112">
        <v>83.468019648977702</v>
      </c>
      <c r="AZ227" s="112">
        <v>83.708509819259817</v>
      </c>
      <c r="BA227" s="112">
        <v>83.9483545233565</v>
      </c>
      <c r="BB227" s="112">
        <v>84.187518878498082</v>
      </c>
      <c r="BC227" s="112">
        <f t="shared" si="90"/>
        <v>84.427364600047554</v>
      </c>
      <c r="BD227" s="112">
        <f t="shared" si="90"/>
        <v>84.667893629181236</v>
      </c>
      <c r="BE227" s="112">
        <f t="shared" si="90"/>
        <v>84.909107912605762</v>
      </c>
      <c r="BF227" s="112">
        <f t="shared" si="90"/>
        <v>85.151009402573806</v>
      </c>
      <c r="BG227" s="112">
        <f t="shared" si="90"/>
        <v>85.393600056899913</v>
      </c>
    </row>
    <row r="228" spans="1:59" ht="13.75" customHeight="1" outlineLevel="1">
      <c r="A228" s="171" t="s">
        <v>166</v>
      </c>
      <c r="B228" s="165" t="s">
        <v>313</v>
      </c>
      <c r="C228" s="165"/>
      <c r="D228" s="165" t="s">
        <v>168</v>
      </c>
      <c r="E228" s="167"/>
      <c r="F228" s="168" t="s">
        <v>358</v>
      </c>
      <c r="G228" s="168" t="s">
        <v>315</v>
      </c>
      <c r="H228" s="168"/>
      <c r="I228" s="168"/>
      <c r="X228" s="120"/>
      <c r="Y228" s="116">
        <v>44.523065134099618</v>
      </c>
      <c r="Z228" s="116">
        <v>55.417490347490322</v>
      </c>
      <c r="AA228" s="116">
        <v>73.100540540540536</v>
      </c>
      <c r="AB228" s="116">
        <v>68.034750957854371</v>
      </c>
      <c r="AC228" s="116">
        <v>44.713256704980815</v>
      </c>
      <c r="AD228" s="116">
        <v>72</v>
      </c>
      <c r="AE228" s="116">
        <v>84.286153846153866</v>
      </c>
      <c r="AF228" s="112">
        <v>75.944948132313129</v>
      </c>
      <c r="AG228" s="112">
        <v>79.799517162347954</v>
      </c>
      <c r="AH228" s="112">
        <v>74.983146897377594</v>
      </c>
      <c r="AI228" s="112">
        <v>75.614769934833618</v>
      </c>
      <c r="AJ228" s="112">
        <v>77.600728945765596</v>
      </c>
      <c r="AK228" s="112">
        <v>77.860654411795409</v>
      </c>
      <c r="AL228" s="112">
        <v>78.120644684648582</v>
      </c>
      <c r="AM228" s="112">
        <v>78.380680472335982</v>
      </c>
      <c r="AN228" s="112">
        <v>78.640742013392355</v>
      </c>
      <c r="AO228" s="112">
        <v>78.900809067121287</v>
      </c>
      <c r="AP228" s="112">
        <v>79.160860903643055</v>
      </c>
      <c r="AQ228" s="112">
        <v>79.420876293740903</v>
      </c>
      <c r="AR228" s="112">
        <v>79.680833498502224</v>
      </c>
      <c r="AS228" s="112">
        <v>79.940710258750201</v>
      </c>
      <c r="AT228" s="112">
        <v>80.200483784261763</v>
      </c>
      <c r="AU228" s="112">
        <v>80.460130742767419</v>
      </c>
      <c r="AV228" s="112">
        <v>80.719627248729111</v>
      </c>
      <c r="AW228" s="112">
        <v>80.978948851890678</v>
      </c>
      <c r="AX228" s="112">
        <v>81.238070525597252</v>
      </c>
      <c r="AY228" s="112">
        <v>81.49696665487869</v>
      </c>
      <c r="AZ228" s="112">
        <v>81.755611024291596</v>
      </c>
      <c r="BA228" s="112">
        <v>82.013976805516407</v>
      </c>
      <c r="BB228" s="112">
        <v>82.272036544703212</v>
      </c>
      <c r="BC228" s="112">
        <f t="shared" si="90"/>
        <v>82.530908277547482</v>
      </c>
      <c r="BD228" s="112">
        <f t="shared" si="90"/>
        <v>82.790594559014593</v>
      </c>
      <c r="BE228" s="112">
        <f t="shared" si="90"/>
        <v>83.051097952109217</v>
      </c>
      <c r="BF228" s="112">
        <f t="shared" si="90"/>
        <v>83.312421027900584</v>
      </c>
      <c r="BG228" s="112">
        <f t="shared" si="90"/>
        <v>83.574566365547909</v>
      </c>
    </row>
    <row r="229" spans="1:59" ht="13.75" customHeight="1" outlineLevel="1">
      <c r="A229" s="171" t="s">
        <v>166</v>
      </c>
      <c r="B229" s="165" t="s">
        <v>313</v>
      </c>
      <c r="C229" s="165"/>
      <c r="D229" s="165" t="s">
        <v>168</v>
      </c>
      <c r="E229" s="167"/>
      <c r="F229" s="168" t="s">
        <v>359</v>
      </c>
      <c r="G229" s="168" t="s">
        <v>4</v>
      </c>
      <c r="H229" s="168"/>
      <c r="I229" s="168"/>
      <c r="X229" s="123"/>
      <c r="Y229" s="154">
        <v>66.066264424709516</v>
      </c>
      <c r="Z229" s="154">
        <v>78.173328874807623</v>
      </c>
      <c r="AA229" s="154">
        <v>74.587473658878537</v>
      </c>
      <c r="AB229" s="154">
        <v>22.874475716392624</v>
      </c>
      <c r="AC229" s="154">
        <v>31.878385123109183</v>
      </c>
      <c r="AD229" s="154">
        <v>80</v>
      </c>
      <c r="AE229" s="154">
        <v>40.392360979578598</v>
      </c>
      <c r="AF229" s="154">
        <v>-24.487558489046762</v>
      </c>
      <c r="AG229" s="154">
        <v>-2.3836078279069284</v>
      </c>
      <c r="AH229" s="154">
        <v>42.416541616975167</v>
      </c>
      <c r="AI229" s="119">
        <v>56.494733074235228</v>
      </c>
      <c r="AJ229" s="119">
        <v>58.992634345107774</v>
      </c>
      <c r="AK229" s="119">
        <v>69.817699960894402</v>
      </c>
      <c r="AL229" s="119">
        <v>75.870260668240292</v>
      </c>
      <c r="AM229" s="119">
        <v>81.352735526269441</v>
      </c>
      <c r="AN229" s="119">
        <v>86.812243587239493</v>
      </c>
      <c r="AO229" s="119">
        <v>89.971857941579913</v>
      </c>
      <c r="AP229" s="119">
        <v>89.604621569638255</v>
      </c>
      <c r="AQ229" s="119">
        <v>89.746066463212628</v>
      </c>
      <c r="AR229" s="119">
        <v>90.898537716134797</v>
      </c>
      <c r="AS229" s="119">
        <v>92.806863474683894</v>
      </c>
      <c r="AT229" s="119">
        <v>94.853969547987788</v>
      </c>
      <c r="AU229" s="119">
        <v>96.919245115289527</v>
      </c>
      <c r="AV229" s="119">
        <v>99.069079684070175</v>
      </c>
      <c r="AW229" s="119">
        <v>101.63345455149687</v>
      </c>
      <c r="AX229" s="119">
        <v>104.72330801648644</v>
      </c>
      <c r="AY229" s="119">
        <v>107.00122808684443</v>
      </c>
      <c r="AZ229" s="119">
        <v>107.00122808684443</v>
      </c>
      <c r="BA229" s="119">
        <v>107.00122808684443</v>
      </c>
      <c r="BB229" s="119">
        <v>107.00122808684443</v>
      </c>
      <c r="BC229" s="119">
        <f t="shared" si="90"/>
        <v>107.00122808684443</v>
      </c>
      <c r="BD229" s="119">
        <f t="shared" si="90"/>
        <v>107.00122808684443</v>
      </c>
      <c r="BE229" s="119">
        <f t="shared" si="90"/>
        <v>107.00122808684443</v>
      </c>
      <c r="BF229" s="119">
        <f t="shared" si="90"/>
        <v>107.00122808684443</v>
      </c>
      <c r="BG229" s="119">
        <f t="shared" si="90"/>
        <v>107.00122808684443</v>
      </c>
    </row>
    <row r="230" spans="1:59" ht="13.75" customHeight="1" outlineLevel="1">
      <c r="A230" s="171" t="s">
        <v>166</v>
      </c>
      <c r="B230" s="165" t="s">
        <v>313</v>
      </c>
      <c r="C230" s="165"/>
      <c r="D230" s="165" t="s">
        <v>168</v>
      </c>
      <c r="E230" s="167"/>
      <c r="F230" s="168" t="s">
        <v>360</v>
      </c>
      <c r="G230" s="168" t="s">
        <v>4</v>
      </c>
      <c r="H230" s="168"/>
      <c r="I230" s="168"/>
      <c r="X230" s="120"/>
      <c r="Y230" s="119">
        <v>158.05321440155063</v>
      </c>
      <c r="Z230" s="119">
        <v>156.59510498059882</v>
      </c>
      <c r="AA230" s="119">
        <v>154.08592879810652</v>
      </c>
      <c r="AB230" s="119">
        <v>148.68765654723705</v>
      </c>
      <c r="AC230" s="119">
        <v>81.494055396696353</v>
      </c>
      <c r="AD230" s="119">
        <v>178</v>
      </c>
      <c r="AE230" s="119">
        <v>229.7903294218662</v>
      </c>
      <c r="AF230" s="119">
        <v>237.05745745537416</v>
      </c>
      <c r="AG230" s="119">
        <v>163.15592624474118</v>
      </c>
      <c r="AH230" s="119">
        <v>173.64973969483975</v>
      </c>
      <c r="AI230" s="119">
        <v>179.90968625669586</v>
      </c>
      <c r="AJ230" s="119">
        <v>176.06350559920139</v>
      </c>
      <c r="AK230" s="119">
        <v>181.01852157390533</v>
      </c>
      <c r="AL230" s="119">
        <v>191.16604365543327</v>
      </c>
      <c r="AM230" s="119">
        <v>194.12118194403371</v>
      </c>
      <c r="AN230" s="119">
        <v>194.12547517337833</v>
      </c>
      <c r="AO230" s="119">
        <v>193.87543354092389</v>
      </c>
      <c r="AP230" s="119">
        <v>193.97451050048625</v>
      </c>
      <c r="AQ230" s="119">
        <v>194.03422691412266</v>
      </c>
      <c r="AR230" s="119">
        <v>194.68160711801511</v>
      </c>
      <c r="AS230" s="119">
        <v>195.21758336657314</v>
      </c>
      <c r="AT230" s="119">
        <v>195.81137981716034</v>
      </c>
      <c r="AU230" s="119">
        <v>195.63794907722229</v>
      </c>
      <c r="AV230" s="119">
        <v>195.32764106704394</v>
      </c>
      <c r="AW230" s="119">
        <v>187.43960477639854</v>
      </c>
      <c r="AX230" s="119">
        <v>183.79463830833521</v>
      </c>
      <c r="AY230" s="119">
        <v>180.15877416976957</v>
      </c>
      <c r="AZ230" s="119">
        <v>180.15877416976957</v>
      </c>
      <c r="BA230" s="119">
        <v>180.15877416976957</v>
      </c>
      <c r="BB230" s="119">
        <v>180.15877416976957</v>
      </c>
      <c r="BC230" s="119">
        <f t="shared" si="90"/>
        <v>180.15877416976957</v>
      </c>
      <c r="BD230" s="119">
        <f t="shared" si="90"/>
        <v>180.15877416976957</v>
      </c>
      <c r="BE230" s="119">
        <f t="shared" si="90"/>
        <v>180.15877416976957</v>
      </c>
      <c r="BF230" s="119">
        <f t="shared" si="90"/>
        <v>180.15877416976957</v>
      </c>
      <c r="BG230" s="119">
        <f t="shared" si="90"/>
        <v>180.15877416976957</v>
      </c>
    </row>
    <row r="231" spans="1:59" ht="13.75" customHeight="1" outlineLevel="1">
      <c r="A231" s="171" t="s">
        <v>166</v>
      </c>
      <c r="B231" s="165" t="s">
        <v>313</v>
      </c>
      <c r="C231" s="165"/>
      <c r="D231" s="165" t="s">
        <v>168</v>
      </c>
      <c r="E231" s="167"/>
      <c r="F231" s="168" t="s">
        <v>361</v>
      </c>
      <c r="G231" s="168" t="s">
        <v>4</v>
      </c>
      <c r="H231" s="168"/>
      <c r="I231" s="168"/>
      <c r="X231" s="120"/>
      <c r="Y231" s="119">
        <v>94.578104694414208</v>
      </c>
      <c r="Z231" s="119">
        <v>103.27055542061731</v>
      </c>
      <c r="AA231" s="119">
        <v>129.95764917717992</v>
      </c>
      <c r="AB231" s="119">
        <v>129.89748443930381</v>
      </c>
      <c r="AC231" s="119">
        <v>67.832047507603193</v>
      </c>
      <c r="AD231" s="119">
        <v>60</v>
      </c>
      <c r="AE231" s="119">
        <v>458.23815615645935</v>
      </c>
      <c r="AF231" s="119">
        <v>231.31279191433708</v>
      </c>
      <c r="AG231" s="119">
        <v>119.40457486466289</v>
      </c>
      <c r="AH231" s="119">
        <v>111.44054835588753</v>
      </c>
      <c r="AI231" s="119">
        <v>100.49537260719399</v>
      </c>
      <c r="AJ231" s="119">
        <v>94.150388023418316</v>
      </c>
      <c r="AK231" s="119">
        <v>94.16677224589148</v>
      </c>
      <c r="AL231" s="119">
        <v>98.962377076701443</v>
      </c>
      <c r="AM231" s="119">
        <v>102.90181188440107</v>
      </c>
      <c r="AN231" s="119">
        <v>103.60141698370813</v>
      </c>
      <c r="AO231" s="119">
        <v>102.79682179226137</v>
      </c>
      <c r="AP231" s="119">
        <v>102.58947669332503</v>
      </c>
      <c r="AQ231" s="119">
        <v>102.71889009363508</v>
      </c>
      <c r="AR231" s="119">
        <v>103.42058429788915</v>
      </c>
      <c r="AS231" s="119">
        <v>104.19780892781733</v>
      </c>
      <c r="AT231" s="119">
        <v>105.1123214108066</v>
      </c>
      <c r="AU231" s="119">
        <v>106.1019002575573</v>
      </c>
      <c r="AV231" s="119">
        <v>107.12985805014989</v>
      </c>
      <c r="AW231" s="119">
        <v>108.40253949132233</v>
      </c>
      <c r="AX231" s="119">
        <v>109.96469775791178</v>
      </c>
      <c r="AY231" s="119">
        <v>110.98009463511551</v>
      </c>
      <c r="AZ231" s="119">
        <v>110.98009463511551</v>
      </c>
      <c r="BA231" s="119">
        <v>110.98009463511551</v>
      </c>
      <c r="BB231" s="119">
        <v>110.98009463511551</v>
      </c>
      <c r="BC231" s="119">
        <f t="shared" si="90"/>
        <v>110.98009463511551</v>
      </c>
      <c r="BD231" s="119">
        <f t="shared" si="90"/>
        <v>110.98009463511551</v>
      </c>
      <c r="BE231" s="119">
        <f t="shared" si="90"/>
        <v>110.98009463511551</v>
      </c>
      <c r="BF231" s="119">
        <f t="shared" si="90"/>
        <v>110.98009463511551</v>
      </c>
      <c r="BG231" s="119">
        <f t="shared" si="90"/>
        <v>110.98009463511551</v>
      </c>
    </row>
    <row r="232" spans="1:59" ht="13.75" customHeight="1" outlineLevel="1">
      <c r="A232" s="171" t="s">
        <v>166</v>
      </c>
      <c r="B232" s="165" t="s">
        <v>313</v>
      </c>
      <c r="C232" s="165"/>
      <c r="D232" s="165" t="s">
        <v>168</v>
      </c>
      <c r="E232" s="167"/>
      <c r="F232" s="168" t="s">
        <v>362</v>
      </c>
      <c r="G232" s="168" t="s">
        <v>4</v>
      </c>
      <c r="H232" s="168"/>
      <c r="I232" s="168"/>
      <c r="X232" s="120"/>
      <c r="Y232" s="119">
        <v>115.4990805432829</v>
      </c>
      <c r="Z232" s="119">
        <v>127.95373243157923</v>
      </c>
      <c r="AA232" s="119">
        <v>167.11797604220129</v>
      </c>
      <c r="AB232" s="119">
        <v>162.07244491361217</v>
      </c>
      <c r="AC232" s="119">
        <v>53.568322017407127</v>
      </c>
      <c r="AD232" s="119">
        <v>92</v>
      </c>
      <c r="AE232" s="119">
        <v>382.40767420874442</v>
      </c>
      <c r="AF232" s="119">
        <v>286.22984856710781</v>
      </c>
      <c r="AG232" s="119">
        <v>168.03434852666078</v>
      </c>
      <c r="AH232" s="119">
        <v>163.88825630100933</v>
      </c>
      <c r="AI232" s="119">
        <v>153.9717052350187</v>
      </c>
      <c r="AJ232" s="119">
        <v>141.11818247237267</v>
      </c>
      <c r="AK232" s="119">
        <v>133.38967425476983</v>
      </c>
      <c r="AL232" s="119">
        <v>142.02508780923182</v>
      </c>
      <c r="AM232" s="119">
        <v>147.04566730846938</v>
      </c>
      <c r="AN232" s="119">
        <v>146.99929247254084</v>
      </c>
      <c r="AO232" s="119">
        <v>145.69947621923944</v>
      </c>
      <c r="AP232" s="119">
        <v>145.28562242907043</v>
      </c>
      <c r="AQ232" s="119">
        <v>145.35230587676904</v>
      </c>
      <c r="AR232" s="119">
        <v>146.15254035213536</v>
      </c>
      <c r="AS232" s="119">
        <v>147.04763498544634</v>
      </c>
      <c r="AT232" s="119">
        <v>148.34598171659235</v>
      </c>
      <c r="AU232" s="119">
        <v>150.49618005519085</v>
      </c>
      <c r="AV232" s="119">
        <v>152.67989851104721</v>
      </c>
      <c r="AW232" s="119">
        <v>155.25634849999534</v>
      </c>
      <c r="AX232" s="119">
        <v>157.33451880516083</v>
      </c>
      <c r="AY232" s="119">
        <v>158.60466608081879</v>
      </c>
      <c r="AZ232" s="119">
        <v>158.60466608081879</v>
      </c>
      <c r="BA232" s="119">
        <v>158.60466608081879</v>
      </c>
      <c r="BB232" s="119">
        <v>158.60466608081879</v>
      </c>
      <c r="BC232" s="119">
        <f t="shared" si="90"/>
        <v>158.60466608081879</v>
      </c>
      <c r="BD232" s="119">
        <f t="shared" si="90"/>
        <v>158.60466608081879</v>
      </c>
      <c r="BE232" s="119">
        <f t="shared" si="90"/>
        <v>158.60466608081879</v>
      </c>
      <c r="BF232" s="119">
        <f t="shared" si="90"/>
        <v>158.60466608081879</v>
      </c>
      <c r="BG232" s="119">
        <f t="shared" si="90"/>
        <v>158.60466608081879</v>
      </c>
    </row>
    <row r="233" spans="1:59" ht="13.75" customHeight="1" outlineLevel="1">
      <c r="A233" s="171" t="s">
        <v>166</v>
      </c>
      <c r="B233" s="165" t="s">
        <v>313</v>
      </c>
      <c r="C233" s="165"/>
      <c r="D233" s="165" t="s">
        <v>168</v>
      </c>
      <c r="E233" s="167"/>
      <c r="F233" s="168" t="s">
        <v>363</v>
      </c>
      <c r="G233" s="168" t="s">
        <v>4</v>
      </c>
      <c r="H233" s="168"/>
      <c r="I233" s="168"/>
      <c r="X233" s="120"/>
      <c r="Y233" s="119">
        <v>-104.84079767542667</v>
      </c>
      <c r="Z233" s="119">
        <v>-101.80459385709253</v>
      </c>
      <c r="AA233" s="119">
        <v>-129.03935957957196</v>
      </c>
      <c r="AB233" s="119">
        <v>-150.08070138294329</v>
      </c>
      <c r="AC233" s="119">
        <v>-94.282045297964345</v>
      </c>
      <c r="AD233" s="119">
        <v>-121</v>
      </c>
      <c r="AE233" s="119">
        <v>-179.26103260970598</v>
      </c>
      <c r="AF233" s="119">
        <v>-165.39379024202947</v>
      </c>
      <c r="AG233" s="119">
        <v>-188.51938509749209</v>
      </c>
      <c r="AH233" s="119">
        <v>-179.29064128764293</v>
      </c>
      <c r="AI233" s="119">
        <v>-164.97931973308658</v>
      </c>
      <c r="AJ233" s="119">
        <v>-162.8174493920169</v>
      </c>
      <c r="AK233" s="119">
        <v>-151.14589707124418</v>
      </c>
      <c r="AL233" s="119">
        <v>-150.35217932716068</v>
      </c>
      <c r="AM233" s="119">
        <v>-151.79314146359093</v>
      </c>
      <c r="AN233" s="119">
        <v>-158.03161030452884</v>
      </c>
      <c r="AO233" s="119">
        <v>-166.03907971087881</v>
      </c>
      <c r="AP233" s="119">
        <v>-173.99477529195406</v>
      </c>
      <c r="AQ233" s="119">
        <v>-181.53474913389817</v>
      </c>
      <c r="AR233" s="119">
        <v>-189.12317659570385</v>
      </c>
      <c r="AS233" s="119">
        <v>-197.47483484113286</v>
      </c>
      <c r="AT233" s="119">
        <v>-205.6521665587851</v>
      </c>
      <c r="AU233" s="119">
        <v>-214.37813153853062</v>
      </c>
      <c r="AV233" s="119">
        <v>-223.75813123880113</v>
      </c>
      <c r="AW233" s="119">
        <v>-232.94615521939318</v>
      </c>
      <c r="AX233" s="119">
        <v>-242.62038825054458</v>
      </c>
      <c r="AY233" s="119">
        <v>-253.09584617806667</v>
      </c>
      <c r="AZ233" s="119">
        <v>-253.09584617806667</v>
      </c>
      <c r="BA233" s="119">
        <v>-253.09584617806667</v>
      </c>
      <c r="BB233" s="119">
        <v>-253.09584617806667</v>
      </c>
      <c r="BC233" s="119">
        <f t="shared" si="90"/>
        <v>-253.09584617806667</v>
      </c>
      <c r="BD233" s="119">
        <f t="shared" si="90"/>
        <v>-253.09584617806667</v>
      </c>
      <c r="BE233" s="119">
        <f t="shared" si="90"/>
        <v>-253.09584617806667</v>
      </c>
      <c r="BF233" s="119">
        <f t="shared" si="90"/>
        <v>-253.09584617806667</v>
      </c>
      <c r="BG233" s="119">
        <f t="shared" si="90"/>
        <v>-253.09584617806667</v>
      </c>
    </row>
    <row r="234" spans="1:59" ht="13.75" customHeight="1" outlineLevel="1">
      <c r="A234" s="171" t="s">
        <v>166</v>
      </c>
      <c r="B234" s="165" t="s">
        <v>313</v>
      </c>
      <c r="C234" s="165"/>
      <c r="D234" s="165" t="s">
        <v>168</v>
      </c>
      <c r="E234" s="167"/>
      <c r="F234" s="168" t="s">
        <v>364</v>
      </c>
      <c r="G234" s="168" t="s">
        <v>4</v>
      </c>
      <c r="H234" s="168"/>
      <c r="I234" s="168"/>
      <c r="X234" s="120"/>
      <c r="Y234" s="119">
        <v>23.259885104099283</v>
      </c>
      <c r="Z234" s="119">
        <v>74.402620335918186</v>
      </c>
      <c r="AA234" s="119">
        <v>72.721178324788696</v>
      </c>
      <c r="AB234" s="119">
        <v>19.846490964691725</v>
      </c>
      <c r="AC234" s="119">
        <v>31.821277347617922</v>
      </c>
      <c r="AD234" s="109">
        <v>36</v>
      </c>
      <c r="AE234" s="119">
        <v>4.510495435626126</v>
      </c>
      <c r="AF234" s="119">
        <v>-10.509171398483431</v>
      </c>
      <c r="AG234" s="119">
        <v>-5.5312998861421647</v>
      </c>
      <c r="AH234" s="119">
        <v>37.652905355226267</v>
      </c>
      <c r="AI234" s="119">
        <v>58.777421307747034</v>
      </c>
      <c r="AJ234" s="119">
        <v>78.824050159189369</v>
      </c>
      <c r="AK234" s="119">
        <v>100.11238989499435</v>
      </c>
      <c r="AL234" s="119">
        <v>107.07674455293056</v>
      </c>
      <c r="AM234" s="119">
        <v>113.50349780200207</v>
      </c>
      <c r="AN234" s="119">
        <v>119.93740162351969</v>
      </c>
      <c r="AO234" s="119">
        <v>124.08850829718614</v>
      </c>
      <c r="AP234" s="119">
        <v>124.72738734348661</v>
      </c>
      <c r="AQ234" s="119">
        <v>125.89321049772133</v>
      </c>
      <c r="AR234" s="119">
        <v>128.10244613590385</v>
      </c>
      <c r="AS234" s="119">
        <v>131.08891975617394</v>
      </c>
      <c r="AT234" s="119">
        <v>134.23561642333573</v>
      </c>
      <c r="AU234" s="119">
        <v>137.42179855215784</v>
      </c>
      <c r="AV234" s="119">
        <v>140.68704972143064</v>
      </c>
      <c r="AW234" s="119">
        <v>144.34011074206489</v>
      </c>
      <c r="AX234" s="119">
        <v>148.35075854904824</v>
      </c>
      <c r="AY234" s="119">
        <v>151.5497985227139</v>
      </c>
      <c r="AZ234" s="119">
        <v>151.5497985227139</v>
      </c>
      <c r="BA234" s="119">
        <v>151.5497985227139</v>
      </c>
      <c r="BB234" s="119">
        <v>151.5497985227139</v>
      </c>
      <c r="BC234" s="119">
        <f t="shared" si="90"/>
        <v>151.5497985227139</v>
      </c>
      <c r="BD234" s="119">
        <f t="shared" si="90"/>
        <v>151.5497985227139</v>
      </c>
      <c r="BE234" s="119">
        <f t="shared" si="90"/>
        <v>151.5497985227139</v>
      </c>
      <c r="BF234" s="119">
        <f t="shared" si="90"/>
        <v>151.5497985227139</v>
      </c>
      <c r="BG234" s="119">
        <f t="shared" si="90"/>
        <v>151.5497985227139</v>
      </c>
    </row>
    <row r="235" spans="1:59" ht="13.75" customHeight="1" outlineLevel="1">
      <c r="A235" s="171" t="s">
        <v>166</v>
      </c>
      <c r="B235" s="165" t="s">
        <v>313</v>
      </c>
      <c r="C235" s="165"/>
      <c r="D235" s="165" t="s">
        <v>168</v>
      </c>
      <c r="E235" s="167"/>
      <c r="F235" s="168" t="s">
        <v>365</v>
      </c>
      <c r="G235" s="168" t="s">
        <v>4</v>
      </c>
      <c r="H235" s="168"/>
      <c r="I235" s="168"/>
      <c r="X235" s="120"/>
      <c r="Y235" s="119">
        <v>121.46086549625613</v>
      </c>
      <c r="Z235" s="119">
        <v>156.87769785529809</v>
      </c>
      <c r="AA235" s="119">
        <v>146.24102506808373</v>
      </c>
      <c r="AB235" s="119">
        <v>128.3217783210136</v>
      </c>
      <c r="AC235" s="119">
        <v>74.606717960644744</v>
      </c>
      <c r="AD235" s="109">
        <v>155</v>
      </c>
      <c r="AE235" s="119">
        <v>222.97338261348318</v>
      </c>
      <c r="AF235" s="119">
        <v>225.29584986161649</v>
      </c>
      <c r="AG235" s="119">
        <v>155.78170837009645</v>
      </c>
      <c r="AH235" s="119">
        <v>164.38213170591996</v>
      </c>
      <c r="AI235" s="119">
        <v>176.68719970607248</v>
      </c>
      <c r="AJ235" s="119">
        <v>190.38799699015919</v>
      </c>
      <c r="AK235" s="119">
        <v>203.0034860058434</v>
      </c>
      <c r="AL235" s="119">
        <v>213.44863417558588</v>
      </c>
      <c r="AM235" s="119">
        <v>217.79544860780192</v>
      </c>
      <c r="AN235" s="119">
        <v>218.65999051174595</v>
      </c>
      <c r="AO235" s="119">
        <v>219.14564037073563</v>
      </c>
      <c r="AP235" s="119">
        <v>219.98013293846066</v>
      </c>
      <c r="AQ235" s="119">
        <v>220.77652348130806</v>
      </c>
      <c r="AR235" s="119">
        <v>222.19143700875907</v>
      </c>
      <c r="AS235" s="119">
        <v>223.53395528003614</v>
      </c>
      <c r="AT235" s="119">
        <v>224.95104872870422</v>
      </c>
      <c r="AU235" s="119">
        <v>225.59277540042262</v>
      </c>
      <c r="AV235" s="119">
        <v>226.10914626245471</v>
      </c>
      <c r="AW235" s="119">
        <v>213.78909452789844</v>
      </c>
      <c r="AX235" s="119">
        <v>210.95269195049298</v>
      </c>
      <c r="AY235" s="119">
        <v>207.83265578042074</v>
      </c>
      <c r="AZ235" s="119">
        <v>207.83265578042074</v>
      </c>
      <c r="BA235" s="119">
        <v>207.83265578042074</v>
      </c>
      <c r="BB235" s="119">
        <v>207.83265578042074</v>
      </c>
      <c r="BC235" s="119">
        <f t="shared" si="90"/>
        <v>207.83265578042074</v>
      </c>
      <c r="BD235" s="119">
        <f t="shared" si="90"/>
        <v>207.83265578042074</v>
      </c>
      <c r="BE235" s="119">
        <f t="shared" si="90"/>
        <v>207.83265578042074</v>
      </c>
      <c r="BF235" s="119">
        <f t="shared" si="90"/>
        <v>207.83265578042074</v>
      </c>
      <c r="BG235" s="119">
        <f t="shared" si="90"/>
        <v>207.83265578042074</v>
      </c>
    </row>
    <row r="236" spans="1:59" ht="13.75" customHeight="1" outlineLevel="1">
      <c r="A236" s="171" t="s">
        <v>166</v>
      </c>
      <c r="B236" s="165" t="s">
        <v>313</v>
      </c>
      <c r="C236" s="165"/>
      <c r="D236" s="165" t="s">
        <v>168</v>
      </c>
      <c r="E236" s="167"/>
      <c r="F236" s="168" t="s">
        <v>366</v>
      </c>
      <c r="G236" s="168" t="s">
        <v>4</v>
      </c>
      <c r="H236" s="168"/>
      <c r="I236" s="168"/>
      <c r="X236" s="120"/>
      <c r="Y236" s="119">
        <v>50.909551923952222</v>
      </c>
      <c r="Z236" s="119">
        <v>98.317996260015036</v>
      </c>
      <c r="AA236" s="119">
        <v>123.91083349720253</v>
      </c>
      <c r="AB236" s="119">
        <v>122.93844498768027</v>
      </c>
      <c r="AC236" s="119">
        <v>61.748005141481826</v>
      </c>
      <c r="AD236" s="109">
        <v>64</v>
      </c>
      <c r="AE236" s="119">
        <v>449.27623611434956</v>
      </c>
      <c r="AF236" s="119">
        <v>279.71658568207238</v>
      </c>
      <c r="AG236" s="119">
        <v>158.21736483304414</v>
      </c>
      <c r="AH236" s="119">
        <v>135.22063672338504</v>
      </c>
      <c r="AI236" s="119">
        <v>123.76710087877649</v>
      </c>
      <c r="AJ236" s="119">
        <v>120.3010032967353</v>
      </c>
      <c r="AK236" s="119">
        <v>119.88009439196941</v>
      </c>
      <c r="AL236" s="119">
        <v>127.33371301055627</v>
      </c>
      <c r="AM236" s="119">
        <v>133.60985326909685</v>
      </c>
      <c r="AN236" s="119">
        <v>135.47580678264319</v>
      </c>
      <c r="AO236" s="119">
        <v>135.33826970342278</v>
      </c>
      <c r="AP236" s="119">
        <v>136.03475150911265</v>
      </c>
      <c r="AQ236" s="119">
        <v>137.20964540137862</v>
      </c>
      <c r="AR236" s="119">
        <v>139.18342040895641</v>
      </c>
      <c r="AS236" s="119">
        <v>141.27284621494505</v>
      </c>
      <c r="AT236" s="119">
        <v>143.57598986355151</v>
      </c>
      <c r="AU236" s="119">
        <v>146.01602232745427</v>
      </c>
      <c r="AV236" s="119">
        <v>148.53224641893223</v>
      </c>
      <c r="AW236" s="119">
        <v>151.40640367943593</v>
      </c>
      <c r="AX236" s="119">
        <v>154.78382255485133</v>
      </c>
      <c r="AY236" s="119">
        <v>157.43297924360979</v>
      </c>
      <c r="AZ236" s="119">
        <v>157.43297924360979</v>
      </c>
      <c r="BA236" s="119">
        <v>157.43297924360979</v>
      </c>
      <c r="BB236" s="119">
        <v>157.43297924360979</v>
      </c>
      <c r="BC236" s="119">
        <f t="shared" si="90"/>
        <v>157.43297924360979</v>
      </c>
      <c r="BD236" s="119">
        <f t="shared" si="90"/>
        <v>157.43297924360979</v>
      </c>
      <c r="BE236" s="119">
        <f t="shared" si="90"/>
        <v>157.43297924360979</v>
      </c>
      <c r="BF236" s="119">
        <f t="shared" si="90"/>
        <v>157.43297924360979</v>
      </c>
      <c r="BG236" s="119">
        <f t="shared" si="90"/>
        <v>157.43297924360979</v>
      </c>
    </row>
    <row r="237" spans="1:59" ht="13.75" customHeight="1" outlineLevel="1">
      <c r="A237" s="171" t="s">
        <v>166</v>
      </c>
      <c r="B237" s="165" t="s">
        <v>313</v>
      </c>
      <c r="C237" s="165"/>
      <c r="D237" s="165" t="s">
        <v>168</v>
      </c>
      <c r="E237" s="167"/>
      <c r="F237" s="168" t="s">
        <v>367</v>
      </c>
      <c r="G237" s="168" t="s">
        <v>4</v>
      </c>
      <c r="H237" s="168"/>
      <c r="I237" s="168"/>
      <c r="X237" s="120"/>
      <c r="Y237" s="119">
        <v>76.194156203843534</v>
      </c>
      <c r="Z237" s="119">
        <v>131.22715003133419</v>
      </c>
      <c r="AA237" s="119">
        <v>171.96378700732402</v>
      </c>
      <c r="AB237" s="119">
        <v>166.6106656955082</v>
      </c>
      <c r="AC237" s="119">
        <v>62.793567183092364</v>
      </c>
      <c r="AD237" s="109">
        <v>61</v>
      </c>
      <c r="AE237" s="119">
        <v>328.42406840136198</v>
      </c>
      <c r="AF237" s="119">
        <v>235.09607883693434</v>
      </c>
      <c r="AG237" s="119">
        <v>141.41165538651114</v>
      </c>
      <c r="AH237" s="119">
        <v>142.16599601080202</v>
      </c>
      <c r="AI237" s="119">
        <v>129.84566536405219</v>
      </c>
      <c r="AJ237" s="119">
        <v>128.66093431701495</v>
      </c>
      <c r="AK237" s="119">
        <v>130.18928158111095</v>
      </c>
      <c r="AL237" s="119">
        <v>137.9954856201349</v>
      </c>
      <c r="AM237" s="119">
        <v>145.27298479798111</v>
      </c>
      <c r="AN237" s="119">
        <v>146.62541881200752</v>
      </c>
      <c r="AO237" s="119">
        <v>145.4827298236018</v>
      </c>
      <c r="AP237" s="119">
        <v>145.20130758659866</v>
      </c>
      <c r="AQ237" s="119">
        <v>145.43094144991466</v>
      </c>
      <c r="AR237" s="119">
        <v>146.51421842997468</v>
      </c>
      <c r="AS237" s="119">
        <v>147.85791161154373</v>
      </c>
      <c r="AT237" s="119">
        <v>149.34566449784768</v>
      </c>
      <c r="AU237" s="119">
        <v>150.77801841928488</v>
      </c>
      <c r="AV237" s="119">
        <v>152.26988963407814</v>
      </c>
      <c r="AW237" s="119">
        <v>154.1107518887892</v>
      </c>
      <c r="AX237" s="119">
        <v>156.47585883461488</v>
      </c>
      <c r="AY237" s="119">
        <v>158.03870763963766</v>
      </c>
      <c r="AZ237" s="119">
        <v>158.03870763963766</v>
      </c>
      <c r="BA237" s="119">
        <v>158.03870763963766</v>
      </c>
      <c r="BB237" s="119">
        <v>158.03870763963766</v>
      </c>
      <c r="BC237" s="119">
        <f t="shared" si="90"/>
        <v>158.03870763963766</v>
      </c>
      <c r="BD237" s="119">
        <f t="shared" si="90"/>
        <v>158.03870763963766</v>
      </c>
      <c r="BE237" s="119">
        <f t="shared" si="90"/>
        <v>158.03870763963766</v>
      </c>
      <c r="BF237" s="119">
        <f t="shared" si="90"/>
        <v>158.03870763963766</v>
      </c>
      <c r="BG237" s="119">
        <f t="shared" si="90"/>
        <v>158.03870763963766</v>
      </c>
    </row>
    <row r="238" spans="1:59" ht="13.75" customHeight="1" outlineLevel="1">
      <c r="A238" s="171" t="s">
        <v>166</v>
      </c>
      <c r="B238" s="165" t="s">
        <v>313</v>
      </c>
      <c r="C238" s="165"/>
      <c r="D238" s="165" t="s">
        <v>168</v>
      </c>
      <c r="E238" s="167"/>
      <c r="F238" s="168" t="s">
        <v>368</v>
      </c>
      <c r="G238" s="168" t="s">
        <v>4</v>
      </c>
      <c r="H238" s="168"/>
      <c r="I238" s="168"/>
      <c r="X238" s="120"/>
      <c r="Y238" s="119">
        <v>-131.36385956678546</v>
      </c>
      <c r="Z238" s="119">
        <v>-86.483441631584867</v>
      </c>
      <c r="AA238" s="119">
        <v>-112.81234384189838</v>
      </c>
      <c r="AB238" s="119">
        <v>-137.29519588519378</v>
      </c>
      <c r="AC238" s="119">
        <v>-83.332714718217858</v>
      </c>
      <c r="AD238" s="109">
        <v>-120</v>
      </c>
      <c r="AE238" s="119">
        <v>-200.3300722761997</v>
      </c>
      <c r="AF238" s="119">
        <v>-187.51505204903827</v>
      </c>
      <c r="AG238" s="119">
        <v>-208.71714339863433</v>
      </c>
      <c r="AH238" s="119">
        <v>-195.75336895400864</v>
      </c>
      <c r="AI238" s="119">
        <v>-181.66661147726484</v>
      </c>
      <c r="AJ238" s="119">
        <v>-165.06926031014495</v>
      </c>
      <c r="AK238" s="119">
        <v>-146.13610606165611</v>
      </c>
      <c r="AL238" s="119">
        <v>-144.83257049650967</v>
      </c>
      <c r="AM238" s="119">
        <v>-145.88550601995968</v>
      </c>
      <c r="AN238" s="119">
        <v>-152.13876098954944</v>
      </c>
      <c r="AO238" s="119">
        <v>-159.73707622721872</v>
      </c>
      <c r="AP238" s="119">
        <v>-167.23450698596753</v>
      </c>
      <c r="AQ238" s="119">
        <v>-174.33320604381106</v>
      </c>
      <c r="AR238" s="119">
        <v>-181.60254143284197</v>
      </c>
      <c r="AS238" s="119">
        <v>-189.7538945646387</v>
      </c>
      <c r="AT238" s="119">
        <v>-197.51920092186151</v>
      </c>
      <c r="AU238" s="119">
        <v>-205.71086207243042</v>
      </c>
      <c r="AV238" s="119">
        <v>-214.47000423912982</v>
      </c>
      <c r="AW238" s="119">
        <v>-223.11170769523557</v>
      </c>
      <c r="AX238" s="119">
        <v>-232.15877194202875</v>
      </c>
      <c r="AY238" s="119">
        <v>-242.02239260658723</v>
      </c>
      <c r="AZ238" s="119">
        <v>-242.02239260658723</v>
      </c>
      <c r="BA238" s="119">
        <v>-242.02239260658723</v>
      </c>
      <c r="BB238" s="119">
        <v>-242.02239260658723</v>
      </c>
      <c r="BC238" s="119">
        <f t="shared" si="90"/>
        <v>-242.02239260658723</v>
      </c>
      <c r="BD238" s="119">
        <f t="shared" si="90"/>
        <v>-242.02239260658723</v>
      </c>
      <c r="BE238" s="119">
        <f t="shared" si="90"/>
        <v>-242.02239260658723</v>
      </c>
      <c r="BF238" s="119">
        <f t="shared" si="90"/>
        <v>-242.02239260658723</v>
      </c>
      <c r="BG238" s="119">
        <f t="shared" si="90"/>
        <v>-242.02239260658723</v>
      </c>
    </row>
    <row r="239" spans="1:59" ht="13.75" customHeight="1" outlineLevel="1">
      <c r="A239" s="171"/>
      <c r="B239" s="165"/>
      <c r="C239" s="165"/>
      <c r="D239" s="165"/>
      <c r="E239" s="167"/>
      <c r="F239" s="168"/>
      <c r="G239" s="168"/>
      <c r="H239" s="168"/>
      <c r="I239" s="168"/>
      <c r="X239" s="120"/>
      <c r="Y239" s="120"/>
      <c r="Z239" s="120"/>
    </row>
    <row r="240" spans="1:59" ht="13.75" customHeight="1" outlineLevel="1">
      <c r="A240" s="171"/>
      <c r="B240" s="165"/>
      <c r="C240" s="165"/>
      <c r="D240" s="165"/>
      <c r="E240" s="167"/>
      <c r="F240" s="168"/>
      <c r="G240" s="168"/>
      <c r="H240" s="168"/>
      <c r="I240" s="168"/>
      <c r="X240" s="120"/>
      <c r="Y240" s="120"/>
      <c r="Z240" s="120"/>
    </row>
    <row r="241" spans="1:59" ht="13.75" customHeight="1" outlineLevel="1">
      <c r="A241" s="171"/>
      <c r="B241" s="165"/>
      <c r="C241" s="165"/>
      <c r="D241" s="165"/>
      <c r="E241" s="167"/>
      <c r="F241" s="168"/>
      <c r="G241" s="168"/>
      <c r="H241" s="168"/>
      <c r="I241" s="168"/>
      <c r="X241" s="120"/>
      <c r="Y241" s="120"/>
      <c r="Z241" s="120"/>
      <c r="AA241" s="120"/>
    </row>
    <row r="242" spans="1:59" ht="13.75" customHeight="1">
      <c r="A242" s="171" t="s">
        <v>166</v>
      </c>
      <c r="B242" s="165" t="s">
        <v>369</v>
      </c>
      <c r="C242" s="165"/>
      <c r="D242" s="165" t="s">
        <v>370</v>
      </c>
      <c r="E242" s="167"/>
      <c r="F242" s="168" t="s">
        <v>371</v>
      </c>
      <c r="G242" s="168" t="s">
        <v>3</v>
      </c>
      <c r="H242" s="168"/>
      <c r="I242" s="168"/>
      <c r="U242" s="107">
        <v>7.4999999999999997E-2</v>
      </c>
      <c r="V242" s="107">
        <v>0.15</v>
      </c>
      <c r="W242" s="107">
        <v>7.5999999999999998E-2</v>
      </c>
      <c r="X242" s="107">
        <v>3.5000000000000003E-2</v>
      </c>
      <c r="Y242" s="107">
        <v>3.6144578313252795E-2</v>
      </c>
      <c r="Z242" s="107">
        <v>1.9500000000000073E-2</v>
      </c>
      <c r="AA242" s="107">
        <v>3.6500000000000005E-2</v>
      </c>
      <c r="AB242" s="107">
        <v>0.03</v>
      </c>
      <c r="AC242" s="107">
        <v>0.03</v>
      </c>
      <c r="AD242" s="107">
        <v>0.03</v>
      </c>
      <c r="AE242" s="107">
        <v>6.3E-2</v>
      </c>
      <c r="AF242" s="107">
        <v>0.10299999999999999</v>
      </c>
      <c r="AG242" s="107">
        <v>4.0000000000000036E-2</v>
      </c>
      <c r="AH242" s="107">
        <v>8.0000000000000293E-2</v>
      </c>
      <c r="AI242" s="107">
        <v>5.9230769230769198E-2</v>
      </c>
      <c r="AJ242" s="107">
        <v>0.04</v>
      </c>
      <c r="AK242" s="107">
        <v>0.04</v>
      </c>
      <c r="AL242" s="107">
        <v>0.04</v>
      </c>
      <c r="AM242" s="107">
        <v>0.04</v>
      </c>
      <c r="AN242" s="107">
        <v>0.04</v>
      </c>
      <c r="AO242" s="107">
        <v>0.04</v>
      </c>
      <c r="AP242" s="107">
        <v>0.04</v>
      </c>
      <c r="AQ242" s="107">
        <v>0.04</v>
      </c>
      <c r="AR242" s="107">
        <v>0.04</v>
      </c>
      <c r="AS242" s="107">
        <v>0.04</v>
      </c>
      <c r="AT242" s="107">
        <v>0.04</v>
      </c>
      <c r="AU242" s="107">
        <v>0.04</v>
      </c>
      <c r="AV242" s="107">
        <v>0.04</v>
      </c>
      <c r="AW242" s="107">
        <v>0.04</v>
      </c>
      <c r="AX242" s="107">
        <v>0.04</v>
      </c>
      <c r="AY242" s="107">
        <v>0.04</v>
      </c>
      <c r="AZ242" s="107">
        <f>AY242</f>
        <v>0.04</v>
      </c>
      <c r="BA242" s="107">
        <f t="shared" ref="BA242:BG244" si="91">AZ242</f>
        <v>0.04</v>
      </c>
      <c r="BB242" s="107">
        <f t="shared" si="91"/>
        <v>0.04</v>
      </c>
      <c r="BC242" s="107">
        <f t="shared" si="91"/>
        <v>0.04</v>
      </c>
      <c r="BD242" s="107">
        <f t="shared" si="91"/>
        <v>0.04</v>
      </c>
      <c r="BE242" s="107">
        <f t="shared" si="91"/>
        <v>0.04</v>
      </c>
      <c r="BF242" s="107">
        <f t="shared" si="91"/>
        <v>0.04</v>
      </c>
      <c r="BG242" s="107">
        <f t="shared" si="91"/>
        <v>0.04</v>
      </c>
    </row>
    <row r="243" spans="1:59" ht="13.75" customHeight="1">
      <c r="A243" s="171" t="s">
        <v>166</v>
      </c>
      <c r="B243" s="165" t="s">
        <v>369</v>
      </c>
      <c r="C243" s="165"/>
      <c r="D243" s="166" t="s">
        <v>110</v>
      </c>
      <c r="E243" s="167"/>
      <c r="F243" s="168" t="s">
        <v>372</v>
      </c>
      <c r="G243" s="168" t="s">
        <v>3</v>
      </c>
      <c r="H243" s="168"/>
      <c r="I243" s="168" t="s">
        <v>336</v>
      </c>
      <c r="U243" s="107">
        <v>0.3</v>
      </c>
      <c r="V243" s="107">
        <v>0.3</v>
      </c>
      <c r="W243" s="107">
        <v>0.3</v>
      </c>
      <c r="X243" s="107">
        <v>0.3</v>
      </c>
      <c r="Y243" s="107">
        <v>0.3</v>
      </c>
      <c r="Z243" s="107">
        <v>0.3</v>
      </c>
      <c r="AA243" s="107">
        <v>0.3</v>
      </c>
      <c r="AB243" s="107">
        <v>0.3</v>
      </c>
      <c r="AC243" s="107">
        <v>0.3</v>
      </c>
      <c r="AD243" s="107">
        <v>0.3</v>
      </c>
      <c r="AE243" s="107">
        <v>0.3</v>
      </c>
      <c r="AF243" s="107">
        <v>0.3</v>
      </c>
      <c r="AG243" s="107">
        <v>0.3</v>
      </c>
      <c r="AH243" s="107">
        <v>0.3</v>
      </c>
      <c r="AI243" s="107">
        <v>0.3</v>
      </c>
      <c r="AJ243" s="107">
        <v>0.3</v>
      </c>
      <c r="AK243" s="107">
        <v>0.3</v>
      </c>
      <c r="AL243" s="107">
        <v>0.3</v>
      </c>
      <c r="AM243" s="107">
        <v>0.3</v>
      </c>
      <c r="AN243" s="107">
        <v>0.3</v>
      </c>
      <c r="AO243" s="107">
        <v>0.3</v>
      </c>
      <c r="AP243" s="107">
        <v>0.3</v>
      </c>
      <c r="AQ243" s="107">
        <v>0.3</v>
      </c>
      <c r="AR243" s="107">
        <v>0.3</v>
      </c>
      <c r="AS243" s="107">
        <v>0.3</v>
      </c>
      <c r="AT243" s="107">
        <v>0.3</v>
      </c>
      <c r="AU243" s="107">
        <v>0.3</v>
      </c>
      <c r="AV243" s="107">
        <v>0.3</v>
      </c>
      <c r="AW243" s="107">
        <v>0.3</v>
      </c>
      <c r="AX243" s="107">
        <v>0.3</v>
      </c>
      <c r="AY243" s="107">
        <v>0.3</v>
      </c>
      <c r="AZ243" s="107">
        <f t="shared" ref="AZ243:BB244" si="92">AY243</f>
        <v>0.3</v>
      </c>
      <c r="BA243" s="107">
        <f t="shared" si="92"/>
        <v>0.3</v>
      </c>
      <c r="BB243" s="107">
        <f t="shared" si="92"/>
        <v>0.3</v>
      </c>
      <c r="BC243" s="107">
        <f t="shared" si="91"/>
        <v>0.3</v>
      </c>
      <c r="BD243" s="107">
        <f t="shared" si="91"/>
        <v>0.3</v>
      </c>
      <c r="BE243" s="107">
        <f t="shared" si="91"/>
        <v>0.3</v>
      </c>
      <c r="BF243" s="107">
        <f t="shared" si="91"/>
        <v>0.3</v>
      </c>
      <c r="BG243" s="107">
        <f t="shared" si="91"/>
        <v>0.3</v>
      </c>
    </row>
    <row r="244" spans="1:59" ht="13.75" customHeight="1">
      <c r="A244" s="171" t="s">
        <v>166</v>
      </c>
      <c r="B244" s="165" t="s">
        <v>369</v>
      </c>
      <c r="C244" s="165"/>
      <c r="D244" s="166" t="s">
        <v>110</v>
      </c>
      <c r="E244" s="167"/>
      <c r="F244" s="168" t="s">
        <v>373</v>
      </c>
      <c r="G244" s="168" t="s">
        <v>3</v>
      </c>
      <c r="H244" s="168"/>
      <c r="I244" s="168" t="s">
        <v>336</v>
      </c>
      <c r="U244" s="107">
        <v>0</v>
      </c>
      <c r="V244" s="107">
        <v>0</v>
      </c>
      <c r="W244" s="107">
        <v>0</v>
      </c>
      <c r="X244" s="107">
        <v>0</v>
      </c>
      <c r="Y244" s="107">
        <v>0</v>
      </c>
      <c r="Z244" s="107">
        <v>0</v>
      </c>
      <c r="AA244" s="107">
        <v>0</v>
      </c>
      <c r="AB244" s="107">
        <v>0</v>
      </c>
      <c r="AC244" s="107">
        <v>0</v>
      </c>
      <c r="AD244" s="107">
        <v>0</v>
      </c>
      <c r="AE244" s="107">
        <v>0</v>
      </c>
      <c r="AF244" s="107">
        <v>0</v>
      </c>
      <c r="AG244" s="107">
        <v>0</v>
      </c>
      <c r="AH244" s="107">
        <v>0</v>
      </c>
      <c r="AI244" s="107">
        <v>0</v>
      </c>
      <c r="AJ244" s="107">
        <v>0</v>
      </c>
      <c r="AK244" s="107">
        <v>0</v>
      </c>
      <c r="AL244" s="107">
        <v>0</v>
      </c>
      <c r="AM244" s="107">
        <v>0</v>
      </c>
      <c r="AN244" s="107">
        <v>0</v>
      </c>
      <c r="AO244" s="107">
        <v>0</v>
      </c>
      <c r="AP244" s="107">
        <v>0</v>
      </c>
      <c r="AQ244" s="107">
        <v>0</v>
      </c>
      <c r="AR244" s="107">
        <v>0</v>
      </c>
      <c r="AS244" s="107">
        <v>0</v>
      </c>
      <c r="AT244" s="107">
        <v>0</v>
      </c>
      <c r="AU244" s="107">
        <v>0</v>
      </c>
      <c r="AV244" s="107">
        <v>0</v>
      </c>
      <c r="AW244" s="107">
        <v>0</v>
      </c>
      <c r="AX244" s="107">
        <v>0</v>
      </c>
      <c r="AY244" s="107">
        <v>0</v>
      </c>
      <c r="AZ244" s="107">
        <f t="shared" si="92"/>
        <v>0</v>
      </c>
      <c r="BA244" s="107">
        <f t="shared" si="92"/>
        <v>0</v>
      </c>
      <c r="BB244" s="107">
        <f t="shared" si="92"/>
        <v>0</v>
      </c>
      <c r="BC244" s="107">
        <f t="shared" si="91"/>
        <v>0</v>
      </c>
      <c r="BD244" s="107">
        <f t="shared" si="91"/>
        <v>0</v>
      </c>
      <c r="BE244" s="107">
        <f t="shared" si="91"/>
        <v>0</v>
      </c>
      <c r="BF244" s="107">
        <f t="shared" si="91"/>
        <v>0</v>
      </c>
      <c r="BG244" s="107">
        <f t="shared" si="91"/>
        <v>0</v>
      </c>
    </row>
    <row r="245" spans="1:59" ht="13.75" customHeight="1">
      <c r="A245" s="171" t="s">
        <v>166</v>
      </c>
      <c r="B245" s="165" t="s">
        <v>369</v>
      </c>
      <c r="C245" s="165"/>
      <c r="D245" s="165" t="s">
        <v>168</v>
      </c>
      <c r="E245" s="167"/>
      <c r="F245" s="168" t="s">
        <v>374</v>
      </c>
      <c r="G245" s="168" t="s">
        <v>375</v>
      </c>
      <c r="H245" s="168"/>
      <c r="I245" s="168"/>
      <c r="U245" s="112">
        <v>293.57369999999997</v>
      </c>
      <c r="V245" s="112">
        <v>329.61025999999998</v>
      </c>
      <c r="W245" s="112">
        <v>255.98383999999999</v>
      </c>
      <c r="X245" s="119">
        <v>232.14285714285714</v>
      </c>
      <c r="Y245" s="119">
        <v>167.85714285714286</v>
      </c>
      <c r="Z245" s="119">
        <v>207.14285714285714</v>
      </c>
      <c r="AA245" s="119">
        <v>289.28571428571428</v>
      </c>
      <c r="AB245" s="119">
        <v>160.71428571428572</v>
      </c>
      <c r="AC245" s="119">
        <v>178.57142857142856</v>
      </c>
      <c r="AD245" s="119">
        <v>571.38567646418721</v>
      </c>
      <c r="AE245" s="119">
        <f>35.71*AE247</f>
        <v>1155.2526252236389</v>
      </c>
      <c r="AF245" s="119">
        <f t="shared" ref="AF245:BG246" si="93">35.71*AF247</f>
        <v>465.72432973694322</v>
      </c>
      <c r="AG245" s="119">
        <f t="shared" si="93"/>
        <v>518.49007468896514</v>
      </c>
      <c r="AH245" s="119">
        <f t="shared" si="93"/>
        <v>471.57626671209454</v>
      </c>
      <c r="AI245" s="119">
        <f t="shared" si="93"/>
        <v>415.96195417964697</v>
      </c>
      <c r="AJ245" s="119">
        <f t="shared" si="93"/>
        <v>405.29357741812095</v>
      </c>
      <c r="AK245" s="119">
        <f t="shared" si="93"/>
        <v>406.91475172779337</v>
      </c>
      <c r="AL245" s="119">
        <f t="shared" si="93"/>
        <v>408.5424107347045</v>
      </c>
      <c r="AM245" s="119">
        <f t="shared" si="93"/>
        <v>410.17658037764335</v>
      </c>
      <c r="AN245" s="119">
        <f t="shared" si="93"/>
        <v>411.8172866991539</v>
      </c>
      <c r="AO245" s="119">
        <f t="shared" si="93"/>
        <v>413.46455584595054</v>
      </c>
      <c r="AP245" s="119">
        <f t="shared" si="93"/>
        <v>415.11841406933434</v>
      </c>
      <c r="AQ245" s="119">
        <f t="shared" si="93"/>
        <v>416.7788877256117</v>
      </c>
      <c r="AR245" s="119">
        <f t="shared" si="93"/>
        <v>418.44600327651415</v>
      </c>
      <c r="AS245" s="119">
        <f t="shared" si="93"/>
        <v>420.11978728962026</v>
      </c>
      <c r="AT245" s="119">
        <f t="shared" si="93"/>
        <v>421.80026643877875</v>
      </c>
      <c r="AU245" s="119">
        <f t="shared" si="93"/>
        <v>423.48746750453387</v>
      </c>
      <c r="AV245" s="119">
        <f t="shared" si="93"/>
        <v>425.18141737455198</v>
      </c>
      <c r="AW245" s="119">
        <f t="shared" si="93"/>
        <v>426.88214304405022</v>
      </c>
      <c r="AX245" s="119">
        <f t="shared" si="93"/>
        <v>428.58967161622638</v>
      </c>
      <c r="AY245" s="119">
        <f t="shared" si="93"/>
        <v>430.30403030269127</v>
      </c>
      <c r="AZ245" s="119">
        <f t="shared" si="93"/>
        <v>432.02524642390205</v>
      </c>
      <c r="BA245" s="119">
        <f t="shared" si="93"/>
        <v>433.75334740959767</v>
      </c>
      <c r="BB245" s="119">
        <f t="shared" si="93"/>
        <v>435.48836079923603</v>
      </c>
      <c r="BC245" s="119">
        <f t="shared" si="93"/>
        <v>437.230314242433</v>
      </c>
      <c r="BD245" s="119">
        <f t="shared" si="93"/>
        <v>438.97923549940271</v>
      </c>
      <c r="BE245" s="119">
        <f t="shared" si="93"/>
        <v>440.73515244140032</v>
      </c>
      <c r="BF245" s="119">
        <f t="shared" si="93"/>
        <v>442.49809305116594</v>
      </c>
      <c r="BG245" s="119">
        <f t="shared" si="93"/>
        <v>444.26808542337056</v>
      </c>
    </row>
    <row r="246" spans="1:59" ht="13.75" customHeight="1">
      <c r="A246" s="171" t="s">
        <v>166</v>
      </c>
      <c r="B246" s="165" t="s">
        <v>369</v>
      </c>
      <c r="C246" s="165"/>
      <c r="D246" s="165" t="s">
        <v>168</v>
      </c>
      <c r="E246" s="167"/>
      <c r="F246" s="161" t="s">
        <v>376</v>
      </c>
      <c r="G246" s="168" t="s">
        <v>375</v>
      </c>
      <c r="H246" s="168"/>
      <c r="I246" s="168"/>
      <c r="U246" s="112">
        <v>487.40896763467515</v>
      </c>
      <c r="V246" s="112">
        <v>516.57839144259083</v>
      </c>
      <c r="W246" s="112">
        <v>431.50673999999998</v>
      </c>
      <c r="X246" s="119">
        <v>366.42857142857139</v>
      </c>
      <c r="Y246" s="119">
        <v>246.42857142857144</v>
      </c>
      <c r="Z246" s="119">
        <v>288.21428571428572</v>
      </c>
      <c r="AA246" s="119">
        <v>361.42857142857139</v>
      </c>
      <c r="AB246" s="119">
        <v>355</v>
      </c>
      <c r="AC246" s="119">
        <v>285.71428571428567</v>
      </c>
      <c r="AD246" s="119">
        <v>336.7064879663987</v>
      </c>
      <c r="AE246" s="119">
        <f>35.71*AE248</f>
        <v>538.20921666666663</v>
      </c>
      <c r="AF246" s="119">
        <f t="shared" si="93"/>
        <v>455.61012718242677</v>
      </c>
      <c r="AG246" s="119">
        <f t="shared" si="93"/>
        <v>431.37591455721321</v>
      </c>
      <c r="AH246" s="119">
        <f t="shared" si="93"/>
        <v>418.13902106111243</v>
      </c>
      <c r="AI246" s="119">
        <f t="shared" si="93"/>
        <v>407.68411597079171</v>
      </c>
      <c r="AJ246" s="119">
        <f t="shared" si="93"/>
        <v>407.12592765850485</v>
      </c>
      <c r="AK246" s="119">
        <f t="shared" si="93"/>
        <v>408.75443136913884</v>
      </c>
      <c r="AL246" s="119">
        <f t="shared" si="93"/>
        <v>410.38944909461543</v>
      </c>
      <c r="AM246" s="119">
        <f t="shared" si="93"/>
        <v>412.03100689099392</v>
      </c>
      <c r="AN246" s="119">
        <f t="shared" si="93"/>
        <v>413.67913091855786</v>
      </c>
      <c r="AO246" s="119">
        <f t="shared" si="93"/>
        <v>415.33384744223213</v>
      </c>
      <c r="AP246" s="119">
        <f t="shared" si="93"/>
        <v>416.99518283200103</v>
      </c>
      <c r="AQ246" s="119">
        <f t="shared" si="93"/>
        <v>418.66316356332908</v>
      </c>
      <c r="AR246" s="119">
        <f t="shared" si="93"/>
        <v>420.33781621758237</v>
      </c>
      <c r="AS246" s="119">
        <f t="shared" si="93"/>
        <v>422.0191674824527</v>
      </c>
      <c r="AT246" s="119">
        <f t="shared" si="93"/>
        <v>423.70724415238249</v>
      </c>
      <c r="AU246" s="119">
        <f t="shared" si="93"/>
        <v>425.40207312899201</v>
      </c>
      <c r="AV246" s="119">
        <f t="shared" si="93"/>
        <v>427.10368142150799</v>
      </c>
      <c r="AW246" s="119">
        <f t="shared" si="93"/>
        <v>428.81209614719404</v>
      </c>
      <c r="AX246" s="119">
        <f t="shared" si="93"/>
        <v>430.52734453178283</v>
      </c>
      <c r="AY246" s="119">
        <f t="shared" si="93"/>
        <v>432.24945390990996</v>
      </c>
      <c r="AZ246" s="119">
        <f t="shared" si="93"/>
        <v>433.97845172554958</v>
      </c>
      <c r="BA246" s="119">
        <f t="shared" si="93"/>
        <v>435.71436553245178</v>
      </c>
      <c r="BB246" s="119">
        <f t="shared" si="93"/>
        <v>437.45722299458163</v>
      </c>
      <c r="BC246" s="119">
        <f t="shared" si="93"/>
        <v>439.20705188655995</v>
      </c>
      <c r="BD246" s="119">
        <f t="shared" si="93"/>
        <v>440.96388009410623</v>
      </c>
      <c r="BE246" s="119">
        <f t="shared" si="93"/>
        <v>442.72773561448264</v>
      </c>
      <c r="BF246" s="119">
        <f t="shared" si="93"/>
        <v>444.49864655694057</v>
      </c>
      <c r="BG246" s="119">
        <f t="shared" si="93"/>
        <v>446.27664114316832</v>
      </c>
    </row>
    <row r="247" spans="1:59" ht="13.75" customHeight="1">
      <c r="A247" s="171" t="s">
        <v>166</v>
      </c>
      <c r="B247" s="165" t="s">
        <v>369</v>
      </c>
      <c r="C247" s="165"/>
      <c r="D247" s="165" t="s">
        <v>377</v>
      </c>
      <c r="E247" s="167"/>
      <c r="F247" s="168" t="s">
        <v>378</v>
      </c>
      <c r="G247" s="168" t="s">
        <v>379</v>
      </c>
      <c r="H247" s="168"/>
      <c r="I247" s="168" t="s">
        <v>380</v>
      </c>
      <c r="U247" s="112">
        <v>9.4499999999999993</v>
      </c>
      <c r="V247" s="112">
        <v>10.61</v>
      </c>
      <c r="W247" s="112">
        <v>8.24</v>
      </c>
      <c r="X247" s="112">
        <v>6.5</v>
      </c>
      <c r="Y247" s="112">
        <v>4.7</v>
      </c>
      <c r="Z247" s="112">
        <v>5.8</v>
      </c>
      <c r="AA247" s="112">
        <v>8.1</v>
      </c>
      <c r="AB247" s="112">
        <v>4.5</v>
      </c>
      <c r="AC247" s="112">
        <v>5</v>
      </c>
      <c r="AD247" s="112">
        <v>15.998798940997242</v>
      </c>
      <c r="AE247" s="112">
        <v>32.350955620936404</v>
      </c>
      <c r="AF247" s="112">
        <v>13.041846254184913</v>
      </c>
      <c r="AG247" s="112">
        <v>14.519464427022266</v>
      </c>
      <c r="AH247" s="112">
        <v>13.20572015435717</v>
      </c>
      <c r="AI247" s="112">
        <v>11.648332516932147</v>
      </c>
      <c r="AJ247" s="112">
        <v>11.349582117561493</v>
      </c>
      <c r="AK247" s="112">
        <v>11.394980446031738</v>
      </c>
      <c r="AL247" s="112">
        <v>11.440560367815864</v>
      </c>
      <c r="AM247" s="112">
        <v>11.486322609287129</v>
      </c>
      <c r="AN247" s="112">
        <v>11.532267899724276</v>
      </c>
      <c r="AO247" s="112">
        <v>11.578396971323174</v>
      </c>
      <c r="AP247" s="112">
        <v>11.624710559208467</v>
      </c>
      <c r="AQ247" s="112">
        <v>11.671209401445301</v>
      </c>
      <c r="AR247" s="112">
        <v>11.717894239051082</v>
      </c>
      <c r="AS247" s="112">
        <v>11.764765816007287</v>
      </c>
      <c r="AT247" s="112">
        <v>11.811824879271317</v>
      </c>
      <c r="AU247" s="112">
        <v>11.859072178788402</v>
      </c>
      <c r="AV247" s="112">
        <v>11.906508467503556</v>
      </c>
      <c r="AW247" s="112">
        <v>11.95413450137357</v>
      </c>
      <c r="AX247" s="112">
        <v>12.001951039379064</v>
      </c>
      <c r="AY247" s="112">
        <v>12.049958843536579</v>
      </c>
      <c r="AZ247" s="112">
        <v>12.098158678910726</v>
      </c>
      <c r="BA247" s="112">
        <v>12.14655131362637</v>
      </c>
      <c r="BB247" s="112">
        <v>12.195137518880875</v>
      </c>
      <c r="BC247" s="112">
        <f t="shared" ref="BC247:BG250" si="94">BB247*(1+((BB247-BA247)/BA247))</f>
        <v>12.243918068956399</v>
      </c>
      <c r="BD247" s="112">
        <f t="shared" si="94"/>
        <v>12.292893741232223</v>
      </c>
      <c r="BE247" s="112">
        <f t="shared" si="94"/>
        <v>12.342065316197152</v>
      </c>
      <c r="BF247" s="112">
        <f t="shared" si="94"/>
        <v>12.391433577461941</v>
      </c>
      <c r="BG247" s="112">
        <f t="shared" si="94"/>
        <v>12.440999311771789</v>
      </c>
    </row>
    <row r="248" spans="1:59" ht="13.75" customHeight="1">
      <c r="A248" s="171" t="s">
        <v>166</v>
      </c>
      <c r="B248" s="165" t="s">
        <v>369</v>
      </c>
      <c r="C248" s="165"/>
      <c r="D248" s="165" t="s">
        <v>377</v>
      </c>
      <c r="E248" s="167"/>
      <c r="F248" s="161" t="s">
        <v>381</v>
      </c>
      <c r="G248" s="168" t="s">
        <v>379</v>
      </c>
      <c r="H248" s="168"/>
      <c r="I248" s="168"/>
      <c r="U248" s="112">
        <v>15.689466543316653</v>
      </c>
      <c r="V248" s="112">
        <v>16.628416643359003</v>
      </c>
      <c r="W248" s="112">
        <v>13.89</v>
      </c>
      <c r="X248" s="112">
        <v>10.26</v>
      </c>
      <c r="Y248" s="112">
        <v>6.9</v>
      </c>
      <c r="Z248" s="112">
        <v>8.07</v>
      </c>
      <c r="AA248" s="112">
        <v>10.119999999999999</v>
      </c>
      <c r="AB248" s="112">
        <v>9.94</v>
      </c>
      <c r="AC248" s="112">
        <v>8</v>
      </c>
      <c r="AD248" s="112">
        <v>9.4277816630591627</v>
      </c>
      <c r="AE248" s="162">
        <v>15.071666666666665</v>
      </c>
      <c r="AF248" s="162">
        <v>12.758614594859333</v>
      </c>
      <c r="AG248" s="162">
        <v>12.079975204626525</v>
      </c>
      <c r="AH248" s="162">
        <v>11.7092977054358</v>
      </c>
      <c r="AI248" s="162">
        <v>11.416525230209793</v>
      </c>
      <c r="AJ248" s="162">
        <v>11.400894081727943</v>
      </c>
      <c r="AK248" s="162">
        <v>11.446497658054854</v>
      </c>
      <c r="AL248" s="162">
        <v>11.492283648687074</v>
      </c>
      <c r="AM248" s="162">
        <v>11.538252783281823</v>
      </c>
      <c r="AN248" s="162">
        <v>11.58440579441495</v>
      </c>
      <c r="AO248" s="162">
        <v>11.63074341759261</v>
      </c>
      <c r="AP248" s="162">
        <v>11.677266391262981</v>
      </c>
      <c r="AQ248" s="162">
        <v>11.723975456828033</v>
      </c>
      <c r="AR248" s="162">
        <v>11.770871358655345</v>
      </c>
      <c r="AS248" s="162">
        <v>11.817954844089966</v>
      </c>
      <c r="AT248" s="162">
        <v>11.865226663466325</v>
      </c>
      <c r="AU248" s="162">
        <v>11.912687570120191</v>
      </c>
      <c r="AV248" s="162">
        <v>11.960338320400671</v>
      </c>
      <c r="AW248" s="162">
        <v>12.008179673682275</v>
      </c>
      <c r="AX248" s="162">
        <v>12.056212392377004</v>
      </c>
      <c r="AY248" s="162">
        <v>12.104437241946512</v>
      </c>
      <c r="AZ248" s="162">
        <v>12.152854990914298</v>
      </c>
      <c r="BA248" s="162">
        <v>12.201466410877956</v>
      </c>
      <c r="BB248" s="162">
        <v>12.250272276521468</v>
      </c>
      <c r="BC248" s="162">
        <f t="shared" si="94"/>
        <v>12.299273365627554</v>
      </c>
      <c r="BD248" s="162">
        <f t="shared" si="94"/>
        <v>12.348470459090064</v>
      </c>
      <c r="BE248" s="162">
        <f t="shared" si="94"/>
        <v>12.397864340926425</v>
      </c>
      <c r="BF248" s="162">
        <f t="shared" si="94"/>
        <v>12.447455798290131</v>
      </c>
      <c r="BG248" s="162">
        <f t="shared" si="94"/>
        <v>12.497245621483291</v>
      </c>
    </row>
    <row r="249" spans="1:59" ht="13.75" customHeight="1">
      <c r="A249" s="171" t="s">
        <v>166</v>
      </c>
      <c r="B249" s="165" t="s">
        <v>369</v>
      </c>
      <c r="C249" s="165"/>
      <c r="D249" s="165" t="s">
        <v>168</v>
      </c>
      <c r="E249" s="167"/>
      <c r="F249" s="168" t="s">
        <v>382</v>
      </c>
      <c r="G249" s="168" t="s">
        <v>379</v>
      </c>
      <c r="H249" s="168"/>
      <c r="I249" s="168"/>
      <c r="X249" s="112">
        <v>2.6120999999999999</v>
      </c>
      <c r="Y249" s="112">
        <v>2.4946000000000002</v>
      </c>
      <c r="Z249" s="112">
        <v>2.9628999999999999</v>
      </c>
      <c r="AA249" s="112">
        <v>3.1511</v>
      </c>
      <c r="AB249" s="112">
        <v>2.5625</v>
      </c>
      <c r="AC249" s="112">
        <v>2.0184176938558518</v>
      </c>
      <c r="AD249" s="112">
        <v>3.8514131344088152</v>
      </c>
      <c r="AE249" s="112">
        <v>6.4910354256854248</v>
      </c>
      <c r="AF249" s="112">
        <v>3.0184309571958212</v>
      </c>
      <c r="AG249" s="112">
        <v>3.9058655038759689</v>
      </c>
      <c r="AH249" s="112">
        <v>4.2255601744186038</v>
      </c>
      <c r="AI249" s="112">
        <v>4.2067598837209301</v>
      </c>
      <c r="AJ249" s="112">
        <v>4.1481470930232565</v>
      </c>
      <c r="AK249" s="112">
        <v>4.1647396813953499</v>
      </c>
      <c r="AL249" s="112">
        <v>4.1813986401209311</v>
      </c>
      <c r="AM249" s="112">
        <v>4.1981242346814147</v>
      </c>
      <c r="AN249" s="112">
        <v>4.2149167316201401</v>
      </c>
      <c r="AO249" s="112">
        <v>4.2317763985466206</v>
      </c>
      <c r="AP249" s="112">
        <v>4.2487035041408072</v>
      </c>
      <c r="AQ249" s="112">
        <v>4.2656983181573702</v>
      </c>
      <c r="AR249" s="112">
        <v>4.2827611114300002</v>
      </c>
      <c r="AS249" s="112">
        <v>4.2998921558757202</v>
      </c>
      <c r="AT249" s="112">
        <v>4.3170917244992228</v>
      </c>
      <c r="AU249" s="112">
        <v>4.3343600913972198</v>
      </c>
      <c r="AV249" s="112">
        <v>4.3516975317628086</v>
      </c>
      <c r="AW249" s="112">
        <v>4.3691043218898598</v>
      </c>
      <c r="AX249" s="112">
        <v>4.3865807391774192</v>
      </c>
      <c r="AY249" s="112">
        <v>4.4041270621341289</v>
      </c>
      <c r="AZ249" s="112">
        <v>4.4217435703826657</v>
      </c>
      <c r="BA249" s="112">
        <v>4.4394305446641962</v>
      </c>
      <c r="BB249" s="112">
        <v>4.4571882668428531</v>
      </c>
      <c r="BC249" s="112">
        <f t="shared" si="94"/>
        <v>4.4750170199102248</v>
      </c>
      <c r="BD249" s="112">
        <f t="shared" si="94"/>
        <v>4.4929170879898654</v>
      </c>
      <c r="BE249" s="112">
        <f t="shared" si="94"/>
        <v>4.5108887563418252</v>
      </c>
      <c r="BF249" s="112">
        <f t="shared" si="94"/>
        <v>4.5289323113671927</v>
      </c>
      <c r="BG249" s="112">
        <f t="shared" si="94"/>
        <v>4.5470480406126619</v>
      </c>
    </row>
    <row r="250" spans="1:59" ht="13.75" customHeight="1">
      <c r="A250" s="171" t="s">
        <v>166</v>
      </c>
      <c r="B250" s="165" t="s">
        <v>369</v>
      </c>
      <c r="C250" s="165"/>
      <c r="D250" s="165" t="s">
        <v>168</v>
      </c>
      <c r="E250" s="167"/>
      <c r="F250" s="168" t="s">
        <v>383</v>
      </c>
      <c r="G250" s="168" t="s">
        <v>379</v>
      </c>
      <c r="H250" s="168"/>
      <c r="I250" s="168"/>
      <c r="X250" s="112">
        <v>6.4468088543445541</v>
      </c>
      <c r="Y250" s="112">
        <v>4.5374661915795089</v>
      </c>
      <c r="Z250" s="112">
        <v>5.7409236871492846</v>
      </c>
      <c r="AA250" s="112">
        <v>7.9166125649804098</v>
      </c>
      <c r="AB250" s="112">
        <v>4.4476006561357497</v>
      </c>
      <c r="AC250" s="112">
        <v>3.1753480594359531</v>
      </c>
      <c r="AD250" s="112">
        <v>15.935621721874805</v>
      </c>
      <c r="AE250" s="112">
        <v>41.127928546954458</v>
      </c>
      <c r="AF250" s="112">
        <v>13.593760905248415</v>
      </c>
      <c r="AG250" s="112">
        <v>15.019631093688938</v>
      </c>
      <c r="AH250" s="112">
        <v>13.69797015435717</v>
      </c>
      <c r="AI250" s="112">
        <v>11.259125852536393</v>
      </c>
      <c r="AJ250" s="112">
        <v>10.958818626508156</v>
      </c>
      <c r="AK250" s="112">
        <v>11.00265390101419</v>
      </c>
      <c r="AL250" s="112">
        <v>11.046664516618247</v>
      </c>
      <c r="AM250" s="112">
        <v>11.090851174684719</v>
      </c>
      <c r="AN250" s="112">
        <v>11.135214579383458</v>
      </c>
      <c r="AO250" s="112">
        <v>11.179755437700992</v>
      </c>
      <c r="AP250" s="112">
        <v>11.224474459451796</v>
      </c>
      <c r="AQ250" s="112">
        <v>11.269372357289603</v>
      </c>
      <c r="AR250" s="112">
        <v>11.314449846718761</v>
      </c>
      <c r="AS250" s="112">
        <v>11.359707646105635</v>
      </c>
      <c r="AT250" s="112">
        <v>11.405146476690058</v>
      </c>
      <c r="AU250" s="112">
        <v>11.450767062596819</v>
      </c>
      <c r="AV250" s="112">
        <v>11.496570130847207</v>
      </c>
      <c r="AW250" s="112">
        <v>11.542556411370596</v>
      </c>
      <c r="AX250" s="112">
        <v>11.588726637016078</v>
      </c>
      <c r="AY250" s="112">
        <v>11.635081543564143</v>
      </c>
      <c r="AZ250" s="112">
        <v>11.681621869738398</v>
      </c>
      <c r="BA250" s="112">
        <v>11.728348357217351</v>
      </c>
      <c r="BB250" s="112">
        <v>11.775261750646221</v>
      </c>
      <c r="BC250" s="112">
        <f t="shared" si="94"/>
        <v>11.822362797648806</v>
      </c>
      <c r="BD250" s="112">
        <f t="shared" si="94"/>
        <v>11.869652248839401</v>
      </c>
      <c r="BE250" s="112">
        <f t="shared" si="94"/>
        <v>11.917130857834758</v>
      </c>
      <c r="BF250" s="112">
        <f t="shared" si="94"/>
        <v>11.964799381266097</v>
      </c>
      <c r="BG250" s="112">
        <f t="shared" si="94"/>
        <v>12.012658578791161</v>
      </c>
    </row>
    <row r="251" spans="1:59" ht="13.75" customHeight="1" outlineLevel="1">
      <c r="A251" s="171"/>
      <c r="B251" s="165"/>
      <c r="C251" s="165"/>
      <c r="D251" s="165"/>
      <c r="E251" s="167"/>
      <c r="F251" s="168"/>
      <c r="G251" s="168"/>
      <c r="H251" s="168"/>
      <c r="I251" s="168"/>
      <c r="AM251" s="119"/>
    </row>
    <row r="252" spans="1:59" ht="13.75" customHeight="1" outlineLevel="1">
      <c r="A252" s="171"/>
      <c r="B252" s="165"/>
      <c r="C252" s="165"/>
      <c r="D252" s="165"/>
      <c r="E252" s="167"/>
      <c r="F252" s="168" t="s">
        <v>374</v>
      </c>
      <c r="G252" s="168"/>
      <c r="H252" s="168"/>
      <c r="I252" s="168"/>
      <c r="V252" s="267"/>
      <c r="W252" s="267"/>
      <c r="X252" s="267"/>
      <c r="Y252" s="269">
        <f t="shared" ref="Y252:AE252" si="95">Y245/X245-1</f>
        <v>-0.27692307692307694</v>
      </c>
      <c r="Z252" s="270">
        <f t="shared" si="95"/>
        <v>0.23404255319148937</v>
      </c>
      <c r="AA252" s="270">
        <f t="shared" si="95"/>
        <v>0.39655172413793105</v>
      </c>
      <c r="AB252" s="270">
        <f t="shared" si="95"/>
        <v>-0.44444444444444442</v>
      </c>
      <c r="AC252" s="270">
        <f t="shared" si="95"/>
        <v>0.11111111111111094</v>
      </c>
      <c r="AD252" s="270">
        <f t="shared" si="95"/>
        <v>2.1997597881994486</v>
      </c>
      <c r="AE252" s="271">
        <f t="shared" si="95"/>
        <v>1.0218438662524765</v>
      </c>
      <c r="AF252" s="267">
        <f>AF245/AE245-1</f>
        <v>-0.59686364733706077</v>
      </c>
      <c r="AG252" s="267">
        <f t="shared" ref="AG252:BG252" si="96">AG245/AF245-1</f>
        <v>0.11329823585086429</v>
      </c>
      <c r="AH252" s="267">
        <f t="shared" si="96"/>
        <v>-9.0481593124060344E-2</v>
      </c>
      <c r="AI252" s="267">
        <f t="shared" si="96"/>
        <v>-0.11793280633098757</v>
      </c>
      <c r="AJ252" s="267">
        <f t="shared" si="96"/>
        <v>-2.5647482069762861E-2</v>
      </c>
      <c r="AK252" s="267">
        <f t="shared" si="96"/>
        <v>3.9999999999997815E-3</v>
      </c>
      <c r="AL252" s="267">
        <f t="shared" si="96"/>
        <v>4.0000000000000036E-3</v>
      </c>
      <c r="AM252" s="267">
        <f t="shared" si="96"/>
        <v>4.0000000000000036E-3</v>
      </c>
      <c r="AN252" s="267">
        <f t="shared" si="96"/>
        <v>4.0000000000000036E-3</v>
      </c>
      <c r="AO252" s="267">
        <f t="shared" si="96"/>
        <v>4.0000000000000036E-3</v>
      </c>
      <c r="AP252" s="267">
        <f t="shared" si="96"/>
        <v>4.0000000000000036E-3</v>
      </c>
      <c r="AQ252" s="267">
        <f t="shared" si="96"/>
        <v>4.0000000000000036E-3</v>
      </c>
      <c r="AR252" s="267">
        <f t="shared" si="96"/>
        <v>4.0000000000000036E-3</v>
      </c>
      <c r="AS252" s="267">
        <f t="shared" si="96"/>
        <v>4.0000000000002256E-3</v>
      </c>
      <c r="AT252" s="267">
        <f t="shared" si="96"/>
        <v>4.0000000000000036E-3</v>
      </c>
      <c r="AU252" s="267">
        <f t="shared" si="96"/>
        <v>4.0000000000000036E-3</v>
      </c>
      <c r="AV252" s="267">
        <f t="shared" si="96"/>
        <v>4.0000000000000036E-3</v>
      </c>
      <c r="AW252" s="267">
        <f t="shared" si="96"/>
        <v>4.0000000000000036E-3</v>
      </c>
      <c r="AX252" s="267">
        <f t="shared" si="96"/>
        <v>4.0000000000000036E-3</v>
      </c>
      <c r="AY252" s="267">
        <f t="shared" si="96"/>
        <v>4.0000000000000036E-3</v>
      </c>
      <c r="AZ252" s="267">
        <f t="shared" si="96"/>
        <v>4.0000000000000036E-3</v>
      </c>
      <c r="BA252" s="267">
        <f t="shared" si="96"/>
        <v>4.0000000000000036E-3</v>
      </c>
      <c r="BB252" s="267">
        <f t="shared" si="96"/>
        <v>4.0000000000000036E-3</v>
      </c>
      <c r="BC252" s="267">
        <f t="shared" si="96"/>
        <v>4.0000000000000036E-3</v>
      </c>
      <c r="BD252" s="267">
        <f t="shared" si="96"/>
        <v>4.0000000000000036E-3</v>
      </c>
      <c r="BE252" s="267">
        <f t="shared" si="96"/>
        <v>4.0000000000000036E-3</v>
      </c>
      <c r="BF252" s="267">
        <f t="shared" si="96"/>
        <v>4.0000000000000036E-3</v>
      </c>
      <c r="BG252" s="267">
        <f t="shared" si="96"/>
        <v>4.0000000000000036E-3</v>
      </c>
    </row>
    <row r="253" spans="1:59" ht="13.75" customHeight="1" outlineLevel="1">
      <c r="A253" s="171"/>
      <c r="B253" s="165"/>
      <c r="C253" s="165"/>
      <c r="D253" s="165"/>
      <c r="E253" s="167"/>
      <c r="F253" s="168" t="s">
        <v>376</v>
      </c>
      <c r="G253" s="168"/>
      <c r="H253" s="168"/>
      <c r="I253" s="168"/>
      <c r="V253" s="267"/>
      <c r="W253" s="267"/>
      <c r="X253" s="267"/>
      <c r="Y253" s="272">
        <f t="shared" ref="Y253:AE253" si="97">Y246/X246-1</f>
        <v>-0.32748538011695894</v>
      </c>
      <c r="Z253" s="267">
        <f t="shared" si="97"/>
        <v>0.16956521739130426</v>
      </c>
      <c r="AA253" s="267">
        <f t="shared" si="97"/>
        <v>0.25402726146220544</v>
      </c>
      <c r="AB253" s="267">
        <f t="shared" si="97"/>
        <v>-1.7786561264822032E-2</v>
      </c>
      <c r="AC253" s="267">
        <f t="shared" si="97"/>
        <v>-0.19517102615694182</v>
      </c>
      <c r="AD253" s="267">
        <f t="shared" si="97"/>
        <v>0.17847270788239555</v>
      </c>
      <c r="AE253" s="273">
        <f t="shared" si="97"/>
        <v>0.59845217096136483</v>
      </c>
      <c r="AF253" s="267">
        <f t="shared" ref="AF253:BG253" si="98">AF246/AE246-1</f>
        <v>-0.15347022482410699</v>
      </c>
      <c r="AG253" s="267">
        <f t="shared" si="98"/>
        <v>-5.3190680319338379E-2</v>
      </c>
      <c r="AH253" s="267">
        <f t="shared" si="98"/>
        <v>-3.0685286427472036E-2</v>
      </c>
      <c r="AI253" s="267">
        <f t="shared" si="98"/>
        <v>-2.500341887200408E-2</v>
      </c>
      <c r="AJ253" s="267">
        <f t="shared" si="98"/>
        <v>-1.3691686539164527E-3</v>
      </c>
      <c r="AK253" s="267">
        <f t="shared" si="98"/>
        <v>4.0000000000000036E-3</v>
      </c>
      <c r="AL253" s="267">
        <f t="shared" si="98"/>
        <v>4.0000000000000036E-3</v>
      </c>
      <c r="AM253" s="267">
        <f t="shared" si="98"/>
        <v>4.0000000000000036E-3</v>
      </c>
      <c r="AN253" s="267">
        <f t="shared" si="98"/>
        <v>4.0000000000000036E-3</v>
      </c>
      <c r="AO253" s="267">
        <f t="shared" si="98"/>
        <v>4.0000000000000036E-3</v>
      </c>
      <c r="AP253" s="267">
        <f t="shared" si="98"/>
        <v>4.0000000000000036E-3</v>
      </c>
      <c r="AQ253" s="267">
        <f t="shared" si="98"/>
        <v>4.0000000000000036E-3</v>
      </c>
      <c r="AR253" s="267">
        <f t="shared" si="98"/>
        <v>4.0000000000000036E-3</v>
      </c>
      <c r="AS253" s="267">
        <f t="shared" si="98"/>
        <v>4.0000000000000036E-3</v>
      </c>
      <c r="AT253" s="267">
        <f t="shared" si="98"/>
        <v>4.0000000000000036E-3</v>
      </c>
      <c r="AU253" s="267">
        <f t="shared" si="98"/>
        <v>4.0000000000000036E-3</v>
      </c>
      <c r="AV253" s="267">
        <f t="shared" si="98"/>
        <v>4.0000000000000036E-3</v>
      </c>
      <c r="AW253" s="267">
        <f t="shared" si="98"/>
        <v>4.0000000000000036E-3</v>
      </c>
      <c r="AX253" s="267">
        <f t="shared" si="98"/>
        <v>4.0000000000000036E-3</v>
      </c>
      <c r="AY253" s="267">
        <f t="shared" si="98"/>
        <v>4.0000000000000036E-3</v>
      </c>
      <c r="AZ253" s="267">
        <f t="shared" si="98"/>
        <v>4.0000000000000036E-3</v>
      </c>
      <c r="BA253" s="267">
        <f t="shared" si="98"/>
        <v>4.0000000000000036E-3</v>
      </c>
      <c r="BB253" s="267">
        <f t="shared" si="98"/>
        <v>4.0000000000000036E-3</v>
      </c>
      <c r="BC253" s="267">
        <f t="shared" si="98"/>
        <v>4.0000000000000036E-3</v>
      </c>
      <c r="BD253" s="267">
        <f t="shared" si="98"/>
        <v>4.0000000000000036E-3</v>
      </c>
      <c r="BE253" s="267">
        <f t="shared" si="98"/>
        <v>4.0000000000000036E-3</v>
      </c>
      <c r="BF253" s="267">
        <f t="shared" si="98"/>
        <v>4.0000000000000036E-3</v>
      </c>
      <c r="BG253" s="267">
        <f t="shared" si="98"/>
        <v>4.0000000000000036E-3</v>
      </c>
    </row>
    <row r="254" spans="1:59" ht="13.75" customHeight="1" outlineLevel="1">
      <c r="A254" s="171"/>
      <c r="B254" s="165"/>
      <c r="C254" s="165"/>
      <c r="D254" s="165"/>
      <c r="E254" s="167"/>
      <c r="F254" s="168" t="s">
        <v>382</v>
      </c>
      <c r="G254" s="168"/>
      <c r="H254" s="168"/>
      <c r="I254" s="168"/>
      <c r="V254" s="267"/>
      <c r="W254" s="267"/>
      <c r="X254" s="267"/>
      <c r="Y254" s="272">
        <f t="shared" ref="Y254:BG254" si="99">Y249/X249-1</f>
        <v>-4.498296389877865E-2</v>
      </c>
      <c r="Z254" s="267">
        <f t="shared" si="99"/>
        <v>0.18772548705203218</v>
      </c>
      <c r="AA254" s="267">
        <f t="shared" si="99"/>
        <v>6.3518849775557884E-2</v>
      </c>
      <c r="AB254" s="267">
        <f t="shared" si="99"/>
        <v>-0.18679191393481642</v>
      </c>
      <c r="AC254" s="267">
        <f t="shared" si="99"/>
        <v>-0.21232480239771634</v>
      </c>
      <c r="AD254" s="267">
        <f t="shared" si="99"/>
        <v>0.90813484549440804</v>
      </c>
      <c r="AE254" s="273">
        <f t="shared" si="99"/>
        <v>0.68536461790972902</v>
      </c>
      <c r="AF254" s="267">
        <f t="shared" si="99"/>
        <v>-0.53498467359279767</v>
      </c>
      <c r="AG254" s="267">
        <f t="shared" si="99"/>
        <v>0.29400524950373264</v>
      </c>
      <c r="AH254" s="267">
        <f t="shared" si="99"/>
        <v>8.1849892226290688E-2</v>
      </c>
      <c r="AI254" s="267">
        <f t="shared" si="99"/>
        <v>-4.4491830483186501E-3</v>
      </c>
      <c r="AJ254" s="267">
        <f t="shared" si="99"/>
        <v>-1.3933001245088894E-2</v>
      </c>
      <c r="AK254" s="267">
        <f t="shared" si="99"/>
        <v>4.0000000000000036E-3</v>
      </c>
      <c r="AL254" s="267">
        <f t="shared" si="99"/>
        <v>4.0000000000000036E-3</v>
      </c>
      <c r="AM254" s="267">
        <f t="shared" si="99"/>
        <v>4.0000000000000036E-3</v>
      </c>
      <c r="AN254" s="267">
        <f t="shared" si="99"/>
        <v>4.0000000000000036E-3</v>
      </c>
      <c r="AO254" s="267">
        <f t="shared" si="99"/>
        <v>4.0000000000000036E-3</v>
      </c>
      <c r="AP254" s="267">
        <f t="shared" si="99"/>
        <v>4.0000000000000036E-3</v>
      </c>
      <c r="AQ254" s="267">
        <f t="shared" si="99"/>
        <v>4.0000000000000036E-3</v>
      </c>
      <c r="AR254" s="267">
        <f t="shared" si="99"/>
        <v>4.0000000000000036E-3</v>
      </c>
      <c r="AS254" s="267">
        <f t="shared" si="99"/>
        <v>4.0000000000000036E-3</v>
      </c>
      <c r="AT254" s="267">
        <f t="shared" si="99"/>
        <v>4.0000000000000036E-3</v>
      </c>
      <c r="AU254" s="267">
        <f t="shared" si="99"/>
        <v>4.0000000000000036E-3</v>
      </c>
      <c r="AV254" s="267">
        <f t="shared" si="99"/>
        <v>4.0000000000000036E-3</v>
      </c>
      <c r="AW254" s="267">
        <f t="shared" si="99"/>
        <v>4.0000000000000036E-3</v>
      </c>
      <c r="AX254" s="267">
        <f t="shared" si="99"/>
        <v>4.0000000000000036E-3</v>
      </c>
      <c r="AY254" s="267">
        <f t="shared" si="99"/>
        <v>4.0000000000000036E-3</v>
      </c>
      <c r="AZ254" s="267">
        <f t="shared" si="99"/>
        <v>4.0000000000000036E-3</v>
      </c>
      <c r="BA254" s="267">
        <f t="shared" si="99"/>
        <v>4.0000000000000036E-3</v>
      </c>
      <c r="BB254" s="267">
        <f t="shared" si="99"/>
        <v>4.0000000000000036E-3</v>
      </c>
      <c r="BC254" s="267">
        <f t="shared" si="99"/>
        <v>4.0000000000000036E-3</v>
      </c>
      <c r="BD254" s="267">
        <f t="shared" si="99"/>
        <v>4.0000000000000036E-3</v>
      </c>
      <c r="BE254" s="267">
        <f t="shared" si="99"/>
        <v>4.0000000000000036E-3</v>
      </c>
      <c r="BF254" s="267">
        <f t="shared" si="99"/>
        <v>4.0000000000000036E-3</v>
      </c>
      <c r="BG254" s="267">
        <f t="shared" si="99"/>
        <v>4.0000000000000036E-3</v>
      </c>
    </row>
    <row r="255" spans="1:59" ht="13.75" customHeight="1" outlineLevel="1">
      <c r="A255" s="171"/>
      <c r="B255" s="165"/>
      <c r="C255" s="165"/>
      <c r="D255" s="165"/>
      <c r="E255" s="167"/>
      <c r="F255" s="168" t="s">
        <v>383</v>
      </c>
      <c r="G255" s="168"/>
      <c r="H255" s="168"/>
      <c r="I255" s="168"/>
      <c r="V255" s="267"/>
      <c r="W255" s="267"/>
      <c r="X255" s="267"/>
      <c r="Y255" s="272">
        <f t="shared" ref="Y255:BG255" si="100">Y250/X250-1</f>
        <v>-0.29616864807125842</v>
      </c>
      <c r="Z255" s="267">
        <f t="shared" si="100"/>
        <v>0.26522676858796546</v>
      </c>
      <c r="AA255" s="267">
        <f t="shared" si="100"/>
        <v>0.37897888848466588</v>
      </c>
      <c r="AB255" s="267">
        <f t="shared" si="100"/>
        <v>-0.43819397253189241</v>
      </c>
      <c r="AC255" s="267">
        <f t="shared" si="100"/>
        <v>-0.28605369390451962</v>
      </c>
      <c r="AD255" s="267">
        <f t="shared" si="100"/>
        <v>4.0185432978032329</v>
      </c>
      <c r="AE255" s="273">
        <f t="shared" si="100"/>
        <v>1.5808800726298751</v>
      </c>
      <c r="AF255" s="267">
        <f t="shared" si="100"/>
        <v>-0.66947615925443826</v>
      </c>
      <c r="AG255" s="267">
        <f t="shared" si="100"/>
        <v>0.10489151592257362</v>
      </c>
      <c r="AH255" s="267">
        <f t="shared" si="100"/>
        <v>-8.7995566008749249E-2</v>
      </c>
      <c r="AI255" s="267">
        <f t="shared" si="100"/>
        <v>-0.17804421197727671</v>
      </c>
      <c r="AJ255" s="267">
        <f t="shared" si="100"/>
        <v>-2.6672339394854916E-2</v>
      </c>
      <c r="AK255" s="267">
        <f t="shared" si="100"/>
        <v>4.0000000000000036E-3</v>
      </c>
      <c r="AL255" s="267">
        <f t="shared" si="100"/>
        <v>4.0000000000000036E-3</v>
      </c>
      <c r="AM255" s="267">
        <f t="shared" si="100"/>
        <v>4.0000000000000036E-3</v>
      </c>
      <c r="AN255" s="267">
        <f t="shared" si="100"/>
        <v>4.0000000000000036E-3</v>
      </c>
      <c r="AO255" s="267">
        <f t="shared" si="100"/>
        <v>4.0000000000000036E-3</v>
      </c>
      <c r="AP255" s="267">
        <f t="shared" si="100"/>
        <v>4.0000000000000036E-3</v>
      </c>
      <c r="AQ255" s="267">
        <f t="shared" si="100"/>
        <v>4.0000000000000036E-3</v>
      </c>
      <c r="AR255" s="267">
        <f t="shared" si="100"/>
        <v>4.0000000000000036E-3</v>
      </c>
      <c r="AS255" s="267">
        <f t="shared" si="100"/>
        <v>4.0000000000000036E-3</v>
      </c>
      <c r="AT255" s="267">
        <f t="shared" si="100"/>
        <v>4.0000000000000036E-3</v>
      </c>
      <c r="AU255" s="267">
        <f t="shared" si="100"/>
        <v>4.0000000000000036E-3</v>
      </c>
      <c r="AV255" s="267">
        <f t="shared" si="100"/>
        <v>4.0000000000000036E-3</v>
      </c>
      <c r="AW255" s="267">
        <f t="shared" si="100"/>
        <v>4.0000000000000036E-3</v>
      </c>
      <c r="AX255" s="267">
        <f t="shared" si="100"/>
        <v>4.0000000000000036E-3</v>
      </c>
      <c r="AY255" s="267">
        <f t="shared" si="100"/>
        <v>4.0000000000000036E-3</v>
      </c>
      <c r="AZ255" s="267">
        <f t="shared" si="100"/>
        <v>4.0000000000000036E-3</v>
      </c>
      <c r="BA255" s="267">
        <f t="shared" si="100"/>
        <v>4.0000000000000036E-3</v>
      </c>
      <c r="BB255" s="267">
        <f t="shared" si="100"/>
        <v>4.0000000000000036E-3</v>
      </c>
      <c r="BC255" s="267">
        <f t="shared" si="100"/>
        <v>4.0000000000000036E-3</v>
      </c>
      <c r="BD255" s="267">
        <f t="shared" si="100"/>
        <v>4.0000000000000036E-3</v>
      </c>
      <c r="BE255" s="267">
        <f t="shared" si="100"/>
        <v>4.0000000000000036E-3</v>
      </c>
      <c r="BF255" s="267">
        <f t="shared" si="100"/>
        <v>4.0000000000000036E-3</v>
      </c>
      <c r="BG255" s="267">
        <f t="shared" si="100"/>
        <v>4.0000000000000036E-3</v>
      </c>
    </row>
    <row r="256" spans="1:59" ht="13.75" customHeight="1" outlineLevel="1">
      <c r="A256" s="171"/>
      <c r="B256" s="165"/>
      <c r="C256" s="165"/>
      <c r="D256" s="165"/>
      <c r="E256" s="167"/>
      <c r="F256" s="168" t="s">
        <v>855</v>
      </c>
      <c r="G256" s="276">
        <f>CORREL(Y254:AE254,Y256:AE256)</f>
        <v>0.66289022558930422</v>
      </c>
      <c r="H256" s="168"/>
      <c r="I256" s="168"/>
      <c r="V256" s="267"/>
      <c r="W256" s="267"/>
      <c r="X256" s="267"/>
      <c r="Y256" s="274">
        <f t="shared" ref="Y256:BG256" si="101">Y340/X340-1</f>
        <v>-0.26213592233009708</v>
      </c>
      <c r="Z256" s="268">
        <f t="shared" si="101"/>
        <v>0.47368421052631571</v>
      </c>
      <c r="AA256" s="268">
        <f t="shared" si="101"/>
        <v>0.20238095238095233</v>
      </c>
      <c r="AB256" s="268">
        <f t="shared" si="101"/>
        <v>-0.33551980198019804</v>
      </c>
      <c r="AC256" s="268">
        <f t="shared" si="101"/>
        <v>-9.8510275035698647E-2</v>
      </c>
      <c r="AD256" s="268">
        <f t="shared" si="101"/>
        <v>0.44625160852448231</v>
      </c>
      <c r="AE256" s="275">
        <f t="shared" si="101"/>
        <v>8.541469589970152E-2</v>
      </c>
      <c r="AF256" s="267">
        <f t="shared" si="101"/>
        <v>-0.20546215245336863</v>
      </c>
      <c r="AG256" s="267">
        <f t="shared" si="101"/>
        <v>0.19660296186304027</v>
      </c>
      <c r="AH256" s="267">
        <f t="shared" si="101"/>
        <v>0.10881717313668493</v>
      </c>
      <c r="AI256" s="267">
        <f t="shared" si="101"/>
        <v>-3.4423487494489202E-2</v>
      </c>
      <c r="AJ256" s="267">
        <f t="shared" si="101"/>
        <v>-1.1280749214014341E-3</v>
      </c>
      <c r="AK256" s="267">
        <f t="shared" si="101"/>
        <v>4.0000000000000036E-3</v>
      </c>
      <c r="AL256" s="267">
        <f t="shared" si="101"/>
        <v>4.0000000000000036E-3</v>
      </c>
      <c r="AM256" s="267">
        <f t="shared" si="101"/>
        <v>4.0000000000000036E-3</v>
      </c>
      <c r="AN256" s="267">
        <f t="shared" si="101"/>
        <v>4.0000000000000036E-3</v>
      </c>
      <c r="AO256" s="267">
        <f t="shared" si="101"/>
        <v>4.0000000000002256E-3</v>
      </c>
      <c r="AP256" s="267">
        <f t="shared" si="101"/>
        <v>4.0000000000000036E-3</v>
      </c>
      <c r="AQ256" s="267">
        <f t="shared" si="101"/>
        <v>4.0000000000000036E-3</v>
      </c>
      <c r="AR256" s="267">
        <f t="shared" si="101"/>
        <v>4.0000000000000036E-3</v>
      </c>
      <c r="AS256" s="267">
        <f t="shared" si="101"/>
        <v>4.0000000000000036E-3</v>
      </c>
      <c r="AT256" s="267">
        <f t="shared" si="101"/>
        <v>4.0000000000000036E-3</v>
      </c>
      <c r="AU256" s="267">
        <f t="shared" si="101"/>
        <v>4.0000000000000036E-3</v>
      </c>
      <c r="AV256" s="267">
        <f t="shared" si="101"/>
        <v>4.0000000000000036E-3</v>
      </c>
      <c r="AW256" s="267">
        <f t="shared" si="101"/>
        <v>4.0000000000000036E-3</v>
      </c>
      <c r="AX256" s="267">
        <f t="shared" si="101"/>
        <v>4.0000000000000036E-3</v>
      </c>
      <c r="AY256" s="267">
        <f t="shared" si="101"/>
        <v>4.0000000000000036E-3</v>
      </c>
      <c r="AZ256" s="267">
        <f t="shared" si="101"/>
        <v>4.0000000000000036E-3</v>
      </c>
      <c r="BA256" s="267">
        <f t="shared" si="101"/>
        <v>4.0000000000000036E-3</v>
      </c>
      <c r="BB256" s="267">
        <f t="shared" si="101"/>
        <v>4.0000000000002256E-3</v>
      </c>
      <c r="BC256" s="267">
        <f t="shared" si="101"/>
        <v>4.0000000000000036E-3</v>
      </c>
      <c r="BD256" s="267">
        <f t="shared" si="101"/>
        <v>4.0000000000000036E-3</v>
      </c>
      <c r="BE256" s="267">
        <f t="shared" si="101"/>
        <v>4.0000000000000036E-3</v>
      </c>
      <c r="BF256" s="267">
        <f t="shared" si="101"/>
        <v>4.0000000000000036E-3</v>
      </c>
      <c r="BG256" s="267">
        <f t="shared" si="101"/>
        <v>4.0000000000000036E-3</v>
      </c>
    </row>
    <row r="257" spans="1:59" ht="13.75" customHeight="1" outlineLevel="1">
      <c r="A257" s="171"/>
      <c r="B257" s="165"/>
      <c r="C257" s="165"/>
      <c r="D257" s="165"/>
      <c r="E257" s="167"/>
    </row>
    <row r="258" spans="1:59" ht="13.75" customHeight="1" outlineLevel="1">
      <c r="A258" s="171"/>
      <c r="B258" s="165"/>
      <c r="C258" s="165"/>
      <c r="D258" s="165"/>
      <c r="E258" s="167"/>
    </row>
    <row r="259" spans="1:59" ht="13.75" customHeight="1" outlineLevel="1">
      <c r="A259" s="171"/>
      <c r="B259" s="165"/>
      <c r="C259" s="165"/>
      <c r="D259" s="165"/>
      <c r="E259" s="167"/>
      <c r="F259" s="168" t="s">
        <v>382</v>
      </c>
      <c r="G259" s="168"/>
      <c r="H259" s="168"/>
      <c r="I259" s="168"/>
      <c r="X259" s="277">
        <v>1</v>
      </c>
      <c r="Y259" s="278">
        <f t="shared" ref="Y259:AM259" si="102">X259*(1+Y254)</f>
        <v>0.95501703610122135</v>
      </c>
      <c r="Z259" s="278">
        <f t="shared" si="102"/>
        <v>1.1342980743463114</v>
      </c>
      <c r="AA259" s="278">
        <f t="shared" si="102"/>
        <v>1.2063473833314193</v>
      </c>
      <c r="AB259" s="278">
        <f t="shared" si="102"/>
        <v>0.9810114467286859</v>
      </c>
      <c r="AC259" s="278">
        <f t="shared" si="102"/>
        <v>0.77271838515211988</v>
      </c>
      <c r="AD259" s="278">
        <f t="shared" si="102"/>
        <v>1.4744508764629287</v>
      </c>
      <c r="AE259" s="278">
        <f t="shared" si="102"/>
        <v>2.4849873380366088</v>
      </c>
      <c r="AF259" s="278">
        <f t="shared" si="102"/>
        <v>1.1555571981148585</v>
      </c>
      <c r="AG259" s="278">
        <f t="shared" si="102"/>
        <v>1.4952970804624517</v>
      </c>
      <c r="AH259" s="278">
        <f t="shared" si="102"/>
        <v>1.6176869853445905</v>
      </c>
      <c r="AI259" s="278">
        <f t="shared" si="102"/>
        <v>1.6104895998319098</v>
      </c>
      <c r="AJ259" s="278">
        <f t="shared" si="102"/>
        <v>1.588050646232249</v>
      </c>
      <c r="AK259" s="278">
        <f t="shared" si="102"/>
        <v>1.594402848817178</v>
      </c>
      <c r="AL259" s="278">
        <f t="shared" si="102"/>
        <v>1.6007804602124467</v>
      </c>
      <c r="AM259" s="278">
        <f t="shared" si="102"/>
        <v>1.6071835820532965</v>
      </c>
    </row>
    <row r="260" spans="1:59" ht="13.75" customHeight="1" outlineLevel="1">
      <c r="A260" s="171"/>
      <c r="B260" s="165"/>
      <c r="C260" s="165"/>
      <c r="D260" s="165"/>
      <c r="E260" s="167"/>
      <c r="F260" s="168" t="s">
        <v>383</v>
      </c>
      <c r="G260" s="168"/>
      <c r="H260" s="168"/>
      <c r="I260" s="168"/>
      <c r="X260" s="277">
        <v>1</v>
      </c>
      <c r="Y260" s="278">
        <f t="shared" ref="Y260:AM260" si="103">X260*(1+Y255)</f>
        <v>0.70383135192874158</v>
      </c>
      <c r="Z260" s="278">
        <f t="shared" si="103"/>
        <v>0.89050626703170077</v>
      </c>
      <c r="AA260" s="278">
        <f t="shared" si="103"/>
        <v>1.2279893423000039</v>
      </c>
      <c r="AB260" s="278">
        <f t="shared" si="103"/>
        <v>0.68989181417073941</v>
      </c>
      <c r="AC260" s="278">
        <f t="shared" si="103"/>
        <v>0.492545712332709</v>
      </c>
      <c r="AD260" s="278">
        <f t="shared" si="103"/>
        <v>2.4718619834890361</v>
      </c>
      <c r="AE260" s="278">
        <f t="shared" si="103"/>
        <v>6.3795793354782102</v>
      </c>
      <c r="AF260" s="278">
        <f t="shared" si="103"/>
        <v>2.1086030643032765</v>
      </c>
      <c r="AG260" s="278">
        <f t="shared" si="103"/>
        <v>2.329777636197031</v>
      </c>
      <c r="AH260" s="278">
        <f t="shared" si="103"/>
        <v>2.1247675344253474</v>
      </c>
      <c r="AI260" s="278">
        <f t="shared" si="103"/>
        <v>1.7464649731236852</v>
      </c>
      <c r="AJ260" s="278">
        <f t="shared" si="103"/>
        <v>1.6998826666193041</v>
      </c>
      <c r="AK260" s="278">
        <f t="shared" si="103"/>
        <v>1.7066821972857813</v>
      </c>
      <c r="AL260" s="278">
        <f t="shared" si="103"/>
        <v>1.7135089260749243</v>
      </c>
      <c r="AM260" s="278">
        <f t="shared" si="103"/>
        <v>1.720362961779224</v>
      </c>
    </row>
    <row r="261" spans="1:59" ht="13.75" customHeight="1" outlineLevel="1">
      <c r="A261" s="171"/>
      <c r="B261" s="165"/>
      <c r="C261" s="165"/>
      <c r="D261" s="165"/>
      <c r="E261" s="167"/>
      <c r="F261" s="168" t="s">
        <v>855</v>
      </c>
      <c r="G261" s="168"/>
      <c r="H261" s="168"/>
      <c r="I261" s="168"/>
      <c r="X261" s="277">
        <v>1</v>
      </c>
      <c r="Y261" s="278">
        <f t="shared" ref="Y261:AM261" si="104">X261*(1+Y256)</f>
        <v>0.73786407766990292</v>
      </c>
      <c r="Z261" s="278">
        <f t="shared" si="104"/>
        <v>1.087378640776699</v>
      </c>
      <c r="AA261" s="278">
        <f t="shared" si="104"/>
        <v>1.3074433656957927</v>
      </c>
      <c r="AB261" s="278">
        <f t="shared" si="104"/>
        <v>0.86877022653721669</v>
      </c>
      <c r="AC261" s="278">
        <f t="shared" si="104"/>
        <v>0.78318743257820922</v>
      </c>
      <c r="AD261" s="278">
        <f t="shared" si="104"/>
        <v>1.1326860841423947</v>
      </c>
      <c r="AE261" s="278">
        <f t="shared" si="104"/>
        <v>1.229434121569241</v>
      </c>
      <c r="AF261" s="278">
        <f t="shared" si="104"/>
        <v>0.97683194065200829</v>
      </c>
      <c r="AG261" s="278">
        <f t="shared" si="104"/>
        <v>1.1688799934266147</v>
      </c>
      <c r="AH261" s="278">
        <f t="shared" si="104"/>
        <v>1.2960742100473259</v>
      </c>
      <c r="AI261" s="278">
        <f t="shared" si="104"/>
        <v>1.2514588156858317</v>
      </c>
      <c r="AJ261" s="278">
        <f t="shared" si="104"/>
        <v>1.2500470763806899</v>
      </c>
      <c r="AK261" s="278">
        <f t="shared" si="104"/>
        <v>1.2550472646862127</v>
      </c>
      <c r="AL261" s="278">
        <f t="shared" si="104"/>
        <v>1.2600674537449577</v>
      </c>
      <c r="AM261" s="278">
        <f t="shared" si="104"/>
        <v>1.2651077235599375</v>
      </c>
    </row>
    <row r="262" spans="1:59" ht="13.75" customHeight="1" outlineLevel="1">
      <c r="A262" s="171"/>
      <c r="B262" s="165"/>
      <c r="C262" s="165"/>
      <c r="D262" s="165"/>
      <c r="E262" s="167"/>
      <c r="F262" s="168"/>
      <c r="G262" s="168"/>
      <c r="H262" s="168"/>
      <c r="I262" s="168"/>
      <c r="AM262" s="119"/>
    </row>
    <row r="263" spans="1:59" ht="13.75" customHeight="1" outlineLevel="1">
      <c r="A263" s="171"/>
      <c r="B263" s="165"/>
      <c r="C263" s="165"/>
      <c r="D263" s="165"/>
      <c r="E263" s="167"/>
      <c r="G263" s="168"/>
      <c r="H263" s="168"/>
      <c r="I263" s="168"/>
      <c r="AM263" s="119"/>
    </row>
    <row r="264" spans="1:59" ht="13.75" customHeight="1" outlineLevel="1">
      <c r="A264" s="171"/>
      <c r="B264" s="165"/>
      <c r="C264" s="165"/>
      <c r="D264" s="165"/>
      <c r="E264" s="167"/>
      <c r="G264" s="168"/>
      <c r="H264" s="168"/>
      <c r="I264" s="168"/>
      <c r="AM264" s="119"/>
    </row>
    <row r="265" spans="1:59" ht="13.75" customHeight="1" outlineLevel="1">
      <c r="A265" s="171"/>
      <c r="B265" s="165"/>
      <c r="C265" s="165"/>
      <c r="D265" s="165"/>
      <c r="E265" s="167"/>
      <c r="G265" s="168"/>
      <c r="H265" s="168"/>
      <c r="I265" s="168"/>
      <c r="AM265" s="119"/>
    </row>
    <row r="266" spans="1:59" ht="13.75" customHeight="1" outlineLevel="1">
      <c r="A266" s="171"/>
      <c r="B266" s="165"/>
      <c r="C266" s="165"/>
      <c r="D266" s="165"/>
      <c r="E266" s="167"/>
      <c r="F266" s="168"/>
      <c r="G266" s="168"/>
      <c r="H266" s="168"/>
      <c r="I266" s="168"/>
      <c r="AM266" s="119"/>
    </row>
    <row r="267" spans="1:59" ht="13.75" customHeight="1" outlineLevel="1">
      <c r="A267" s="171"/>
      <c r="B267" s="165"/>
      <c r="C267" s="165"/>
      <c r="D267" s="165"/>
      <c r="E267" s="167"/>
      <c r="F267" s="168"/>
      <c r="G267" s="168"/>
      <c r="H267" s="168"/>
      <c r="I267" s="168"/>
      <c r="AM267" s="119"/>
    </row>
    <row r="268" spans="1:59" ht="13.75" customHeight="1" outlineLevel="1">
      <c r="A268" s="171"/>
      <c r="B268" s="165"/>
      <c r="C268" s="165"/>
      <c r="D268" s="165"/>
      <c r="E268" s="167"/>
      <c r="F268" s="168"/>
      <c r="G268" s="168"/>
      <c r="H268" s="168"/>
      <c r="I268" s="168"/>
      <c r="X268" s="110"/>
      <c r="Y268" s="110"/>
      <c r="Z268" s="110"/>
      <c r="AA268" s="110"/>
      <c r="AB268" s="110"/>
      <c r="AC268" s="110"/>
      <c r="AM268" s="119"/>
    </row>
    <row r="269" spans="1:59" ht="13.75" customHeight="1" outlineLevel="1">
      <c r="A269" s="171"/>
      <c r="B269" s="165"/>
      <c r="C269" s="165"/>
      <c r="D269" s="165"/>
      <c r="E269" s="167"/>
      <c r="F269" s="168"/>
      <c r="G269" s="168"/>
      <c r="H269" s="168"/>
      <c r="I269" s="168"/>
      <c r="X269" s="110"/>
      <c r="Y269" s="110"/>
      <c r="Z269" s="110"/>
      <c r="AA269" s="110"/>
      <c r="AB269" s="110"/>
      <c r="AC269" s="110"/>
      <c r="AM269" s="119"/>
    </row>
    <row r="270" spans="1:59" ht="13.75" customHeight="1">
      <c r="A270" s="171" t="s">
        <v>166</v>
      </c>
      <c r="B270" s="166" t="s">
        <v>384</v>
      </c>
      <c r="C270" s="165"/>
      <c r="D270" s="165" t="s">
        <v>385</v>
      </c>
      <c r="E270" s="172"/>
      <c r="F270" s="168" t="s">
        <v>386</v>
      </c>
      <c r="G270" s="168" t="s">
        <v>3</v>
      </c>
      <c r="H270" s="173" t="s">
        <v>387</v>
      </c>
      <c r="I270" s="168" t="s">
        <v>388</v>
      </c>
      <c r="U270" s="107">
        <v>6.0999999999999999E-2</v>
      </c>
      <c r="V270" s="107">
        <v>9.7000000000000003E-2</v>
      </c>
      <c r="W270" s="107">
        <v>8.1000000000000003E-2</v>
      </c>
      <c r="X270" s="107">
        <v>7.4999999999999997E-2</v>
      </c>
      <c r="Y270" s="107">
        <v>5.8999999999999997E-2</v>
      </c>
      <c r="Z270" s="107">
        <v>0.04</v>
      </c>
      <c r="AA270" s="107">
        <v>0.04</v>
      </c>
      <c r="AB270" s="107">
        <v>4.8000000000000001E-2</v>
      </c>
      <c r="AC270" s="107">
        <v>2.7699999999999999E-2</v>
      </c>
      <c r="AD270" s="107">
        <v>3.2599999999999997E-2</v>
      </c>
      <c r="AE270" s="107">
        <v>5.0999999999999997E-2</v>
      </c>
      <c r="AF270" s="107">
        <v>0.10756101872637402</v>
      </c>
      <c r="AG270" s="107">
        <v>4.9000000000000377E-2</v>
      </c>
      <c r="AH270" s="107">
        <v>7.6542421353669843E-2</v>
      </c>
      <c r="AI270" s="107">
        <v>4.8264462809917363E-2</v>
      </c>
      <c r="AJ270" s="107">
        <f t="shared" ref="AJ270:BG270" si="105">(50%*(1+AJ242)+50%*(1+AJ3))-1</f>
        <v>4.0000000000000036E-2</v>
      </c>
      <c r="AK270" s="107">
        <f t="shared" si="105"/>
        <v>4.0000000000000036E-2</v>
      </c>
      <c r="AL270" s="107">
        <f t="shared" si="105"/>
        <v>4.0000000000000036E-2</v>
      </c>
      <c r="AM270" s="107">
        <f t="shared" si="105"/>
        <v>4.0000000000000036E-2</v>
      </c>
      <c r="AN270" s="107">
        <f t="shared" si="105"/>
        <v>4.0000000000000036E-2</v>
      </c>
      <c r="AO270" s="107">
        <f t="shared" si="105"/>
        <v>4.0000000000000036E-2</v>
      </c>
      <c r="AP270" s="107">
        <f t="shared" si="105"/>
        <v>4.0000000000000036E-2</v>
      </c>
      <c r="AQ270" s="107">
        <f t="shared" si="105"/>
        <v>4.0000000000000036E-2</v>
      </c>
      <c r="AR270" s="107">
        <f t="shared" si="105"/>
        <v>4.0000000000000036E-2</v>
      </c>
      <c r="AS270" s="107">
        <f t="shared" si="105"/>
        <v>4.0000000000000036E-2</v>
      </c>
      <c r="AT270" s="107">
        <f t="shared" si="105"/>
        <v>4.0000000000000036E-2</v>
      </c>
      <c r="AU270" s="107">
        <f t="shared" si="105"/>
        <v>4.0000000000000036E-2</v>
      </c>
      <c r="AV270" s="107">
        <f t="shared" si="105"/>
        <v>4.0000000000000036E-2</v>
      </c>
      <c r="AW270" s="107">
        <f t="shared" si="105"/>
        <v>4.0000000000000036E-2</v>
      </c>
      <c r="AX270" s="107">
        <f t="shared" si="105"/>
        <v>4.0000000000000036E-2</v>
      </c>
      <c r="AY270" s="107">
        <f t="shared" si="105"/>
        <v>4.0000000000000036E-2</v>
      </c>
      <c r="AZ270" s="107">
        <f t="shared" si="105"/>
        <v>4.0000000000000036E-2</v>
      </c>
      <c r="BA270" s="107">
        <f t="shared" si="105"/>
        <v>4.0000000000000036E-2</v>
      </c>
      <c r="BB270" s="107">
        <f t="shared" si="105"/>
        <v>4.0000000000000036E-2</v>
      </c>
      <c r="BC270" s="107">
        <f t="shared" si="105"/>
        <v>4.0000000000000036E-2</v>
      </c>
      <c r="BD270" s="107">
        <f t="shared" si="105"/>
        <v>4.0000000000000036E-2</v>
      </c>
      <c r="BE270" s="107">
        <f t="shared" si="105"/>
        <v>4.0000000000000036E-2</v>
      </c>
      <c r="BF270" s="107">
        <f t="shared" si="105"/>
        <v>4.0000000000000036E-2</v>
      </c>
      <c r="BG270" s="107">
        <f t="shared" si="105"/>
        <v>4.0000000000000036E-2</v>
      </c>
    </row>
    <row r="271" spans="1:59" ht="13.75" customHeight="1">
      <c r="A271" s="171" t="s">
        <v>166</v>
      </c>
      <c r="B271" s="165" t="s">
        <v>384</v>
      </c>
      <c r="C271" s="165"/>
      <c r="D271" s="165" t="s">
        <v>168</v>
      </c>
      <c r="E271" s="172"/>
      <c r="F271" s="168" t="s">
        <v>389</v>
      </c>
      <c r="G271" s="168" t="s">
        <v>3</v>
      </c>
      <c r="H271" s="173" t="s">
        <v>387</v>
      </c>
      <c r="I271" s="168" t="s">
        <v>390</v>
      </c>
      <c r="U271" s="107">
        <v>0.03</v>
      </c>
      <c r="V271" s="107">
        <v>9.2999999999999999E-2</v>
      </c>
      <c r="W271" s="107">
        <v>8.1000000000000003E-2</v>
      </c>
      <c r="X271" s="107">
        <v>6.2549639155632164E-2</v>
      </c>
      <c r="Y271" s="107">
        <v>5.8000000000000003E-2</v>
      </c>
      <c r="Z271" s="107">
        <v>4.1000000000000002E-2</v>
      </c>
      <c r="AA271" s="107">
        <v>0.04</v>
      </c>
      <c r="AB271" s="107">
        <v>4.8500000000000001E-2</v>
      </c>
      <c r="AC271" s="107">
        <v>3.2099999999999997E-2</v>
      </c>
      <c r="AD271" s="107">
        <v>4.24E-2</v>
      </c>
      <c r="AE271" s="107">
        <v>5.8000000000000003E-2</v>
      </c>
      <c r="AF271" s="107">
        <v>0.10807212876679162</v>
      </c>
      <c r="AG271" s="107">
        <v>4.4499999999999984E-2</v>
      </c>
      <c r="AH271" s="107">
        <v>7.3882240306366587E-2</v>
      </c>
      <c r="AI271" s="107">
        <v>5.4854368932039099E-2</v>
      </c>
      <c r="AJ271" s="107">
        <f t="shared" ref="AJ271:BG271" si="106">AJ3</f>
        <v>0.04</v>
      </c>
      <c r="AK271" s="107">
        <f t="shared" si="106"/>
        <v>0.04</v>
      </c>
      <c r="AL271" s="107">
        <f t="shared" si="106"/>
        <v>0.04</v>
      </c>
      <c r="AM271" s="107">
        <f t="shared" si="106"/>
        <v>0.04</v>
      </c>
      <c r="AN271" s="107">
        <f t="shared" si="106"/>
        <v>0.04</v>
      </c>
      <c r="AO271" s="107">
        <f t="shared" si="106"/>
        <v>0.04</v>
      </c>
      <c r="AP271" s="107">
        <f t="shared" si="106"/>
        <v>0.04</v>
      </c>
      <c r="AQ271" s="107">
        <f t="shared" si="106"/>
        <v>0.04</v>
      </c>
      <c r="AR271" s="107">
        <f t="shared" si="106"/>
        <v>0.04</v>
      </c>
      <c r="AS271" s="107">
        <f t="shared" si="106"/>
        <v>0.04</v>
      </c>
      <c r="AT271" s="107">
        <f t="shared" si="106"/>
        <v>0.04</v>
      </c>
      <c r="AU271" s="107">
        <f t="shared" si="106"/>
        <v>0.04</v>
      </c>
      <c r="AV271" s="107">
        <f t="shared" si="106"/>
        <v>0.04</v>
      </c>
      <c r="AW271" s="107">
        <f t="shared" si="106"/>
        <v>0.04</v>
      </c>
      <c r="AX271" s="107">
        <f t="shared" si="106"/>
        <v>0.04</v>
      </c>
      <c r="AY271" s="107">
        <f t="shared" si="106"/>
        <v>0.04</v>
      </c>
      <c r="AZ271" s="107">
        <f t="shared" si="106"/>
        <v>0.04</v>
      </c>
      <c r="BA271" s="107">
        <f t="shared" si="106"/>
        <v>0.04</v>
      </c>
      <c r="BB271" s="107">
        <f t="shared" si="106"/>
        <v>0.04</v>
      </c>
      <c r="BC271" s="107">
        <f t="shared" si="106"/>
        <v>0.04</v>
      </c>
      <c r="BD271" s="107">
        <f t="shared" si="106"/>
        <v>0.04</v>
      </c>
      <c r="BE271" s="107">
        <f t="shared" si="106"/>
        <v>0.04</v>
      </c>
      <c r="BF271" s="107">
        <f t="shared" si="106"/>
        <v>0.04</v>
      </c>
      <c r="BG271" s="107">
        <f t="shared" si="106"/>
        <v>0.04</v>
      </c>
    </row>
    <row r="272" spans="1:59" ht="13.75" customHeight="1">
      <c r="A272" s="171" t="s">
        <v>166</v>
      </c>
      <c r="B272" s="165" t="s">
        <v>384</v>
      </c>
      <c r="C272" s="165"/>
      <c r="D272" s="165" t="s">
        <v>168</v>
      </c>
      <c r="E272" s="172"/>
      <c r="F272" s="168" t="s">
        <v>391</v>
      </c>
      <c r="G272" s="109" t="s">
        <v>3</v>
      </c>
      <c r="H272" s="109" t="s">
        <v>392</v>
      </c>
      <c r="I272" s="168" t="s">
        <v>393</v>
      </c>
      <c r="U272" s="107">
        <v>4.6511627906976827E-2</v>
      </c>
      <c r="V272" s="107">
        <v>8.8888888888888795E-2</v>
      </c>
      <c r="W272" s="107">
        <v>6.1224489795918435E-2</v>
      </c>
      <c r="X272" s="107">
        <v>1.4232859473062964E-2</v>
      </c>
      <c r="Y272" s="107">
        <v>2.5170975902034431E-2</v>
      </c>
      <c r="Z272" s="107">
        <v>1.0091786747004061E-3</v>
      </c>
      <c r="AA272" s="107">
        <v>3.5378204787900769E-2</v>
      </c>
      <c r="AB272" s="107">
        <v>2.780401525031917E-2</v>
      </c>
      <c r="AC272" s="107">
        <v>-5.3687693088631083E-2</v>
      </c>
      <c r="AD272" s="107">
        <v>0.14612722404062464</v>
      </c>
      <c r="AE272" s="107">
        <f>0.79*AE281+(1-0.79)*AE282</f>
        <v>7.4939999999999979E-2</v>
      </c>
      <c r="AF272" s="107">
        <f t="shared" ref="AF272:BG272" si="107">0.79*AF281+(1-0.79)*AF282</f>
        <v>0.102766</v>
      </c>
      <c r="AG272" s="107">
        <f t="shared" si="107"/>
        <v>5.1658000000000003E-2</v>
      </c>
      <c r="AH272" s="107">
        <f t="shared" si="107"/>
        <v>6.656349851294735E-2</v>
      </c>
      <c r="AI272" s="107">
        <f t="shared" si="107"/>
        <v>5.1143551253174595E-2</v>
      </c>
      <c r="AJ272" s="107">
        <f t="shared" si="107"/>
        <v>0.04</v>
      </c>
      <c r="AK272" s="107">
        <f t="shared" si="107"/>
        <v>0.04</v>
      </c>
      <c r="AL272" s="107">
        <f t="shared" si="107"/>
        <v>0.04</v>
      </c>
      <c r="AM272" s="107">
        <f t="shared" si="107"/>
        <v>0.04</v>
      </c>
      <c r="AN272" s="107">
        <f t="shared" si="107"/>
        <v>0.04</v>
      </c>
      <c r="AO272" s="107">
        <f t="shared" si="107"/>
        <v>0.04</v>
      </c>
      <c r="AP272" s="107">
        <f t="shared" si="107"/>
        <v>0.04</v>
      </c>
      <c r="AQ272" s="107">
        <f t="shared" si="107"/>
        <v>0.04</v>
      </c>
      <c r="AR272" s="107">
        <f t="shared" si="107"/>
        <v>0.04</v>
      </c>
      <c r="AS272" s="107">
        <f t="shared" si="107"/>
        <v>0.04</v>
      </c>
      <c r="AT272" s="107">
        <f t="shared" si="107"/>
        <v>0.04</v>
      </c>
      <c r="AU272" s="107">
        <f t="shared" si="107"/>
        <v>0.04</v>
      </c>
      <c r="AV272" s="107">
        <f t="shared" si="107"/>
        <v>0.04</v>
      </c>
      <c r="AW272" s="107">
        <f t="shared" si="107"/>
        <v>0.04</v>
      </c>
      <c r="AX272" s="107">
        <f t="shared" si="107"/>
        <v>0.04</v>
      </c>
      <c r="AY272" s="107">
        <f t="shared" si="107"/>
        <v>0.04</v>
      </c>
      <c r="AZ272" s="107">
        <f t="shared" si="107"/>
        <v>0.04</v>
      </c>
      <c r="BA272" s="107">
        <f t="shared" si="107"/>
        <v>0.04</v>
      </c>
      <c r="BB272" s="107">
        <f t="shared" si="107"/>
        <v>0.04</v>
      </c>
      <c r="BC272" s="107">
        <f t="shared" si="107"/>
        <v>0.04</v>
      </c>
      <c r="BD272" s="107">
        <f t="shared" si="107"/>
        <v>0.04</v>
      </c>
      <c r="BE272" s="107">
        <f t="shared" si="107"/>
        <v>0.04</v>
      </c>
      <c r="BF272" s="107">
        <f t="shared" si="107"/>
        <v>0.04</v>
      </c>
      <c r="BG272" s="107">
        <f t="shared" si="107"/>
        <v>0.04</v>
      </c>
    </row>
    <row r="273" spans="1:59" ht="13.75" customHeight="1">
      <c r="A273" s="171" t="s">
        <v>166</v>
      </c>
      <c r="B273" s="165" t="s">
        <v>384</v>
      </c>
      <c r="C273" s="165"/>
      <c r="D273" s="165" t="s">
        <v>168</v>
      </c>
      <c r="E273" s="172"/>
      <c r="F273" s="168" t="s">
        <v>394</v>
      </c>
      <c r="G273" s="168" t="s">
        <v>3</v>
      </c>
      <c r="H273" s="173" t="s">
        <v>387</v>
      </c>
      <c r="I273" s="168" t="s">
        <v>395</v>
      </c>
      <c r="U273" s="107">
        <v>-1.7000000000000001E-2</v>
      </c>
      <c r="V273" s="107">
        <v>8.7999999999999995E-2</v>
      </c>
      <c r="W273" s="107">
        <v>5.1999999999999998E-2</v>
      </c>
      <c r="X273" s="107">
        <v>6.2549639155632164E-2</v>
      </c>
      <c r="Y273" s="107">
        <v>7.0000000000000007E-2</v>
      </c>
      <c r="Z273" s="107">
        <v>4.2999999999999997E-2</v>
      </c>
      <c r="AA273" s="107">
        <v>0.03</v>
      </c>
      <c r="AB273" s="107">
        <v>0.03</v>
      </c>
      <c r="AC273" s="107">
        <v>4.4083526682134666E-2</v>
      </c>
      <c r="AD273" s="107">
        <v>4.6666666666666634E-2</v>
      </c>
      <c r="AE273" s="107">
        <v>0.05</v>
      </c>
      <c r="AF273" s="107">
        <v>8.8999999999999996E-2</v>
      </c>
      <c r="AG273" s="107">
        <v>0.05</v>
      </c>
      <c r="AH273" s="107">
        <v>5.5465069443706216E-2</v>
      </c>
      <c r="AI273" s="107">
        <v>4.6800439312890907E-2</v>
      </c>
      <c r="AJ273" s="107">
        <f t="shared" ref="AJ273:BG273" si="108">(50%*(1+AJ242)+50%*(1+AJ5))-1</f>
        <v>4.0000000000000036E-2</v>
      </c>
      <c r="AK273" s="107">
        <f t="shared" si="108"/>
        <v>4.0000000000000036E-2</v>
      </c>
      <c r="AL273" s="107">
        <f t="shared" si="108"/>
        <v>4.0000000000000036E-2</v>
      </c>
      <c r="AM273" s="107">
        <f t="shared" si="108"/>
        <v>4.0000000000000036E-2</v>
      </c>
      <c r="AN273" s="107">
        <f t="shared" si="108"/>
        <v>4.0000000000000036E-2</v>
      </c>
      <c r="AO273" s="107">
        <f t="shared" si="108"/>
        <v>4.0000000000000036E-2</v>
      </c>
      <c r="AP273" s="107">
        <f t="shared" si="108"/>
        <v>4.0000000000000036E-2</v>
      </c>
      <c r="AQ273" s="107">
        <f t="shared" si="108"/>
        <v>4.0000000000000036E-2</v>
      </c>
      <c r="AR273" s="107">
        <f t="shared" si="108"/>
        <v>4.0000000000000036E-2</v>
      </c>
      <c r="AS273" s="107">
        <f t="shared" si="108"/>
        <v>4.0000000000000036E-2</v>
      </c>
      <c r="AT273" s="107">
        <f t="shared" si="108"/>
        <v>4.0000000000000036E-2</v>
      </c>
      <c r="AU273" s="107">
        <f t="shared" si="108"/>
        <v>4.0000000000000036E-2</v>
      </c>
      <c r="AV273" s="107">
        <f t="shared" si="108"/>
        <v>4.0000000000000036E-2</v>
      </c>
      <c r="AW273" s="107">
        <f t="shared" si="108"/>
        <v>4.0000000000000036E-2</v>
      </c>
      <c r="AX273" s="107">
        <f t="shared" si="108"/>
        <v>4.0000000000000036E-2</v>
      </c>
      <c r="AY273" s="107">
        <f t="shared" si="108"/>
        <v>4.0000000000000036E-2</v>
      </c>
      <c r="AZ273" s="107">
        <f t="shared" si="108"/>
        <v>4.0000000000000036E-2</v>
      </c>
      <c r="BA273" s="107">
        <f t="shared" si="108"/>
        <v>4.0000000000000036E-2</v>
      </c>
      <c r="BB273" s="107">
        <f t="shared" si="108"/>
        <v>4.0000000000000036E-2</v>
      </c>
      <c r="BC273" s="107">
        <f t="shared" si="108"/>
        <v>4.0000000000000036E-2</v>
      </c>
      <c r="BD273" s="107">
        <f t="shared" si="108"/>
        <v>4.0000000000000036E-2</v>
      </c>
      <c r="BE273" s="107">
        <f t="shared" si="108"/>
        <v>4.0000000000000036E-2</v>
      </c>
      <c r="BF273" s="107">
        <f t="shared" si="108"/>
        <v>4.0000000000000036E-2</v>
      </c>
      <c r="BG273" s="107">
        <f t="shared" si="108"/>
        <v>4.0000000000000036E-2</v>
      </c>
    </row>
    <row r="274" spans="1:59" ht="13.75" customHeight="1">
      <c r="A274" s="171" t="s">
        <v>166</v>
      </c>
      <c r="B274" s="165" t="s">
        <v>384</v>
      </c>
      <c r="C274" s="165"/>
      <c r="D274" s="165" t="s">
        <v>168</v>
      </c>
      <c r="E274" s="172"/>
      <c r="F274" s="168" t="s">
        <v>396</v>
      </c>
      <c r="G274" s="168" t="s">
        <v>3</v>
      </c>
      <c r="H274" s="173"/>
      <c r="I274" s="168" t="s">
        <v>397</v>
      </c>
      <c r="U274" s="107">
        <v>-5.2352524807350864E-3</v>
      </c>
      <c r="V274" s="107">
        <v>0.18490300060414855</v>
      </c>
      <c r="W274" s="107">
        <v>6.8577741268447401E-2</v>
      </c>
      <c r="X274" s="107">
        <v>6.8837839412193347E-2</v>
      </c>
      <c r="Y274" s="107">
        <v>-3.1326497860560965E-2</v>
      </c>
      <c r="Z274" s="107">
        <v>-8.0000000000000002E-3</v>
      </c>
      <c r="AA274" s="107">
        <v>-1.4647563466444469E-3</v>
      </c>
      <c r="AB274" s="107">
        <v>6.0907979048838712E-3</v>
      </c>
      <c r="AC274" s="107">
        <f t="shared" ref="AC274:BG274" si="109">0.79*AC278+(1-0.79)*AC279</f>
        <v>-1.265333943882436E-2</v>
      </c>
      <c r="AD274" s="107">
        <f t="shared" si="109"/>
        <v>0.22629228532599871</v>
      </c>
      <c r="AE274" s="107">
        <f t="shared" si="109"/>
        <v>0.2446239332566752</v>
      </c>
      <c r="AF274" s="107">
        <f t="shared" si="109"/>
        <v>0.13818632678963572</v>
      </c>
      <c r="AG274" s="107">
        <f t="shared" si="109"/>
        <v>0.13394563643388294</v>
      </c>
      <c r="AH274" s="107">
        <f t="shared" si="109"/>
        <v>8.1356098754693074E-2</v>
      </c>
      <c r="AI274" s="107">
        <f t="shared" si="109"/>
        <v>-4.4093937438348961E-2</v>
      </c>
      <c r="AJ274" s="107">
        <f t="shared" si="109"/>
        <v>0.04</v>
      </c>
      <c r="AK274" s="107">
        <f t="shared" si="109"/>
        <v>0.04</v>
      </c>
      <c r="AL274" s="107">
        <f t="shared" si="109"/>
        <v>0.04</v>
      </c>
      <c r="AM274" s="107">
        <f t="shared" si="109"/>
        <v>0.04</v>
      </c>
      <c r="AN274" s="107">
        <f t="shared" si="109"/>
        <v>0.04</v>
      </c>
      <c r="AO274" s="107">
        <f t="shared" si="109"/>
        <v>0.04</v>
      </c>
      <c r="AP274" s="107">
        <f t="shared" si="109"/>
        <v>0.04</v>
      </c>
      <c r="AQ274" s="107">
        <f t="shared" si="109"/>
        <v>0.04</v>
      </c>
      <c r="AR274" s="107">
        <f t="shared" si="109"/>
        <v>0.04</v>
      </c>
      <c r="AS274" s="107">
        <f t="shared" si="109"/>
        <v>0.04</v>
      </c>
      <c r="AT274" s="107">
        <f t="shared" si="109"/>
        <v>0.04</v>
      </c>
      <c r="AU274" s="107">
        <f t="shared" si="109"/>
        <v>0.04</v>
      </c>
      <c r="AV274" s="107">
        <f t="shared" si="109"/>
        <v>0.04</v>
      </c>
      <c r="AW274" s="107">
        <f t="shared" si="109"/>
        <v>0.04</v>
      </c>
      <c r="AX274" s="107">
        <f t="shared" si="109"/>
        <v>0.04</v>
      </c>
      <c r="AY274" s="107">
        <f t="shared" si="109"/>
        <v>0.04</v>
      </c>
      <c r="AZ274" s="107">
        <f t="shared" si="109"/>
        <v>0.04</v>
      </c>
      <c r="BA274" s="107">
        <f t="shared" si="109"/>
        <v>0.04</v>
      </c>
      <c r="BB274" s="107">
        <f t="shared" si="109"/>
        <v>0.04</v>
      </c>
      <c r="BC274" s="107">
        <f t="shared" si="109"/>
        <v>0.04</v>
      </c>
      <c r="BD274" s="107">
        <f t="shared" si="109"/>
        <v>0.04</v>
      </c>
      <c r="BE274" s="107">
        <f t="shared" si="109"/>
        <v>0.04</v>
      </c>
      <c r="BF274" s="107">
        <f t="shared" si="109"/>
        <v>0.04</v>
      </c>
      <c r="BG274" s="107">
        <f t="shared" si="109"/>
        <v>0.04</v>
      </c>
    </row>
    <row r="275" spans="1:59" ht="13.75" customHeight="1">
      <c r="A275" s="171" t="s">
        <v>166</v>
      </c>
      <c r="B275" s="165" t="s">
        <v>384</v>
      </c>
      <c r="C275" s="165"/>
      <c r="D275" s="165" t="s">
        <v>370</v>
      </c>
      <c r="E275" s="172"/>
      <c r="F275" s="168" t="s">
        <v>398</v>
      </c>
      <c r="G275" s="168" t="s">
        <v>3</v>
      </c>
      <c r="H275" s="173"/>
      <c r="I275" s="168" t="s">
        <v>399</v>
      </c>
      <c r="U275" s="107">
        <v>2.5999999999999999E-2</v>
      </c>
      <c r="V275" s="107">
        <v>8.3000000000000004E-2</v>
      </c>
      <c r="W275" s="107">
        <v>4.9000000000000002E-2</v>
      </c>
      <c r="X275" s="107">
        <v>3.7999999999999999E-2</v>
      </c>
      <c r="Y275" s="107">
        <v>7.4999999999999997E-2</v>
      </c>
      <c r="Z275" s="107">
        <v>5.5E-2</v>
      </c>
      <c r="AA275" s="107">
        <v>5.5E-2</v>
      </c>
      <c r="AB275" s="107">
        <v>3.0000000000000027E-2</v>
      </c>
      <c r="AC275" s="107">
        <v>3.0000000000000027E-2</v>
      </c>
      <c r="AD275" s="107">
        <v>3.0000000000000027E-2</v>
      </c>
      <c r="AE275" s="107">
        <v>4.2000000000000003E-2</v>
      </c>
      <c r="AF275" s="107">
        <v>0.10190546219510432</v>
      </c>
      <c r="AG275" s="107">
        <v>4.5499999999999652E-2</v>
      </c>
      <c r="AH275" s="107">
        <v>7.4825442372070894E-2</v>
      </c>
      <c r="AI275" s="107">
        <v>5.4854368932038877E-2</v>
      </c>
      <c r="AJ275" s="107">
        <f t="shared" ref="AJ275:BG275" si="110">AJ3</f>
        <v>0.04</v>
      </c>
      <c r="AK275" s="107">
        <f t="shared" si="110"/>
        <v>0.04</v>
      </c>
      <c r="AL275" s="107">
        <f t="shared" si="110"/>
        <v>0.04</v>
      </c>
      <c r="AM275" s="107">
        <f t="shared" si="110"/>
        <v>0.04</v>
      </c>
      <c r="AN275" s="107">
        <f t="shared" si="110"/>
        <v>0.04</v>
      </c>
      <c r="AO275" s="107">
        <f t="shared" si="110"/>
        <v>0.04</v>
      </c>
      <c r="AP275" s="107">
        <f t="shared" si="110"/>
        <v>0.04</v>
      </c>
      <c r="AQ275" s="107">
        <f t="shared" si="110"/>
        <v>0.04</v>
      </c>
      <c r="AR275" s="107">
        <f t="shared" si="110"/>
        <v>0.04</v>
      </c>
      <c r="AS275" s="107">
        <f t="shared" si="110"/>
        <v>0.04</v>
      </c>
      <c r="AT275" s="107">
        <f t="shared" si="110"/>
        <v>0.04</v>
      </c>
      <c r="AU275" s="107">
        <f t="shared" si="110"/>
        <v>0.04</v>
      </c>
      <c r="AV275" s="107">
        <f t="shared" si="110"/>
        <v>0.04</v>
      </c>
      <c r="AW275" s="107">
        <f t="shared" si="110"/>
        <v>0.04</v>
      </c>
      <c r="AX275" s="107">
        <f t="shared" si="110"/>
        <v>0.04</v>
      </c>
      <c r="AY275" s="107">
        <f t="shared" si="110"/>
        <v>0.04</v>
      </c>
      <c r="AZ275" s="107">
        <f t="shared" si="110"/>
        <v>0.04</v>
      </c>
      <c r="BA275" s="107">
        <f t="shared" si="110"/>
        <v>0.04</v>
      </c>
      <c r="BB275" s="107">
        <f t="shared" si="110"/>
        <v>0.04</v>
      </c>
      <c r="BC275" s="107">
        <f t="shared" si="110"/>
        <v>0.04</v>
      </c>
      <c r="BD275" s="107">
        <f t="shared" si="110"/>
        <v>0.04</v>
      </c>
      <c r="BE275" s="107">
        <f t="shared" si="110"/>
        <v>0.04</v>
      </c>
      <c r="BF275" s="107">
        <f t="shared" si="110"/>
        <v>0.04</v>
      </c>
      <c r="BG275" s="107">
        <f t="shared" si="110"/>
        <v>0.04</v>
      </c>
    </row>
    <row r="276" spans="1:59" ht="13.75" customHeight="1">
      <c r="A276" s="171" t="s">
        <v>166</v>
      </c>
      <c r="B276" s="165" t="s">
        <v>384</v>
      </c>
      <c r="C276" s="165"/>
      <c r="D276" s="165"/>
      <c r="E276" s="167"/>
      <c r="F276" s="168" t="s">
        <v>400</v>
      </c>
      <c r="G276" s="168" t="s">
        <v>219</v>
      </c>
      <c r="H276" s="168"/>
      <c r="I276" s="168"/>
      <c r="X276" s="110"/>
      <c r="Y276" s="110"/>
      <c r="Z276" s="110"/>
      <c r="AA276" s="110"/>
      <c r="AB276" s="110"/>
      <c r="AC276" s="110"/>
      <c r="AI276" s="116"/>
      <c r="AJ276" s="116"/>
      <c r="AK276" s="116"/>
      <c r="AL276" s="116"/>
      <c r="AM276" s="119"/>
      <c r="AN276" s="116"/>
      <c r="AO276" s="116"/>
      <c r="AP276" s="116"/>
      <c r="AQ276" s="116"/>
      <c r="AR276" s="116"/>
      <c r="AS276" s="116"/>
      <c r="AT276" s="116"/>
      <c r="AU276" s="116"/>
      <c r="AV276" s="116"/>
      <c r="AW276" s="116"/>
      <c r="AX276" s="116"/>
      <c r="AY276" s="116"/>
      <c r="AZ276" s="116"/>
      <c r="BA276" s="116"/>
      <c r="BB276" s="116"/>
      <c r="BC276" s="116"/>
      <c r="BD276" s="116"/>
      <c r="BE276" s="116"/>
      <c r="BF276" s="116"/>
      <c r="BG276" s="116"/>
    </row>
    <row r="277" spans="1:59" ht="13.75" customHeight="1">
      <c r="A277" s="171" t="s">
        <v>166</v>
      </c>
      <c r="B277" s="165" t="s">
        <v>384</v>
      </c>
      <c r="C277" s="165"/>
      <c r="D277" s="165"/>
      <c r="E277" s="167"/>
      <c r="F277" s="168" t="s">
        <v>401</v>
      </c>
      <c r="G277" s="109" t="s">
        <v>402</v>
      </c>
      <c r="H277" s="168"/>
      <c r="I277" s="168"/>
      <c r="X277" s="110"/>
      <c r="Y277" s="110"/>
      <c r="Z277" s="110"/>
      <c r="AA277" s="110"/>
      <c r="AB277" s="110"/>
      <c r="AC277" s="110"/>
      <c r="AI277" s="116"/>
      <c r="AJ277" s="116"/>
      <c r="AK277" s="116"/>
      <c r="AL277" s="116"/>
      <c r="AM277" s="119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  <c r="AX277" s="116"/>
      <c r="AY277" s="116"/>
      <c r="AZ277" s="116"/>
      <c r="BA277" s="116"/>
      <c r="BB277" s="116"/>
      <c r="BC277" s="116"/>
      <c r="BD277" s="116"/>
      <c r="BE277" s="116"/>
      <c r="BF277" s="116"/>
      <c r="BG277" s="116"/>
    </row>
    <row r="278" spans="1:59" ht="13.75" customHeight="1">
      <c r="A278" s="171" t="s">
        <v>166</v>
      </c>
      <c r="B278" s="165" t="s">
        <v>384</v>
      </c>
      <c r="C278" s="165"/>
      <c r="D278" s="165" t="s">
        <v>168</v>
      </c>
      <c r="E278" s="167"/>
      <c r="F278" s="168" t="s">
        <v>403</v>
      </c>
      <c r="G278" s="168" t="s">
        <v>3</v>
      </c>
      <c r="H278" s="168"/>
      <c r="I278" s="168" t="s">
        <v>404</v>
      </c>
      <c r="X278" s="107">
        <v>-8.9907334512494108E-2</v>
      </c>
      <c r="Y278" s="107">
        <v>-7.5158910121978062E-2</v>
      </c>
      <c r="Z278" s="107">
        <v>5.0000000000000001E-3</v>
      </c>
      <c r="AA278" s="107">
        <v>3.9646668079993397E-3</v>
      </c>
      <c r="AB278" s="107">
        <v>3.6513668429540846E-2</v>
      </c>
      <c r="AC278" s="107">
        <v>-4.2767156600441725E-3</v>
      </c>
      <c r="AD278" s="107">
        <v>0.22272701615451362</v>
      </c>
      <c r="AE278" s="107">
        <v>0.26066925864846024</v>
      </c>
      <c r="AF278" s="107">
        <v>0.14070611272980349</v>
      </c>
      <c r="AG278" s="107">
        <v>0.13827509923711689</v>
      </c>
      <c r="AH278" s="107">
        <v>7.5546176113794328E-2</v>
      </c>
      <c r="AI278" s="107">
        <v>-3.975847083104378E-2</v>
      </c>
      <c r="AJ278" s="107">
        <f>AJ3</f>
        <v>0.04</v>
      </c>
      <c r="AK278" s="107">
        <f t="shared" ref="AK278:BG278" si="111">AK3</f>
        <v>0.04</v>
      </c>
      <c r="AL278" s="107">
        <f t="shared" si="111"/>
        <v>0.04</v>
      </c>
      <c r="AM278" s="107">
        <f t="shared" si="111"/>
        <v>0.04</v>
      </c>
      <c r="AN278" s="107">
        <f t="shared" si="111"/>
        <v>0.04</v>
      </c>
      <c r="AO278" s="107">
        <f t="shared" si="111"/>
        <v>0.04</v>
      </c>
      <c r="AP278" s="107">
        <f t="shared" si="111"/>
        <v>0.04</v>
      </c>
      <c r="AQ278" s="107">
        <f t="shared" si="111"/>
        <v>0.04</v>
      </c>
      <c r="AR278" s="107">
        <f t="shared" si="111"/>
        <v>0.04</v>
      </c>
      <c r="AS278" s="107">
        <f t="shared" si="111"/>
        <v>0.04</v>
      </c>
      <c r="AT278" s="107">
        <f t="shared" si="111"/>
        <v>0.04</v>
      </c>
      <c r="AU278" s="107">
        <f t="shared" si="111"/>
        <v>0.04</v>
      </c>
      <c r="AV278" s="107">
        <f t="shared" si="111"/>
        <v>0.04</v>
      </c>
      <c r="AW278" s="107">
        <f t="shared" si="111"/>
        <v>0.04</v>
      </c>
      <c r="AX278" s="107">
        <f t="shared" si="111"/>
        <v>0.04</v>
      </c>
      <c r="AY278" s="107">
        <f t="shared" si="111"/>
        <v>0.04</v>
      </c>
      <c r="AZ278" s="107">
        <f t="shared" si="111"/>
        <v>0.04</v>
      </c>
      <c r="BA278" s="107">
        <f t="shared" si="111"/>
        <v>0.04</v>
      </c>
      <c r="BB278" s="107">
        <f t="shared" si="111"/>
        <v>0.04</v>
      </c>
      <c r="BC278" s="107">
        <f t="shared" si="111"/>
        <v>0.04</v>
      </c>
      <c r="BD278" s="107">
        <f t="shared" si="111"/>
        <v>0.04</v>
      </c>
      <c r="BE278" s="107">
        <f t="shared" si="111"/>
        <v>0.04</v>
      </c>
      <c r="BF278" s="107">
        <f t="shared" si="111"/>
        <v>0.04</v>
      </c>
      <c r="BG278" s="107">
        <f t="shared" si="111"/>
        <v>0.04</v>
      </c>
    </row>
    <row r="279" spans="1:59" ht="13.75" customHeight="1">
      <c r="A279" s="171" t="s">
        <v>166</v>
      </c>
      <c r="B279" s="165" t="s">
        <v>384</v>
      </c>
      <c r="C279" s="165"/>
      <c r="D279" s="165" t="s">
        <v>168</v>
      </c>
      <c r="E279" s="167"/>
      <c r="F279" s="168" t="s">
        <v>405</v>
      </c>
      <c r="G279" s="168" t="s">
        <v>3</v>
      </c>
      <c r="H279" s="168"/>
      <c r="I279" s="168" t="s">
        <v>404</v>
      </c>
      <c r="X279" s="107">
        <v>0.74933493123264094</v>
      </c>
      <c r="Y279" s="107">
        <v>7.1905055194522172E-2</v>
      </c>
      <c r="Z279" s="107">
        <v>-3.9E-2</v>
      </c>
      <c r="AA279" s="107">
        <v>4.641396119079455E-2</v>
      </c>
      <c r="AB279" s="107">
        <v>6.7068068989095231E-2</v>
      </c>
      <c r="AC279" s="107">
        <v>-4.4165400320902215E-2</v>
      </c>
      <c r="AD279" s="107">
        <v>0.23970448839968084</v>
      </c>
      <c r="AE279" s="107">
        <v>0.1842629472590076</v>
      </c>
      <c r="AF279" s="107">
        <v>0.12870713206233786</v>
      </c>
      <c r="AG279" s="107">
        <v>0.11765860969790753</v>
      </c>
      <c r="AH279" s="107">
        <v>0.10321247440378833</v>
      </c>
      <c r="AI279" s="107">
        <v>-6.0403549913449428E-2</v>
      </c>
      <c r="AJ279" s="107">
        <f>AJ3</f>
        <v>0.04</v>
      </c>
      <c r="AK279" s="107">
        <f t="shared" ref="AK279:BG279" si="112">AK3</f>
        <v>0.04</v>
      </c>
      <c r="AL279" s="107">
        <f t="shared" si="112"/>
        <v>0.04</v>
      </c>
      <c r="AM279" s="107">
        <f t="shared" si="112"/>
        <v>0.04</v>
      </c>
      <c r="AN279" s="107">
        <f t="shared" si="112"/>
        <v>0.04</v>
      </c>
      <c r="AO279" s="107">
        <f t="shared" si="112"/>
        <v>0.04</v>
      </c>
      <c r="AP279" s="107">
        <f t="shared" si="112"/>
        <v>0.04</v>
      </c>
      <c r="AQ279" s="107">
        <f t="shared" si="112"/>
        <v>0.04</v>
      </c>
      <c r="AR279" s="107">
        <f t="shared" si="112"/>
        <v>0.04</v>
      </c>
      <c r="AS279" s="107">
        <f t="shared" si="112"/>
        <v>0.04</v>
      </c>
      <c r="AT279" s="107">
        <f t="shared" si="112"/>
        <v>0.04</v>
      </c>
      <c r="AU279" s="107">
        <f t="shared" si="112"/>
        <v>0.04</v>
      </c>
      <c r="AV279" s="107">
        <f t="shared" si="112"/>
        <v>0.04</v>
      </c>
      <c r="AW279" s="107">
        <f t="shared" si="112"/>
        <v>0.04</v>
      </c>
      <c r="AX279" s="107">
        <f t="shared" si="112"/>
        <v>0.04</v>
      </c>
      <c r="AY279" s="107">
        <f t="shared" si="112"/>
        <v>0.04</v>
      </c>
      <c r="AZ279" s="107">
        <f t="shared" si="112"/>
        <v>0.04</v>
      </c>
      <c r="BA279" s="107">
        <f t="shared" si="112"/>
        <v>0.04</v>
      </c>
      <c r="BB279" s="107">
        <f t="shared" si="112"/>
        <v>0.04</v>
      </c>
      <c r="BC279" s="107">
        <f t="shared" si="112"/>
        <v>0.04</v>
      </c>
      <c r="BD279" s="107">
        <f t="shared" si="112"/>
        <v>0.04</v>
      </c>
      <c r="BE279" s="107">
        <f t="shared" si="112"/>
        <v>0.04</v>
      </c>
      <c r="BF279" s="107">
        <f t="shared" si="112"/>
        <v>0.04</v>
      </c>
      <c r="BG279" s="107">
        <f t="shared" si="112"/>
        <v>0.04</v>
      </c>
    </row>
    <row r="280" spans="1:59" ht="13.75" customHeight="1">
      <c r="A280" s="171" t="s">
        <v>166</v>
      </c>
      <c r="B280" s="165" t="s">
        <v>384</v>
      </c>
      <c r="C280" s="165"/>
      <c r="D280" s="165" t="s">
        <v>168</v>
      </c>
      <c r="E280" s="167"/>
      <c r="F280" s="168" t="s">
        <v>406</v>
      </c>
      <c r="G280" s="168" t="s">
        <v>3</v>
      </c>
      <c r="H280" s="168" t="s">
        <v>407</v>
      </c>
      <c r="I280" s="168" t="s">
        <v>408</v>
      </c>
      <c r="X280" s="107">
        <v>-4.0000000000000001E-3</v>
      </c>
      <c r="Y280" s="107">
        <v>1.7000000000000001E-2</v>
      </c>
      <c r="Z280" s="107">
        <v>5.0000000000000001E-3</v>
      </c>
      <c r="AA280" s="107">
        <v>1.6E-2</v>
      </c>
      <c r="AB280" s="107">
        <v>-1E-3</v>
      </c>
      <c r="AC280" s="107">
        <v>-2.3E-2</v>
      </c>
      <c r="AD280" s="107">
        <v>5.3999999999999999E-2</v>
      </c>
      <c r="AE280" s="107">
        <v>1.4999999999999999E-2</v>
      </c>
      <c r="AF280" s="107">
        <v>0.01</v>
      </c>
      <c r="AG280" s="107">
        <v>1.305333015412179E-2</v>
      </c>
      <c r="AH280" s="107">
        <v>9.4000000000000004E-3</v>
      </c>
      <c r="AI280" s="107">
        <v>9.4000000000000004E-3</v>
      </c>
      <c r="AJ280" s="107">
        <f t="shared" ref="AJ280:BG280" si="113">0.4823*AJ2-0.003</f>
        <v>4.2344999999999995E-3</v>
      </c>
      <c r="AK280" s="107">
        <f t="shared" si="113"/>
        <v>4.2344999999999995E-3</v>
      </c>
      <c r="AL280" s="107">
        <f t="shared" si="113"/>
        <v>4.2344999999999995E-3</v>
      </c>
      <c r="AM280" s="107">
        <f t="shared" si="113"/>
        <v>4.2344999999999995E-3</v>
      </c>
      <c r="AN280" s="107">
        <f t="shared" si="113"/>
        <v>4.2344999999999995E-3</v>
      </c>
      <c r="AO280" s="107">
        <f t="shared" si="113"/>
        <v>4.2344999999999995E-3</v>
      </c>
      <c r="AP280" s="107">
        <f t="shared" si="113"/>
        <v>4.2344999999999995E-3</v>
      </c>
      <c r="AQ280" s="107">
        <f t="shared" si="113"/>
        <v>4.2344999999999995E-3</v>
      </c>
      <c r="AR280" s="107">
        <f t="shared" si="113"/>
        <v>4.2344999999999995E-3</v>
      </c>
      <c r="AS280" s="107">
        <f t="shared" si="113"/>
        <v>4.2344999999999995E-3</v>
      </c>
      <c r="AT280" s="107">
        <f t="shared" si="113"/>
        <v>4.2344999999999995E-3</v>
      </c>
      <c r="AU280" s="107">
        <f t="shared" si="113"/>
        <v>4.2344999999999995E-3</v>
      </c>
      <c r="AV280" s="107">
        <f t="shared" si="113"/>
        <v>4.2344999999999995E-3</v>
      </c>
      <c r="AW280" s="107">
        <f t="shared" si="113"/>
        <v>4.2344999999999995E-3</v>
      </c>
      <c r="AX280" s="107">
        <f t="shared" si="113"/>
        <v>4.2344999999999995E-3</v>
      </c>
      <c r="AY280" s="107">
        <f t="shared" si="113"/>
        <v>4.2344999999999995E-3</v>
      </c>
      <c r="AZ280" s="107">
        <f t="shared" si="113"/>
        <v>4.2344999999999995E-3</v>
      </c>
      <c r="BA280" s="107">
        <f t="shared" si="113"/>
        <v>4.2344999999999995E-3</v>
      </c>
      <c r="BB280" s="107">
        <f t="shared" si="113"/>
        <v>4.2344999999999995E-3</v>
      </c>
      <c r="BC280" s="107">
        <f t="shared" si="113"/>
        <v>4.2344999999999995E-3</v>
      </c>
      <c r="BD280" s="107">
        <f t="shared" si="113"/>
        <v>4.2344999999999995E-3</v>
      </c>
      <c r="BE280" s="107">
        <f t="shared" si="113"/>
        <v>4.2344999999999995E-3</v>
      </c>
      <c r="BF280" s="107">
        <f t="shared" si="113"/>
        <v>4.2344999999999995E-3</v>
      </c>
      <c r="BG280" s="107">
        <f t="shared" si="113"/>
        <v>4.2344999999999995E-3</v>
      </c>
    </row>
    <row r="281" spans="1:59" ht="13.75" customHeight="1">
      <c r="A281" s="171" t="s">
        <v>166</v>
      </c>
      <c r="B281" s="165" t="s">
        <v>384</v>
      </c>
      <c r="C281" s="165"/>
      <c r="D281" s="165" t="s">
        <v>168</v>
      </c>
      <c r="E281" s="167"/>
      <c r="F281" s="168" t="s">
        <v>409</v>
      </c>
      <c r="G281" s="168" t="s">
        <v>3</v>
      </c>
      <c r="H281" s="168"/>
      <c r="I281" s="168" t="s">
        <v>410</v>
      </c>
      <c r="X281" s="107">
        <v>-1.2093974257885831E-2</v>
      </c>
      <c r="Y281" s="107">
        <v>4.267967941529216E-2</v>
      </c>
      <c r="Z281" s="107">
        <v>4.9139709037637758E-5</v>
      </c>
      <c r="AA281" s="107">
        <v>3.576433753584074E-2</v>
      </c>
      <c r="AB281" s="107">
        <v>3.2730681648099891E-2</v>
      </c>
      <c r="AC281" s="107">
        <v>-5.9838521525394817E-2</v>
      </c>
      <c r="AD281" s="107">
        <v>0.16034331952154934</v>
      </c>
      <c r="AE281" s="107">
        <v>0.03</v>
      </c>
      <c r="AF281" s="107">
        <v>0.106</v>
      </c>
      <c r="AG281" s="107">
        <v>5.8000000000000003E-2</v>
      </c>
      <c r="AH281" s="107">
        <v>7.3499999999999996E-2</v>
      </c>
      <c r="AI281" s="107">
        <v>5.3999999999999999E-2</v>
      </c>
      <c r="AJ281" s="107">
        <f>AJ242</f>
        <v>0.04</v>
      </c>
      <c r="AK281" s="107">
        <f t="shared" ref="AK281:BG281" si="114">AK242</f>
        <v>0.04</v>
      </c>
      <c r="AL281" s="107">
        <f t="shared" si="114"/>
        <v>0.04</v>
      </c>
      <c r="AM281" s="107">
        <f t="shared" si="114"/>
        <v>0.04</v>
      </c>
      <c r="AN281" s="107">
        <f t="shared" si="114"/>
        <v>0.04</v>
      </c>
      <c r="AO281" s="107">
        <f t="shared" si="114"/>
        <v>0.04</v>
      </c>
      <c r="AP281" s="107">
        <f t="shared" si="114"/>
        <v>0.04</v>
      </c>
      <c r="AQ281" s="107">
        <f t="shared" si="114"/>
        <v>0.04</v>
      </c>
      <c r="AR281" s="107">
        <f t="shared" si="114"/>
        <v>0.04</v>
      </c>
      <c r="AS281" s="107">
        <f t="shared" si="114"/>
        <v>0.04</v>
      </c>
      <c r="AT281" s="107">
        <f t="shared" si="114"/>
        <v>0.04</v>
      </c>
      <c r="AU281" s="107">
        <f t="shared" si="114"/>
        <v>0.04</v>
      </c>
      <c r="AV281" s="107">
        <f t="shared" si="114"/>
        <v>0.04</v>
      </c>
      <c r="AW281" s="107">
        <f t="shared" si="114"/>
        <v>0.04</v>
      </c>
      <c r="AX281" s="107">
        <f t="shared" si="114"/>
        <v>0.04</v>
      </c>
      <c r="AY281" s="107">
        <f t="shared" si="114"/>
        <v>0.04</v>
      </c>
      <c r="AZ281" s="107">
        <f t="shared" si="114"/>
        <v>0.04</v>
      </c>
      <c r="BA281" s="107">
        <f t="shared" si="114"/>
        <v>0.04</v>
      </c>
      <c r="BB281" s="107">
        <f t="shared" si="114"/>
        <v>0.04</v>
      </c>
      <c r="BC281" s="107">
        <f t="shared" si="114"/>
        <v>0.04</v>
      </c>
      <c r="BD281" s="107">
        <f t="shared" si="114"/>
        <v>0.04</v>
      </c>
      <c r="BE281" s="107">
        <f t="shared" si="114"/>
        <v>0.04</v>
      </c>
      <c r="BF281" s="107">
        <f t="shared" si="114"/>
        <v>0.04</v>
      </c>
      <c r="BG281" s="107">
        <f t="shared" si="114"/>
        <v>0.04</v>
      </c>
    </row>
    <row r="282" spans="1:59" ht="13.75" customHeight="1">
      <c r="A282" s="171" t="s">
        <v>166</v>
      </c>
      <c r="B282" s="165" t="s">
        <v>384</v>
      </c>
      <c r="C282" s="165"/>
      <c r="D282" s="165" t="s">
        <v>168</v>
      </c>
      <c r="E282" s="167"/>
      <c r="F282" s="168" t="s">
        <v>411</v>
      </c>
      <c r="G282" s="168" t="s">
        <v>3</v>
      </c>
      <c r="H282" s="168"/>
      <c r="I282" s="168" t="s">
        <v>412</v>
      </c>
      <c r="X282" s="107">
        <v>0.16249878597645373</v>
      </c>
      <c r="Y282" s="107">
        <v>-5.862435883193795E-2</v>
      </c>
      <c r="Z282" s="107">
        <v>6.0982983670252455E-3</v>
      </c>
      <c r="AA282" s="107">
        <v>3.3343640736278379E-2</v>
      </c>
      <c r="AB282" s="107">
        <v>1.7842083490067218E-3</v>
      </c>
      <c r="AC282" s="107">
        <v>-2.019905966827118E-2</v>
      </c>
      <c r="AD282" s="107">
        <v>7.1046017107086357E-2</v>
      </c>
      <c r="AE282" s="107">
        <v>0.24399999999999999</v>
      </c>
      <c r="AF282" s="123">
        <v>9.06E-2</v>
      </c>
      <c r="AG282" s="107">
        <v>2.7799999999999998E-2</v>
      </c>
      <c r="AH282" s="107">
        <v>4.0469040537844503E-2</v>
      </c>
      <c r="AI282" s="107">
        <v>4.0397863110355203E-2</v>
      </c>
      <c r="AJ282" s="107">
        <f t="shared" ref="AJ282:BG282" si="115">AJ3</f>
        <v>0.04</v>
      </c>
      <c r="AK282" s="107">
        <f t="shared" si="115"/>
        <v>0.04</v>
      </c>
      <c r="AL282" s="107">
        <f t="shared" si="115"/>
        <v>0.04</v>
      </c>
      <c r="AM282" s="107">
        <f t="shared" si="115"/>
        <v>0.04</v>
      </c>
      <c r="AN282" s="107">
        <f t="shared" si="115"/>
        <v>0.04</v>
      </c>
      <c r="AO282" s="107">
        <f t="shared" si="115"/>
        <v>0.04</v>
      </c>
      <c r="AP282" s="107">
        <f t="shared" si="115"/>
        <v>0.04</v>
      </c>
      <c r="AQ282" s="107">
        <f t="shared" si="115"/>
        <v>0.04</v>
      </c>
      <c r="AR282" s="107">
        <f t="shared" si="115"/>
        <v>0.04</v>
      </c>
      <c r="AS282" s="107">
        <f t="shared" si="115"/>
        <v>0.04</v>
      </c>
      <c r="AT282" s="107">
        <f t="shared" si="115"/>
        <v>0.04</v>
      </c>
      <c r="AU282" s="107">
        <f t="shared" si="115"/>
        <v>0.04</v>
      </c>
      <c r="AV282" s="107">
        <f t="shared" si="115"/>
        <v>0.04</v>
      </c>
      <c r="AW282" s="107">
        <f t="shared" si="115"/>
        <v>0.04</v>
      </c>
      <c r="AX282" s="107">
        <f t="shared" si="115"/>
        <v>0.04</v>
      </c>
      <c r="AY282" s="107">
        <f t="shared" si="115"/>
        <v>0.04</v>
      </c>
      <c r="AZ282" s="107">
        <f t="shared" si="115"/>
        <v>0.04</v>
      </c>
      <c r="BA282" s="107">
        <f t="shared" si="115"/>
        <v>0.04</v>
      </c>
      <c r="BB282" s="107">
        <f t="shared" si="115"/>
        <v>0.04</v>
      </c>
      <c r="BC282" s="107">
        <f t="shared" si="115"/>
        <v>0.04</v>
      </c>
      <c r="BD282" s="107">
        <f t="shared" si="115"/>
        <v>0.04</v>
      </c>
      <c r="BE282" s="107">
        <f t="shared" si="115"/>
        <v>0.04</v>
      </c>
      <c r="BF282" s="107">
        <f t="shared" si="115"/>
        <v>0.04</v>
      </c>
      <c r="BG282" s="107">
        <f t="shared" si="115"/>
        <v>0.04</v>
      </c>
    </row>
    <row r="283" spans="1:59" ht="13.75" customHeight="1" outlineLevel="1">
      <c r="A283" s="171"/>
      <c r="B283" s="165"/>
      <c r="C283" s="165"/>
      <c r="D283" s="165"/>
      <c r="E283" s="167"/>
      <c r="F283" s="168"/>
      <c r="G283" s="168"/>
      <c r="H283" s="168"/>
      <c r="I283" s="168"/>
      <c r="X283" s="109"/>
      <c r="Y283" s="109"/>
      <c r="Z283" s="109"/>
      <c r="AM283" s="119"/>
    </row>
    <row r="284" spans="1:59" ht="13.75" customHeight="1" outlineLevel="1">
      <c r="A284" s="171"/>
      <c r="B284" s="165"/>
      <c r="C284" s="165"/>
      <c r="D284" s="165"/>
      <c r="E284" s="167"/>
      <c r="F284" s="168"/>
      <c r="G284" s="168"/>
      <c r="H284" s="168"/>
      <c r="I284" s="168"/>
      <c r="X284" s="109"/>
      <c r="Y284" s="109"/>
      <c r="Z284" s="109"/>
      <c r="AM284" s="119"/>
    </row>
    <row r="285" spans="1:59" ht="13.75" customHeight="1" outlineLevel="1">
      <c r="A285" s="171"/>
      <c r="B285" s="165"/>
      <c r="C285" s="165"/>
      <c r="D285" s="165"/>
      <c r="E285" s="167"/>
      <c r="F285" s="168"/>
      <c r="G285" s="168"/>
      <c r="H285" s="168"/>
      <c r="I285" s="168"/>
      <c r="X285" s="109"/>
      <c r="Y285" s="109"/>
      <c r="Z285" s="109"/>
      <c r="AM285" s="119"/>
    </row>
    <row r="286" spans="1:59" ht="13.75" customHeight="1" outlineLevel="1">
      <c r="A286" s="171"/>
      <c r="B286" s="165"/>
      <c r="C286" s="165"/>
      <c r="D286" s="165"/>
      <c r="E286" s="167"/>
      <c r="F286" s="168"/>
      <c r="G286" s="168"/>
      <c r="H286" s="168"/>
      <c r="I286" s="168"/>
      <c r="X286" s="109"/>
      <c r="Y286" s="109"/>
      <c r="Z286" s="109"/>
      <c r="AM286" s="119"/>
    </row>
    <row r="287" spans="1:59" ht="13.75" customHeight="1" outlineLevel="1">
      <c r="A287" s="171"/>
      <c r="B287" s="165"/>
      <c r="C287" s="165"/>
      <c r="D287" s="165"/>
      <c r="E287" s="167"/>
      <c r="F287" s="168"/>
      <c r="G287" s="168"/>
      <c r="H287" s="168"/>
      <c r="I287" s="168"/>
      <c r="X287" s="109"/>
      <c r="Y287" s="109"/>
      <c r="Z287" s="109"/>
      <c r="AM287" s="119"/>
    </row>
    <row r="288" spans="1:59" ht="13.75" customHeight="1" outlineLevel="1">
      <c r="A288" s="171"/>
      <c r="B288" s="165"/>
      <c r="C288" s="165"/>
      <c r="D288" s="165"/>
      <c r="E288" s="167"/>
      <c r="F288" s="168"/>
      <c r="G288" s="168"/>
      <c r="H288" s="168"/>
      <c r="I288" s="168"/>
      <c r="X288" s="109"/>
      <c r="Y288" s="109"/>
      <c r="Z288" s="109"/>
      <c r="AM288" s="119"/>
    </row>
    <row r="289" spans="1:59" ht="13.75" customHeight="1" outlineLevel="1">
      <c r="A289" s="171"/>
      <c r="B289" s="165"/>
      <c r="C289" s="165"/>
      <c r="D289" s="165"/>
      <c r="E289" s="167"/>
      <c r="F289" s="168"/>
      <c r="G289" s="168"/>
      <c r="H289" s="168"/>
      <c r="I289" s="168"/>
      <c r="X289" s="109"/>
      <c r="Y289" s="109"/>
      <c r="Z289" s="109"/>
      <c r="AM289" s="119"/>
    </row>
    <row r="290" spans="1:59" ht="13.75" customHeight="1" outlineLevel="1">
      <c r="A290" s="171"/>
      <c r="B290" s="165"/>
      <c r="C290" s="165"/>
      <c r="D290" s="165"/>
      <c r="E290" s="167"/>
      <c r="F290" s="168"/>
      <c r="G290" s="168"/>
      <c r="H290" s="168"/>
      <c r="I290" s="168"/>
      <c r="X290" s="109"/>
      <c r="Y290" s="109"/>
      <c r="Z290" s="109"/>
      <c r="AM290" s="119"/>
    </row>
    <row r="291" spans="1:59" ht="13.75" customHeight="1" outlineLevel="1">
      <c r="A291" s="171"/>
      <c r="B291" s="165"/>
      <c r="C291" s="165"/>
      <c r="D291" s="165"/>
      <c r="E291" s="167"/>
      <c r="F291" s="168"/>
      <c r="G291" s="168"/>
      <c r="H291" s="168"/>
      <c r="I291" s="168"/>
      <c r="X291" s="109"/>
      <c r="Y291" s="109"/>
      <c r="Z291" s="109"/>
      <c r="AM291" s="119"/>
    </row>
    <row r="292" spans="1:59" ht="13.75" customHeight="1" outlineLevel="1">
      <c r="A292" s="171"/>
      <c r="B292" s="165"/>
      <c r="C292" s="165"/>
      <c r="D292" s="165"/>
      <c r="E292" s="167"/>
      <c r="F292" s="168"/>
      <c r="G292" s="168"/>
      <c r="H292" s="168"/>
      <c r="I292" s="168"/>
      <c r="X292" s="109"/>
      <c r="Y292" s="109"/>
      <c r="Z292" s="109"/>
      <c r="AM292" s="119"/>
    </row>
    <row r="293" spans="1:59" ht="13.75" customHeight="1" outlineLevel="1">
      <c r="A293" s="171"/>
      <c r="B293" s="165"/>
      <c r="C293" s="165"/>
      <c r="D293" s="165"/>
      <c r="E293" s="167"/>
      <c r="F293" s="168"/>
      <c r="G293" s="168"/>
      <c r="H293" s="168"/>
      <c r="I293" s="168"/>
      <c r="X293" s="109"/>
      <c r="Y293" s="109"/>
      <c r="Z293" s="109"/>
      <c r="AM293" s="119"/>
    </row>
    <row r="294" spans="1:59" ht="13.75" customHeight="1" outlineLevel="1">
      <c r="A294" s="171"/>
      <c r="B294" s="165"/>
      <c r="C294" s="165"/>
      <c r="D294" s="165"/>
      <c r="E294" s="167"/>
      <c r="F294" s="168"/>
      <c r="G294" s="168"/>
      <c r="H294" s="168"/>
      <c r="I294" s="168"/>
      <c r="X294" s="109"/>
      <c r="Y294" s="109"/>
      <c r="Z294" s="109"/>
      <c r="AM294" s="119"/>
    </row>
    <row r="295" spans="1:59" ht="13.75" customHeight="1" outlineLevel="1">
      <c r="A295" s="171"/>
      <c r="B295" s="165"/>
      <c r="C295" s="165"/>
      <c r="D295" s="165"/>
      <c r="E295" s="167"/>
      <c r="F295" s="168"/>
      <c r="G295" s="168"/>
      <c r="H295" s="168"/>
      <c r="I295" s="168"/>
      <c r="X295" s="109"/>
      <c r="Y295" s="109"/>
      <c r="Z295" s="109"/>
      <c r="AM295" s="119"/>
    </row>
    <row r="296" spans="1:59" ht="13.75" customHeight="1" outlineLevel="1">
      <c r="A296" s="171"/>
      <c r="B296" s="165"/>
      <c r="C296" s="165"/>
      <c r="D296" s="165"/>
      <c r="E296" s="167"/>
      <c r="F296" s="168"/>
      <c r="G296" s="168"/>
      <c r="H296" s="168"/>
      <c r="I296" s="168"/>
      <c r="X296" s="109"/>
      <c r="Y296" s="109"/>
      <c r="Z296" s="109"/>
      <c r="AM296" s="119"/>
    </row>
    <row r="297" spans="1:59" ht="13.75" customHeight="1" outlineLevel="1">
      <c r="A297" s="171"/>
      <c r="B297" s="165"/>
      <c r="C297" s="165"/>
      <c r="D297" s="165"/>
      <c r="E297" s="167"/>
      <c r="F297" s="168"/>
      <c r="G297" s="168"/>
      <c r="H297" s="168"/>
      <c r="I297" s="168"/>
      <c r="X297" s="109"/>
      <c r="Z297" s="109"/>
      <c r="AM297" s="119"/>
    </row>
    <row r="298" spans="1:59" ht="13.75" customHeight="1" outlineLevel="1">
      <c r="A298" s="171"/>
      <c r="B298" s="165"/>
      <c r="C298" s="165"/>
      <c r="D298" s="165"/>
      <c r="E298" s="167"/>
      <c r="F298" s="168"/>
      <c r="G298" s="168"/>
      <c r="H298" s="168"/>
      <c r="I298" s="168"/>
      <c r="X298" s="109"/>
      <c r="Y298" s="109"/>
      <c r="Z298" s="109"/>
      <c r="AM298" s="119"/>
    </row>
    <row r="299" spans="1:59" ht="13.75" customHeight="1" outlineLevel="1">
      <c r="A299" s="171"/>
      <c r="B299" s="165"/>
      <c r="C299" s="165"/>
      <c r="D299" s="165"/>
      <c r="E299" s="167"/>
      <c r="F299" s="168"/>
      <c r="G299" s="168"/>
      <c r="H299" s="168"/>
      <c r="I299" s="168"/>
      <c r="X299" s="109"/>
      <c r="Y299" s="109"/>
      <c r="Z299" s="109"/>
      <c r="AM299" s="119"/>
    </row>
    <row r="300" spans="1:59" ht="13.75" customHeight="1" outlineLevel="1">
      <c r="A300" s="171"/>
      <c r="B300" s="165"/>
      <c r="C300" s="165"/>
      <c r="D300" s="165"/>
      <c r="E300" s="167"/>
      <c r="F300" s="168"/>
      <c r="G300" s="168"/>
      <c r="H300" s="168"/>
      <c r="I300" s="168"/>
      <c r="X300" s="109"/>
      <c r="Y300" s="109"/>
      <c r="Z300" s="109"/>
      <c r="AM300" s="119"/>
    </row>
    <row r="301" spans="1:59" ht="13.75" customHeight="1" outlineLevel="1">
      <c r="A301" s="171"/>
      <c r="B301" s="165"/>
      <c r="C301" s="165"/>
      <c r="D301" s="165"/>
      <c r="E301" s="167"/>
      <c r="F301" s="168"/>
      <c r="G301" s="168"/>
      <c r="H301" s="168"/>
      <c r="I301" s="168"/>
      <c r="X301" s="109"/>
      <c r="Y301" s="109"/>
      <c r="Z301" s="109"/>
      <c r="AM301" s="119"/>
    </row>
    <row r="302" spans="1:59" ht="13.75" customHeight="1" outlineLevel="1">
      <c r="A302" s="171"/>
      <c r="B302" s="165"/>
      <c r="C302" s="165"/>
      <c r="D302" s="165"/>
      <c r="E302" s="167"/>
      <c r="F302" s="168"/>
      <c r="G302" s="168"/>
      <c r="H302" s="168"/>
      <c r="I302" s="168"/>
      <c r="X302" s="109"/>
      <c r="Y302" s="109"/>
      <c r="Z302" s="109"/>
      <c r="AM302" s="119"/>
    </row>
    <row r="303" spans="1:59" ht="13.75" customHeight="1">
      <c r="A303" s="171" t="s">
        <v>166</v>
      </c>
      <c r="B303" s="165" t="s">
        <v>413</v>
      </c>
      <c r="C303" s="165" t="s">
        <v>414</v>
      </c>
      <c r="D303" s="165" t="s">
        <v>168</v>
      </c>
      <c r="E303" s="167"/>
      <c r="F303" s="168" t="s">
        <v>415</v>
      </c>
      <c r="G303" s="168" t="s">
        <v>3</v>
      </c>
      <c r="H303" s="168"/>
      <c r="I303" s="168" t="s">
        <v>416</v>
      </c>
      <c r="X303" s="107">
        <v>3.3747481507627963E-2</v>
      </c>
      <c r="Y303" s="107">
        <v>-6.367098137471483E-2</v>
      </c>
      <c r="Z303" s="107">
        <v>0.20417103016517757</v>
      </c>
      <c r="AA303" s="107">
        <v>0.31192947621629585</v>
      </c>
      <c r="AB303" s="107">
        <v>7.073236948519801E-3</v>
      </c>
      <c r="AC303" s="107">
        <v>-0.24210144151463664</v>
      </c>
      <c r="AD303" s="107">
        <v>0.36774758093487891</v>
      </c>
      <c r="AE303" s="107">
        <v>0.42998681998709798</v>
      </c>
      <c r="AF303" s="107">
        <f>( (AF221*AF14)/(AE221*AE14) - 1 )*0.6145078+0.0279878</f>
        <v>3.2390024413411142E-2</v>
      </c>
      <c r="AG303" s="107">
        <f t="shared" ref="AG303:AY303" si="116">( (AG221*AG14)/(AF221*AF14) - 1 )*0.6145078+0.0279878</f>
        <v>4.9570081272279624E-2</v>
      </c>
      <c r="AH303" s="107">
        <f t="shared" si="116"/>
        <v>-9.9871215693178791E-3</v>
      </c>
      <c r="AI303" s="107">
        <f t="shared" si="116"/>
        <v>1.5213559566146629E-2</v>
      </c>
      <c r="AJ303" s="107">
        <f t="shared" si="116"/>
        <v>2.8747338157474156E-2</v>
      </c>
      <c r="AK303" s="107">
        <f t="shared" si="116"/>
        <v>4.0818448326599185E-2</v>
      </c>
      <c r="AL303" s="107">
        <f t="shared" si="116"/>
        <v>4.3207612773521156E-2</v>
      </c>
      <c r="AM303" s="107">
        <f t="shared" si="116"/>
        <v>4.3868604634502088E-2</v>
      </c>
      <c r="AN303" s="107">
        <f t="shared" si="116"/>
        <v>4.204145251574349E-2</v>
      </c>
      <c r="AO303" s="107">
        <f t="shared" si="116"/>
        <v>4.2112757079205906E-2</v>
      </c>
      <c r="AP303" s="107">
        <f t="shared" si="116"/>
        <v>4.2677513630765142E-2</v>
      </c>
      <c r="AQ303" s="107">
        <f t="shared" si="116"/>
        <v>4.2894260709018882E-2</v>
      </c>
      <c r="AR303" s="107">
        <f t="shared" si="116"/>
        <v>4.3305991977728067E-2</v>
      </c>
      <c r="AS303" s="107">
        <f t="shared" si="116"/>
        <v>4.2749904239737915E-2</v>
      </c>
      <c r="AT303" s="107">
        <f t="shared" si="116"/>
        <v>4.3123317595620742E-2</v>
      </c>
      <c r="AU303" s="107">
        <f t="shared" si="116"/>
        <v>4.3899113503198244E-2</v>
      </c>
      <c r="AV303" s="107">
        <f t="shared" si="116"/>
        <v>4.3928768411887156E-2</v>
      </c>
      <c r="AW303" s="107">
        <f t="shared" si="116"/>
        <v>4.4171939691422094E-2</v>
      </c>
      <c r="AX303" s="107">
        <f t="shared" si="116"/>
        <v>4.4680174066606626E-2</v>
      </c>
      <c r="AY303" s="107">
        <f t="shared" si="116"/>
        <v>4.4187894748783173E-2</v>
      </c>
      <c r="AZ303" s="107">
        <f>AY303</f>
        <v>4.4187894748783173E-2</v>
      </c>
      <c r="BA303" s="107">
        <f>AZ303</f>
        <v>4.4187894748783173E-2</v>
      </c>
      <c r="BB303" s="107">
        <f>BA303</f>
        <v>4.4187894748783173E-2</v>
      </c>
      <c r="BC303" s="107">
        <f t="shared" ref="BC303:BG303" si="117">BB303</f>
        <v>4.4187894748783173E-2</v>
      </c>
      <c r="BD303" s="107">
        <f t="shared" si="117"/>
        <v>4.4187894748783173E-2</v>
      </c>
      <c r="BE303" s="107">
        <f t="shared" si="117"/>
        <v>4.4187894748783173E-2</v>
      </c>
      <c r="BF303" s="107">
        <f t="shared" si="117"/>
        <v>4.4187894748783173E-2</v>
      </c>
      <c r="BG303" s="107">
        <f t="shared" si="117"/>
        <v>4.4187894748783173E-2</v>
      </c>
    </row>
    <row r="304" spans="1:59" ht="13.75" customHeight="1">
      <c r="A304" s="171" t="s">
        <v>166</v>
      </c>
      <c r="B304" s="165" t="s">
        <v>413</v>
      </c>
      <c r="C304" s="165" t="s">
        <v>417</v>
      </c>
      <c r="D304" s="165" t="s">
        <v>370</v>
      </c>
      <c r="E304" s="167"/>
      <c r="F304" s="168" t="s">
        <v>418</v>
      </c>
      <c r="G304" s="168" t="s">
        <v>3</v>
      </c>
      <c r="H304" s="168"/>
      <c r="I304" s="168" t="s">
        <v>419</v>
      </c>
      <c r="X304" s="107">
        <v>0.1</v>
      </c>
      <c r="Y304" s="107">
        <v>0.09</v>
      </c>
      <c r="Z304" s="107">
        <v>0.06</v>
      </c>
      <c r="AA304" s="107">
        <v>5.3999999999999999E-2</v>
      </c>
      <c r="AB304" s="107">
        <v>3.5000000000000003E-2</v>
      </c>
      <c r="AC304" s="107">
        <v>3.5000000000000003E-2</v>
      </c>
      <c r="AD304" s="107">
        <v>3.6999999999999998E-2</v>
      </c>
      <c r="AE304" s="107">
        <f>(1+5.8%)*5/12+(1+5.8%)*(1+11%)*7/12-1</f>
        <v>0.1258883333333336</v>
      </c>
      <c r="AF304" s="107">
        <v>0.13364986687548908</v>
      </c>
      <c r="AG304" s="107">
        <v>6.9228221265320133E-2</v>
      </c>
      <c r="AH304" s="107">
        <v>5.1999999999999824E-2</v>
      </c>
      <c r="AI304" s="107">
        <v>4.8000000000000265E-2</v>
      </c>
      <c r="AJ304" s="107">
        <f t="shared" ref="AJ304:BG304" si="118">AVERAGE(AI3:AL3)-0.1%</f>
        <v>3.8916411020415077E-2</v>
      </c>
      <c r="AK304" s="107">
        <f t="shared" si="118"/>
        <v>3.9E-2</v>
      </c>
      <c r="AL304" s="107">
        <f t="shared" si="118"/>
        <v>3.9E-2</v>
      </c>
      <c r="AM304" s="107">
        <f t="shared" si="118"/>
        <v>3.9E-2</v>
      </c>
      <c r="AN304" s="107">
        <f t="shared" si="118"/>
        <v>3.9E-2</v>
      </c>
      <c r="AO304" s="107">
        <f t="shared" si="118"/>
        <v>3.9E-2</v>
      </c>
      <c r="AP304" s="107">
        <f t="shared" si="118"/>
        <v>3.9E-2</v>
      </c>
      <c r="AQ304" s="107">
        <f t="shared" si="118"/>
        <v>3.9E-2</v>
      </c>
      <c r="AR304" s="107">
        <f t="shared" si="118"/>
        <v>3.9E-2</v>
      </c>
      <c r="AS304" s="107">
        <f t="shared" si="118"/>
        <v>3.9E-2</v>
      </c>
      <c r="AT304" s="107">
        <f t="shared" si="118"/>
        <v>3.9E-2</v>
      </c>
      <c r="AU304" s="107">
        <f t="shared" si="118"/>
        <v>3.9E-2</v>
      </c>
      <c r="AV304" s="107">
        <f t="shared" si="118"/>
        <v>3.9E-2</v>
      </c>
      <c r="AW304" s="107">
        <f t="shared" si="118"/>
        <v>3.9E-2</v>
      </c>
      <c r="AX304" s="107">
        <f t="shared" si="118"/>
        <v>3.9E-2</v>
      </c>
      <c r="AY304" s="107">
        <f t="shared" si="118"/>
        <v>3.9E-2</v>
      </c>
      <c r="AZ304" s="107">
        <f t="shared" si="118"/>
        <v>3.9E-2</v>
      </c>
      <c r="BA304" s="107">
        <f t="shared" si="118"/>
        <v>3.9E-2</v>
      </c>
      <c r="BB304" s="107">
        <f t="shared" si="118"/>
        <v>3.9E-2</v>
      </c>
      <c r="BC304" s="107">
        <f t="shared" si="118"/>
        <v>3.9E-2</v>
      </c>
      <c r="BD304" s="107">
        <f t="shared" si="118"/>
        <v>3.9E-2</v>
      </c>
      <c r="BE304" s="107">
        <f t="shared" si="118"/>
        <v>3.9E-2</v>
      </c>
      <c r="BF304" s="107">
        <f t="shared" si="118"/>
        <v>3.9E-2</v>
      </c>
      <c r="BG304" s="107">
        <f t="shared" si="118"/>
        <v>3.9E-2</v>
      </c>
    </row>
    <row r="305" spans="1:59" ht="12.75" customHeight="1">
      <c r="A305" s="171" t="s">
        <v>166</v>
      </c>
      <c r="B305" s="165" t="s">
        <v>413</v>
      </c>
      <c r="C305" s="165" t="s">
        <v>414</v>
      </c>
      <c r="D305" s="165" t="s">
        <v>377</v>
      </c>
      <c r="E305" s="167"/>
      <c r="F305" s="168" t="s">
        <v>420</v>
      </c>
      <c r="G305" s="168" t="s">
        <v>3</v>
      </c>
      <c r="H305" s="168"/>
      <c r="I305" s="168"/>
      <c r="X305" s="107">
        <v>0.18641641353332994</v>
      </c>
      <c r="Y305" s="107">
        <v>4.6254984157586332E-2</v>
      </c>
      <c r="Z305" s="107">
        <v>-4.3319361742664042E-2</v>
      </c>
      <c r="AA305" s="107">
        <v>0.22210136598235053</v>
      </c>
      <c r="AB305" s="107">
        <v>-2.6833832095734866E-2</v>
      </c>
      <c r="AC305" s="107">
        <v>1.9203122093317537E-2</v>
      </c>
      <c r="AD305" s="107">
        <v>0.28121996294532159</v>
      </c>
      <c r="AE305" s="107">
        <v>0.12</v>
      </c>
      <c r="AF305" s="107">
        <v>0.25</v>
      </c>
      <c r="AG305" s="107">
        <f>+AG3+3%</f>
        <v>9.3441420107429368E-2</v>
      </c>
      <c r="AH305" s="107">
        <f>+AH3+2%</f>
        <v>5.1589623425011263E-2</v>
      </c>
      <c r="AI305" s="107">
        <f>+AI3+1%</f>
        <v>4.9665644081660291E-2</v>
      </c>
      <c r="AJ305" s="107">
        <f t="shared" ref="AJ305:AM305" si="119">(1+( 30%* (1+(  (AJ194/AJ35) / (AI194/AI35) -1) ) +70% * (1+AJ29)-1 ) ) * (AJ15/AI15) -1</f>
        <v>3.550399999999998E-2</v>
      </c>
      <c r="AK305" s="107">
        <f t="shared" si="119"/>
        <v>3.5504000000000202E-2</v>
      </c>
      <c r="AL305" s="107">
        <f t="shared" si="119"/>
        <v>3.550399999999998E-2</v>
      </c>
      <c r="AM305" s="107">
        <f t="shared" si="119"/>
        <v>3.550399999999998E-2</v>
      </c>
      <c r="AN305" s="107">
        <f t="shared" ref="AN305:BG305" si="120">AM305</f>
        <v>3.550399999999998E-2</v>
      </c>
      <c r="AO305" s="107">
        <f t="shared" si="120"/>
        <v>3.550399999999998E-2</v>
      </c>
      <c r="AP305" s="107">
        <f t="shared" si="120"/>
        <v>3.550399999999998E-2</v>
      </c>
      <c r="AQ305" s="107">
        <f t="shared" si="120"/>
        <v>3.550399999999998E-2</v>
      </c>
      <c r="AR305" s="107">
        <f t="shared" si="120"/>
        <v>3.550399999999998E-2</v>
      </c>
      <c r="AS305" s="107">
        <f t="shared" si="120"/>
        <v>3.550399999999998E-2</v>
      </c>
      <c r="AT305" s="107">
        <f t="shared" si="120"/>
        <v>3.550399999999998E-2</v>
      </c>
      <c r="AU305" s="107">
        <f t="shared" si="120"/>
        <v>3.550399999999998E-2</v>
      </c>
      <c r="AV305" s="107">
        <f t="shared" si="120"/>
        <v>3.550399999999998E-2</v>
      </c>
      <c r="AW305" s="107">
        <f t="shared" si="120"/>
        <v>3.550399999999998E-2</v>
      </c>
      <c r="AX305" s="107">
        <f t="shared" si="120"/>
        <v>3.550399999999998E-2</v>
      </c>
      <c r="AY305" s="107">
        <f t="shared" si="120"/>
        <v>3.550399999999998E-2</v>
      </c>
      <c r="AZ305" s="107">
        <f t="shared" si="120"/>
        <v>3.550399999999998E-2</v>
      </c>
      <c r="BA305" s="107">
        <f t="shared" si="120"/>
        <v>3.550399999999998E-2</v>
      </c>
      <c r="BB305" s="107">
        <f t="shared" si="120"/>
        <v>3.550399999999998E-2</v>
      </c>
      <c r="BC305" s="107">
        <f t="shared" si="120"/>
        <v>3.550399999999998E-2</v>
      </c>
      <c r="BD305" s="107">
        <f t="shared" si="120"/>
        <v>3.550399999999998E-2</v>
      </c>
      <c r="BE305" s="107">
        <f t="shared" si="120"/>
        <v>3.550399999999998E-2</v>
      </c>
      <c r="BF305" s="107">
        <f t="shared" si="120"/>
        <v>3.550399999999998E-2</v>
      </c>
      <c r="BG305" s="107">
        <f t="shared" si="120"/>
        <v>3.550399999999998E-2</v>
      </c>
    </row>
    <row r="306" spans="1:59" ht="13.75" customHeight="1">
      <c r="A306" s="171" t="s">
        <v>166</v>
      </c>
      <c r="B306" s="165" t="s">
        <v>413</v>
      </c>
      <c r="C306" s="165" t="s">
        <v>414</v>
      </c>
      <c r="D306" s="165" t="s">
        <v>377</v>
      </c>
      <c r="E306" s="167"/>
      <c r="F306" s="168" t="s">
        <v>421</v>
      </c>
      <c r="G306" s="168" t="s">
        <v>3</v>
      </c>
      <c r="H306" s="168"/>
      <c r="I306" s="168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M306" s="107"/>
    </row>
    <row r="307" spans="1:59" ht="13.75" customHeight="1">
      <c r="A307" s="171" t="s">
        <v>166</v>
      </c>
      <c r="B307" s="165" t="s">
        <v>413</v>
      </c>
      <c r="C307" s="165" t="s">
        <v>414</v>
      </c>
      <c r="D307" s="165" t="s">
        <v>377</v>
      </c>
      <c r="E307" s="167"/>
      <c r="F307" s="168" t="s">
        <v>422</v>
      </c>
      <c r="G307" s="168" t="s">
        <v>3</v>
      </c>
      <c r="H307" s="168"/>
      <c r="I307" s="168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M307" s="107"/>
    </row>
    <row r="308" spans="1:59" ht="13.75" customHeight="1">
      <c r="A308" s="171" t="s">
        <v>166</v>
      </c>
      <c r="B308" s="165" t="s">
        <v>413</v>
      </c>
      <c r="C308" s="165" t="s">
        <v>414</v>
      </c>
      <c r="D308" s="165" t="s">
        <v>377</v>
      </c>
      <c r="E308" s="167"/>
      <c r="F308" s="168" t="s">
        <v>423</v>
      </c>
      <c r="G308" s="168" t="s">
        <v>3</v>
      </c>
      <c r="H308" s="168"/>
      <c r="I308" s="168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M308" s="107"/>
    </row>
    <row r="309" spans="1:59" ht="13.75" customHeight="1">
      <c r="A309" s="171" t="s">
        <v>166</v>
      </c>
      <c r="B309" s="165" t="s">
        <v>413</v>
      </c>
      <c r="C309" s="165" t="s">
        <v>414</v>
      </c>
      <c r="D309" s="165" t="s">
        <v>377</v>
      </c>
      <c r="E309" s="167"/>
      <c r="F309" s="168" t="s">
        <v>424</v>
      </c>
      <c r="G309" s="168" t="s">
        <v>3</v>
      </c>
      <c r="H309" s="168"/>
      <c r="I309" s="168"/>
      <c r="X309" s="107">
        <v>0.2075009965900525</v>
      </c>
      <c r="Y309" s="107">
        <v>3.2790867282390446E-2</v>
      </c>
      <c r="Z309" s="107">
        <v>-1.7093962834656695E-2</v>
      </c>
      <c r="AA309" s="107">
        <v>0.16711057079615532</v>
      </c>
      <c r="AB309" s="107">
        <v>-2.1613365283477126E-3</v>
      </c>
      <c r="AC309" s="107">
        <v>-1.9033351429433409E-2</v>
      </c>
      <c r="AD309" s="107">
        <v>0.24615027126061184</v>
      </c>
      <c r="AE309" s="107">
        <v>0.04</v>
      </c>
      <c r="AF309" s="107">
        <v>0.13</v>
      </c>
      <c r="AG309" s="107">
        <f>+AG3</f>
        <v>6.3441420107429369E-2</v>
      </c>
      <c r="AH309" s="107">
        <f>+AH3</f>
        <v>3.158962342501126E-2</v>
      </c>
      <c r="AI309" s="107">
        <f>+AI3</f>
        <v>3.966564408166029E-2</v>
      </c>
      <c r="AJ309" s="107">
        <f t="shared" ref="AJ309:AM309" si="121">30%* (1+( (AJ194*AJ14) / (AI194*AI14) - 1 ) ) + 36%*(AJ14/AI14) + 34%*(1+AJ3)-1</f>
        <v>2.8023999999999827E-2</v>
      </c>
      <c r="AK309" s="107">
        <f t="shared" si="121"/>
        <v>2.8023999999999827E-2</v>
      </c>
      <c r="AL309" s="107">
        <f t="shared" si="121"/>
        <v>2.8023999999999827E-2</v>
      </c>
      <c r="AM309" s="107">
        <f t="shared" si="121"/>
        <v>2.8023999999999827E-2</v>
      </c>
      <c r="AN309" s="107">
        <f t="shared" ref="AN309:BG309" si="122">AM309</f>
        <v>2.8023999999999827E-2</v>
      </c>
      <c r="AO309" s="107">
        <f t="shared" si="122"/>
        <v>2.8023999999999827E-2</v>
      </c>
      <c r="AP309" s="107">
        <f t="shared" si="122"/>
        <v>2.8023999999999827E-2</v>
      </c>
      <c r="AQ309" s="107">
        <f t="shared" si="122"/>
        <v>2.8023999999999827E-2</v>
      </c>
      <c r="AR309" s="107">
        <f t="shared" si="122"/>
        <v>2.8023999999999827E-2</v>
      </c>
      <c r="AS309" s="107">
        <f t="shared" si="122"/>
        <v>2.8023999999999827E-2</v>
      </c>
      <c r="AT309" s="107">
        <f t="shared" si="122"/>
        <v>2.8023999999999827E-2</v>
      </c>
      <c r="AU309" s="107">
        <f t="shared" si="122"/>
        <v>2.8023999999999827E-2</v>
      </c>
      <c r="AV309" s="107">
        <f t="shared" si="122"/>
        <v>2.8023999999999827E-2</v>
      </c>
      <c r="AW309" s="107">
        <f t="shared" si="122"/>
        <v>2.8023999999999827E-2</v>
      </c>
      <c r="AX309" s="107">
        <f t="shared" si="122"/>
        <v>2.8023999999999827E-2</v>
      </c>
      <c r="AY309" s="107">
        <f t="shared" si="122"/>
        <v>2.8023999999999827E-2</v>
      </c>
      <c r="AZ309" s="107">
        <f t="shared" si="122"/>
        <v>2.8023999999999827E-2</v>
      </c>
      <c r="BA309" s="107">
        <f t="shared" si="122"/>
        <v>2.8023999999999827E-2</v>
      </c>
      <c r="BB309" s="107">
        <f t="shared" si="122"/>
        <v>2.8023999999999827E-2</v>
      </c>
      <c r="BC309" s="107">
        <f t="shared" si="122"/>
        <v>2.8023999999999827E-2</v>
      </c>
      <c r="BD309" s="107">
        <f t="shared" si="122"/>
        <v>2.8023999999999827E-2</v>
      </c>
      <c r="BE309" s="107">
        <f t="shared" si="122"/>
        <v>2.8023999999999827E-2</v>
      </c>
      <c r="BF309" s="107">
        <f t="shared" si="122"/>
        <v>2.8023999999999827E-2</v>
      </c>
      <c r="BG309" s="107">
        <f t="shared" si="122"/>
        <v>2.8023999999999827E-2</v>
      </c>
    </row>
    <row r="310" spans="1:59" ht="13.75" customHeight="1">
      <c r="A310" s="171" t="s">
        <v>166</v>
      </c>
      <c r="B310" s="165" t="s">
        <v>413</v>
      </c>
      <c r="C310" s="165" t="s">
        <v>414</v>
      </c>
      <c r="D310" s="165" t="s">
        <v>377</v>
      </c>
      <c r="E310" s="167"/>
      <c r="F310" s="168" t="s">
        <v>425</v>
      </c>
      <c r="G310" s="168" t="s">
        <v>3</v>
      </c>
      <c r="H310" s="168"/>
      <c r="I310" s="168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M310" s="107"/>
    </row>
    <row r="311" spans="1:59" ht="13.75" customHeight="1">
      <c r="A311" s="171" t="s">
        <v>166</v>
      </c>
      <c r="B311" s="165" t="s">
        <v>413</v>
      </c>
      <c r="C311" s="165" t="s">
        <v>414</v>
      </c>
      <c r="D311" s="165" t="s">
        <v>377</v>
      </c>
      <c r="E311" s="167"/>
      <c r="F311" s="168" t="s">
        <v>426</v>
      </c>
      <c r="G311" s="168" t="s">
        <v>3</v>
      </c>
      <c r="H311" s="168"/>
      <c r="I311" s="168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M311" s="107"/>
    </row>
    <row r="312" spans="1:59" ht="13.75" customHeight="1">
      <c r="A312" s="171" t="s">
        <v>166</v>
      </c>
      <c r="B312" s="165" t="s">
        <v>413</v>
      </c>
      <c r="C312" s="165" t="s">
        <v>414</v>
      </c>
      <c r="D312" s="165" t="s">
        <v>377</v>
      </c>
      <c r="E312" s="167"/>
      <c r="F312" s="168" t="s">
        <v>427</v>
      </c>
      <c r="G312" s="168" t="s">
        <v>3</v>
      </c>
      <c r="H312" s="168"/>
      <c r="I312" s="168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M312" s="107"/>
    </row>
    <row r="313" spans="1:59" ht="13.75" customHeight="1">
      <c r="A313" s="171" t="s">
        <v>166</v>
      </c>
      <c r="B313" s="165" t="s">
        <v>413</v>
      </c>
      <c r="C313" s="165" t="s">
        <v>417</v>
      </c>
      <c r="D313" s="165" t="s">
        <v>168</v>
      </c>
      <c r="E313" s="167"/>
      <c r="F313" s="168" t="s">
        <v>428</v>
      </c>
      <c r="G313" s="168" t="s">
        <v>3</v>
      </c>
      <c r="H313" s="168"/>
      <c r="I313" s="168" t="s">
        <v>429</v>
      </c>
      <c r="X313" s="107">
        <v>2E-3</v>
      </c>
      <c r="Y313" s="107">
        <v>1.6E-2</v>
      </c>
      <c r="Z313" s="107">
        <v>6.3600000000000004E-2</v>
      </c>
      <c r="AA313" s="107">
        <v>4.4999999999999998E-2</v>
      </c>
      <c r="AB313" s="107">
        <v>1.5635285232225016E-3</v>
      </c>
      <c r="AC313" s="107">
        <v>-2.1681466958828333E-2</v>
      </c>
      <c r="AD313" s="107">
        <v>3.6999999999999998E-2</v>
      </c>
      <c r="AE313" s="107">
        <v>-9.4718496628043436E-4</v>
      </c>
      <c r="AF313" s="107">
        <f>AF547/6</f>
        <v>5.8345665123014784E-3</v>
      </c>
      <c r="AG313" s="107">
        <f>AG547/2</f>
        <v>1.2182631444200334E-2</v>
      </c>
      <c r="AH313" s="107">
        <f>AH547/1.5</f>
        <v>1.3211735727087634E-2</v>
      </c>
      <c r="AI313" s="107">
        <f t="shared" ref="AI313:BG313" si="123">AI547</f>
        <v>1.606032768761867E-2</v>
      </c>
      <c r="AJ313" s="107">
        <f t="shared" si="123"/>
        <v>1.4999999999999999E-2</v>
      </c>
      <c r="AK313" s="107">
        <f t="shared" si="123"/>
        <v>1.4999999999999999E-2</v>
      </c>
      <c r="AL313" s="107">
        <f t="shared" si="123"/>
        <v>1.4999999999999999E-2</v>
      </c>
      <c r="AM313" s="107">
        <f t="shared" si="123"/>
        <v>1.4999999999999999E-2</v>
      </c>
      <c r="AN313" s="107">
        <f t="shared" si="123"/>
        <v>1.4999999999999999E-2</v>
      </c>
      <c r="AO313" s="107">
        <f t="shared" si="123"/>
        <v>1.4999999999999999E-2</v>
      </c>
      <c r="AP313" s="107">
        <f t="shared" si="123"/>
        <v>1.4999999999999999E-2</v>
      </c>
      <c r="AQ313" s="107">
        <f t="shared" si="123"/>
        <v>1.4999999999999999E-2</v>
      </c>
      <c r="AR313" s="107">
        <f t="shared" si="123"/>
        <v>1.4999999999999999E-2</v>
      </c>
      <c r="AS313" s="107">
        <f t="shared" si="123"/>
        <v>1.4999999999999999E-2</v>
      </c>
      <c r="AT313" s="107">
        <f t="shared" si="123"/>
        <v>1.4999999999999999E-2</v>
      </c>
      <c r="AU313" s="107">
        <f t="shared" si="123"/>
        <v>1.4999999999999999E-2</v>
      </c>
      <c r="AV313" s="107">
        <f t="shared" si="123"/>
        <v>1.4999999999999999E-2</v>
      </c>
      <c r="AW313" s="107">
        <f t="shared" si="123"/>
        <v>1.4999999999999999E-2</v>
      </c>
      <c r="AX313" s="107">
        <f t="shared" si="123"/>
        <v>1.4999999999999999E-2</v>
      </c>
      <c r="AY313" s="107">
        <f t="shared" si="123"/>
        <v>1.4999999999999999E-2</v>
      </c>
      <c r="AZ313" s="107">
        <f t="shared" si="123"/>
        <v>1.4999999999999999E-2</v>
      </c>
      <c r="BA313" s="107">
        <f t="shared" si="123"/>
        <v>1.4999999999999999E-2</v>
      </c>
      <c r="BB313" s="107">
        <f t="shared" si="123"/>
        <v>1.4999999999999999E-2</v>
      </c>
      <c r="BC313" s="107">
        <f t="shared" si="123"/>
        <v>1.4999999999999999E-2</v>
      </c>
      <c r="BD313" s="107">
        <f t="shared" si="123"/>
        <v>1.4999999999999999E-2</v>
      </c>
      <c r="BE313" s="107">
        <f t="shared" si="123"/>
        <v>1.4999999999999999E-2</v>
      </c>
      <c r="BF313" s="107">
        <f t="shared" si="123"/>
        <v>1.4999999999999999E-2</v>
      </c>
      <c r="BG313" s="107">
        <f t="shared" si="123"/>
        <v>1.4999999999999999E-2</v>
      </c>
    </row>
    <row r="314" spans="1:59" ht="13.75" customHeight="1">
      <c r="A314" s="171" t="s">
        <v>166</v>
      </c>
      <c r="B314" s="165" t="s">
        <v>413</v>
      </c>
      <c r="C314" s="165" t="s">
        <v>430</v>
      </c>
      <c r="D314" s="165" t="s">
        <v>168</v>
      </c>
      <c r="E314" s="167"/>
      <c r="F314" s="168" t="s">
        <v>431</v>
      </c>
      <c r="G314" s="168" t="s">
        <v>432</v>
      </c>
      <c r="H314" s="168"/>
      <c r="I314" s="168"/>
      <c r="X314" s="133">
        <v>202.1</v>
      </c>
      <c r="Y314" s="133">
        <v>228</v>
      </c>
      <c r="Z314" s="133">
        <v>253.2</v>
      </c>
      <c r="AA314" s="133">
        <v>255.4</v>
      </c>
      <c r="AB314" s="133">
        <v>276.10000000000002</v>
      </c>
      <c r="AC314" s="133">
        <v>235.1</v>
      </c>
      <c r="AD314" s="133">
        <v>238.1</v>
      </c>
      <c r="AE314" s="133">
        <v>256.01420000000002</v>
      </c>
      <c r="AF314" s="133">
        <v>277.64873941763108</v>
      </c>
      <c r="AG314" s="133">
        <v>297.64786995569699</v>
      </c>
      <c r="AH314" s="133">
        <v>307.73155812406765</v>
      </c>
      <c r="AI314" s="133">
        <v>306.89622758572006</v>
      </c>
      <c r="AJ314" s="133">
        <v>302.69923952580768</v>
      </c>
      <c r="AK314" s="133">
        <v>298.54075725411138</v>
      </c>
      <c r="AL314" s="133">
        <v>294.41994999443739</v>
      </c>
      <c r="AM314" s="133">
        <v>290.33597149493681</v>
      </c>
      <c r="AN314" s="133">
        <v>286.11992224922693</v>
      </c>
      <c r="AO314" s="133">
        <v>281.93252657819295</v>
      </c>
      <c r="AP314" s="133">
        <v>277.77241127327329</v>
      </c>
      <c r="AQ314" s="133">
        <v>273.63813816430627</v>
      </c>
      <c r="AR314" s="133">
        <v>269.52819713255934</v>
      </c>
      <c r="AS314" s="133">
        <v>265.44099828128077</v>
      </c>
      <c r="AT314" s="133">
        <v>261.37486314178545</v>
      </c>
      <c r="AU314" s="133">
        <v>257.32801477248097</v>
      </c>
      <c r="AV314" s="133">
        <v>253.29856658364807</v>
      </c>
      <c r="AW314" s="133">
        <v>249.28450969130731</v>
      </c>
      <c r="AX314" s="133">
        <v>245.28369856805341</v>
      </c>
      <c r="AY314" s="133">
        <v>241.29383471592232</v>
      </c>
      <c r="AZ314" s="133">
        <v>237.31244803445188</v>
      </c>
      <c r="BA314" s="133">
        <v>233.33687549390021</v>
      </c>
      <c r="BB314" s="133">
        <v>229.36423664630075</v>
      </c>
      <c r="BC314" s="133">
        <v>225.39140541208243</v>
      </c>
      <c r="BD314" s="133">
        <v>221.41497746276355</v>
      </c>
      <c r="BE314" s="133">
        <v>217.43123237478059</v>
      </c>
      <c r="BF314" s="133">
        <v>213.43608954807524</v>
      </c>
      <c r="BG314" s="133">
        <v>209.42505665546466</v>
      </c>
    </row>
    <row r="315" spans="1:59" ht="13.75" customHeight="1">
      <c r="A315" s="171" t="s">
        <v>166</v>
      </c>
      <c r="B315" s="165" t="s">
        <v>413</v>
      </c>
      <c r="C315" s="165" t="s">
        <v>430</v>
      </c>
      <c r="D315" s="165" t="s">
        <v>168</v>
      </c>
      <c r="E315" s="167"/>
      <c r="F315" s="168" t="s">
        <v>433</v>
      </c>
      <c r="G315" s="168" t="s">
        <v>432</v>
      </c>
      <c r="H315" s="168"/>
      <c r="I315" s="168"/>
      <c r="X315" s="133">
        <v>146</v>
      </c>
      <c r="Y315" s="133">
        <v>140.69999999999999</v>
      </c>
      <c r="Z315" s="133">
        <v>141.6</v>
      </c>
      <c r="AA315" s="133">
        <v>145.1</v>
      </c>
      <c r="AB315" s="133">
        <v>149.9</v>
      </c>
      <c r="AC315" s="133">
        <v>142.6</v>
      </c>
      <c r="AD315" s="133">
        <v>146.69999999999999</v>
      </c>
      <c r="AE315" s="133">
        <v>138.6764</v>
      </c>
      <c r="AF315" s="133">
        <v>140.85633712393465</v>
      </c>
      <c r="AG315" s="133">
        <v>130.0885896911702</v>
      </c>
      <c r="AH315" s="133">
        <v>128.3961751280342</v>
      </c>
      <c r="AI315" s="133">
        <v>126.72044307973059</v>
      </c>
      <c r="AJ315" s="133">
        <v>125.60918983941414</v>
      </c>
      <c r="AK315" s="133">
        <v>124.50349286529931</v>
      </c>
      <c r="AL315" s="133">
        <v>123.40332437605505</v>
      </c>
      <c r="AM315" s="133">
        <v>122.308656729257</v>
      </c>
      <c r="AN315" s="133">
        <v>121.21946242069293</v>
      </c>
      <c r="AO315" s="133">
        <v>120.1357140836717</v>
      </c>
      <c r="AP315" s="133">
        <v>119.05738448833554</v>
      </c>
      <c r="AQ315" s="133">
        <v>117.98444654097611</v>
      </c>
      <c r="AR315" s="133">
        <v>116.91687328335345</v>
      </c>
      <c r="AS315" s="133">
        <v>115.8546378920189</v>
      </c>
      <c r="AT315" s="133">
        <v>114.79771367764101</v>
      </c>
      <c r="AU315" s="133">
        <v>113.74607408433502</v>
      </c>
      <c r="AV315" s="133">
        <v>112.69969268899555</v>
      </c>
      <c r="AW315" s="133">
        <v>111.65854320063281</v>
      </c>
      <c r="AX315" s="133">
        <v>110.62259945971186</v>
      </c>
      <c r="AY315" s="133">
        <v>109.59183543749549</v>
      </c>
      <c r="AZ315" s="133">
        <v>108.56622523539025</v>
      </c>
      <c r="BA315" s="133">
        <v>107.54574308429554</v>
      </c>
      <c r="BB315" s="133">
        <v>106.53036334395628</v>
      </c>
      <c r="BC315" s="133">
        <v>105.52006050231873</v>
      </c>
      <c r="BD315" s="133">
        <v>104.51480917488934</v>
      </c>
      <c r="BE315" s="133">
        <v>103.51458410409714</v>
      </c>
      <c r="BF315" s="133">
        <v>102.51936015865886</v>
      </c>
      <c r="BG315" s="133">
        <v>101.52911233294782</v>
      </c>
    </row>
    <row r="316" spans="1:59" ht="13.75" customHeight="1">
      <c r="A316" s="171" t="s">
        <v>166</v>
      </c>
      <c r="B316" s="165" t="s">
        <v>413</v>
      </c>
      <c r="C316" s="165" t="s">
        <v>430</v>
      </c>
      <c r="D316" s="165" t="s">
        <v>168</v>
      </c>
      <c r="E316" s="167"/>
      <c r="F316" s="168" t="s">
        <v>434</v>
      </c>
      <c r="G316" s="168" t="s">
        <v>432</v>
      </c>
      <c r="H316" s="168"/>
      <c r="I316" s="168"/>
      <c r="X316" s="133">
        <v>123.2</v>
      </c>
      <c r="Y316" s="133">
        <v>136.30000000000001</v>
      </c>
      <c r="Z316" s="133">
        <v>154.6</v>
      </c>
      <c r="AA316" s="133">
        <v>161.4</v>
      </c>
      <c r="AB316" s="133">
        <v>176</v>
      </c>
      <c r="AC316" s="133">
        <v>188.6</v>
      </c>
      <c r="AD316" s="133">
        <v>202.7</v>
      </c>
      <c r="AE316" s="133">
        <v>206.51589999999999</v>
      </c>
      <c r="AF316" s="133">
        <v>204.71418046070886</v>
      </c>
      <c r="AG316" s="133">
        <v>203.93192891107645</v>
      </c>
      <c r="AH316" s="133">
        <v>210.70156836380355</v>
      </c>
      <c r="AI316" s="133">
        <v>222.38645706584953</v>
      </c>
      <c r="AJ316" s="133">
        <v>222.14707777047968</v>
      </c>
      <c r="AK316" s="133">
        <v>222.17928353520338</v>
      </c>
      <c r="AL316" s="133">
        <v>221.59295050337366</v>
      </c>
      <c r="AM316" s="133">
        <v>221.61932826451161</v>
      </c>
      <c r="AN316" s="133">
        <v>221.60899063169404</v>
      </c>
      <c r="AO316" s="133">
        <v>221.59875004103927</v>
      </c>
      <c r="AP316" s="133">
        <v>221.58860653156708</v>
      </c>
      <c r="AQ316" s="133">
        <v>221.57856014383106</v>
      </c>
      <c r="AR316" s="133">
        <v>221.56019094653789</v>
      </c>
      <c r="AS316" s="133">
        <v>221.54187685683661</v>
      </c>
      <c r="AT316" s="133">
        <v>221.52361770940442</v>
      </c>
      <c r="AU316" s="133">
        <v>221.50541333941456</v>
      </c>
      <c r="AV316" s="133">
        <v>221.48726358253464</v>
      </c>
      <c r="AW316" s="133">
        <v>221.46916827492535</v>
      </c>
      <c r="AX316" s="133">
        <v>221.45112725323889</v>
      </c>
      <c r="AY316" s="133">
        <v>221.43314035461751</v>
      </c>
      <c r="AZ316" s="133">
        <v>221.41518598001559</v>
      </c>
      <c r="BA316" s="133">
        <v>221.39726407062298</v>
      </c>
      <c r="BB316" s="133">
        <v>221.37937456773594</v>
      </c>
      <c r="BC316" s="133">
        <f t="shared" ref="BC316:BG318" si="124">BB316*(1+((BB316-BA316)/BA316))</f>
        <v>221.36148651036953</v>
      </c>
      <c r="BD316" s="133">
        <f t="shared" si="124"/>
        <v>221.34359989840695</v>
      </c>
      <c r="BE316" s="133">
        <f t="shared" si="124"/>
        <v>221.32571473173141</v>
      </c>
      <c r="BF316" s="133">
        <f t="shared" si="124"/>
        <v>221.30783101022612</v>
      </c>
      <c r="BG316" s="133">
        <f t="shared" si="124"/>
        <v>221.28994873377431</v>
      </c>
    </row>
    <row r="317" spans="1:59" ht="13.75" customHeight="1">
      <c r="A317" s="171" t="s">
        <v>166</v>
      </c>
      <c r="B317" s="165" t="s">
        <v>413</v>
      </c>
      <c r="C317" s="165" t="s">
        <v>430</v>
      </c>
      <c r="D317" s="165" t="s">
        <v>168</v>
      </c>
      <c r="E317" s="167"/>
      <c r="F317" s="168" t="s">
        <v>435</v>
      </c>
      <c r="G317" s="168" t="s">
        <v>432</v>
      </c>
      <c r="H317" s="168"/>
      <c r="I317" s="168"/>
      <c r="X317" s="133">
        <v>26.2</v>
      </c>
      <c r="Y317" s="133">
        <v>28.2</v>
      </c>
      <c r="Z317" s="133">
        <v>28.3</v>
      </c>
      <c r="AA317" s="133">
        <v>30.4</v>
      </c>
      <c r="AB317" s="133">
        <v>26.7</v>
      </c>
      <c r="AC317" s="133">
        <v>26.9</v>
      </c>
      <c r="AD317" s="133">
        <v>29</v>
      </c>
      <c r="AE317" s="133">
        <v>24.466900000000003</v>
      </c>
      <c r="AF317" s="133">
        <v>24.891596713320009</v>
      </c>
      <c r="AG317" s="133">
        <v>25.30305509665801</v>
      </c>
      <c r="AH317" s="133">
        <v>26.05044674955775</v>
      </c>
      <c r="AI317" s="133">
        <v>26.820260152044483</v>
      </c>
      <c r="AJ317" s="133">
        <v>27.72447958732106</v>
      </c>
      <c r="AK317" s="133">
        <v>28.501584254648019</v>
      </c>
      <c r="AL317" s="133">
        <v>28.82648841189302</v>
      </c>
      <c r="AM317" s="133">
        <v>29.11085329601195</v>
      </c>
      <c r="AN317" s="133">
        <v>29.231902201590799</v>
      </c>
      <c r="AO317" s="133">
        <v>29.353556351697542</v>
      </c>
      <c r="AP317" s="133">
        <v>29.475818772554817</v>
      </c>
      <c r="AQ317" s="133">
        <v>29.598692505516379</v>
      </c>
      <c r="AR317" s="133">
        <v>29.598692505516379</v>
      </c>
      <c r="AS317" s="133">
        <v>29.598692505516379</v>
      </c>
      <c r="AT317" s="133">
        <v>29.598692505516379</v>
      </c>
      <c r="AU317" s="133">
        <v>29.598692505516379</v>
      </c>
      <c r="AV317" s="133">
        <v>29.598692505516379</v>
      </c>
      <c r="AW317" s="133">
        <v>29.598692505516379</v>
      </c>
      <c r="AX317" s="133">
        <v>29.598692505516379</v>
      </c>
      <c r="AY317" s="133">
        <v>29.598692505516379</v>
      </c>
      <c r="AZ317" s="133">
        <v>29.598692505516379</v>
      </c>
      <c r="BA317" s="133">
        <v>29.598692505516379</v>
      </c>
      <c r="BB317" s="133">
        <v>29.598692505516379</v>
      </c>
      <c r="BC317" s="133">
        <f t="shared" si="124"/>
        <v>29.598692505516379</v>
      </c>
      <c r="BD317" s="133">
        <f t="shared" si="124"/>
        <v>29.598692505516379</v>
      </c>
      <c r="BE317" s="133">
        <f t="shared" si="124"/>
        <v>29.598692505516379</v>
      </c>
      <c r="BF317" s="133">
        <f t="shared" si="124"/>
        <v>29.598692505516379</v>
      </c>
      <c r="BG317" s="133">
        <f t="shared" si="124"/>
        <v>29.598692505516379</v>
      </c>
    </row>
    <row r="318" spans="1:59" ht="13.75" customHeight="1">
      <c r="A318" s="171" t="s">
        <v>166</v>
      </c>
      <c r="B318" s="165" t="s">
        <v>413</v>
      </c>
      <c r="C318" s="165" t="s">
        <v>430</v>
      </c>
      <c r="D318" s="165" t="s">
        <v>168</v>
      </c>
      <c r="E318" s="167"/>
      <c r="F318" s="168" t="s">
        <v>436</v>
      </c>
      <c r="G318" s="168" t="s">
        <v>437</v>
      </c>
      <c r="H318" s="168"/>
      <c r="I318" s="168"/>
      <c r="W318" s="120">
        <v>5273093</v>
      </c>
      <c r="X318" s="128">
        <v>3942884</v>
      </c>
      <c r="Y318" s="128">
        <v>3989275</v>
      </c>
      <c r="Z318" s="128">
        <v>4615042</v>
      </c>
      <c r="AA318" s="128">
        <v>5080861</v>
      </c>
      <c r="AB318" s="128">
        <v>5314942</v>
      </c>
      <c r="AC318" s="128">
        <v>5304930</v>
      </c>
      <c r="AD318" s="128">
        <v>5631509</v>
      </c>
      <c r="AE318" s="128">
        <v>4314289</v>
      </c>
      <c r="AF318" s="128">
        <v>4961432.3499999987</v>
      </c>
      <c r="AG318" s="128">
        <v>5457575.585</v>
      </c>
      <c r="AH318" s="128">
        <v>5894181.6318000006</v>
      </c>
      <c r="AI318" s="128">
        <v>6306774.3460260015</v>
      </c>
      <c r="AJ318" s="128">
        <v>6685180.8067875616</v>
      </c>
      <c r="AK318" s="128">
        <v>7019439.8471269412</v>
      </c>
      <c r="AL318" s="128">
        <v>7300217.4410120184</v>
      </c>
      <c r="AM318" s="128">
        <v>7592226.1386524998</v>
      </c>
      <c r="AN318" s="128">
        <v>7895915.1841986002</v>
      </c>
      <c r="AO318" s="128">
        <v>8211751.7915665433</v>
      </c>
      <c r="AP318" s="128">
        <v>8540221.8632292058</v>
      </c>
      <c r="AQ318" s="128">
        <v>8881830.7377583738</v>
      </c>
      <c r="AR318" s="128">
        <v>9237103.967268711</v>
      </c>
      <c r="AS318" s="128">
        <v>9606588.1259594597</v>
      </c>
      <c r="AT318" s="128">
        <v>9990851.650997838</v>
      </c>
      <c r="AU318" s="128">
        <v>10390485.717037752</v>
      </c>
      <c r="AV318" s="128">
        <v>10806105.145719264</v>
      </c>
      <c r="AW318" s="128">
        <v>11238349.351548035</v>
      </c>
      <c r="AX318" s="128">
        <v>11687883.325609956</v>
      </c>
      <c r="AY318" s="128">
        <v>12155398.658634355</v>
      </c>
      <c r="AZ318" s="128">
        <v>12641614.604979731</v>
      </c>
      <c r="BA318" s="128">
        <v>13147279.189178921</v>
      </c>
      <c r="BB318" s="128">
        <v>13673170.356746078</v>
      </c>
      <c r="BC318" s="128">
        <f t="shared" si="124"/>
        <v>14220097.171015922</v>
      </c>
      <c r="BD318" s="128">
        <f t="shared" si="124"/>
        <v>14788901.05785656</v>
      </c>
      <c r="BE318" s="128">
        <f t="shared" si="124"/>
        <v>15380457.100170823</v>
      </c>
      <c r="BF318" s="128">
        <f t="shared" si="124"/>
        <v>15995675.384177657</v>
      </c>
      <c r="BG318" s="128">
        <f t="shared" si="124"/>
        <v>16635502.399544764</v>
      </c>
    </row>
    <row r="319" spans="1:59" ht="13.75" customHeight="1">
      <c r="A319" s="171" t="s">
        <v>166</v>
      </c>
      <c r="B319" s="165" t="s">
        <v>413</v>
      </c>
      <c r="C319" s="165" t="s">
        <v>430</v>
      </c>
      <c r="D319" s="165" t="s">
        <v>168</v>
      </c>
      <c r="E319" s="167"/>
      <c r="F319" s="168" t="s">
        <v>438</v>
      </c>
      <c r="G319" s="168" t="s">
        <v>3</v>
      </c>
      <c r="H319" s="168"/>
      <c r="I319" s="168"/>
      <c r="X319" s="107">
        <v>8.5498877125441242E-2</v>
      </c>
      <c r="Y319" s="107">
        <v>6.6794739175410234E-2</v>
      </c>
      <c r="Z319" s="107">
        <v>8.9901648427759939E-2</v>
      </c>
      <c r="AA319" s="107">
        <v>3.7747839349262957E-2</v>
      </c>
      <c r="AB319" s="107">
        <v>2.9148805878750794E-2</v>
      </c>
      <c r="AC319" s="107">
        <v>-2.320599785790789E-2</v>
      </c>
      <c r="AD319" s="107">
        <v>1.7543859649122862E-2</v>
      </c>
      <c r="AE319" s="155">
        <v>7.2303456434856805E-3</v>
      </c>
      <c r="AF319" s="155">
        <v>8.3956466950710684E-2</v>
      </c>
      <c r="AG319" s="155">
        <v>2.0815765311842149E-2</v>
      </c>
      <c r="AH319" s="155">
        <v>2.7671802960848479E-2</v>
      </c>
      <c r="AI319" s="155">
        <v>2.5985217834063601E-2</v>
      </c>
      <c r="AJ319" s="155">
        <v>9.1925429413246551E-3</v>
      </c>
      <c r="AK319" s="155">
        <v>1.036799373051811E-2</v>
      </c>
      <c r="AL319" s="155">
        <v>4.0432982208584711E-3</v>
      </c>
      <c r="AM319" s="155">
        <v>6.9909698798917841E-3</v>
      </c>
      <c r="AN319" s="155">
        <v>5.5482684464371879E-3</v>
      </c>
      <c r="AO319" s="155">
        <v>5.4074181911021313E-3</v>
      </c>
      <c r="AP319" s="155">
        <v>5.7510660222266363E-3</v>
      </c>
      <c r="AQ319" s="155">
        <v>5.209205164476538E-3</v>
      </c>
      <c r="AR319" s="155">
        <v>5.4151684201033667E-3</v>
      </c>
      <c r="AS319" s="155">
        <v>5.7548300253920104E-3</v>
      </c>
      <c r="AT319" s="155">
        <v>6.0998960408837899E-3</v>
      </c>
      <c r="AU319" s="155">
        <v>6.4502379280455546E-3</v>
      </c>
      <c r="AV319" s="155">
        <v>6.8057095790052813E-3</v>
      </c>
      <c r="AW319" s="155">
        <v>7.1661464324352941E-3</v>
      </c>
      <c r="AX319" s="155">
        <v>6.511498020395079E-3</v>
      </c>
      <c r="AY319" s="155">
        <v>6.9345951269170758E-3</v>
      </c>
      <c r="AZ319" s="155">
        <v>7.3092962274916573E-3</v>
      </c>
      <c r="BA319" s="155">
        <v>7.6891851010465473E-3</v>
      </c>
      <c r="BB319" s="155">
        <v>8.0740031449193506E-3</v>
      </c>
      <c r="BC319" s="155">
        <v>8.4634625031521082E-3</v>
      </c>
      <c r="BD319" s="155">
        <v>8.8572440019727416E-3</v>
      </c>
      <c r="BE319" s="155">
        <v>9.2549947763584939E-3</v>
      </c>
      <c r="BF319" s="155">
        <v>9.656325504363128E-3</v>
      </c>
      <c r="BG319" s="155">
        <v>1.0060807143128292E-2</v>
      </c>
    </row>
    <row r="320" spans="1:59" s="131" customFormat="1" ht="13.75" customHeight="1">
      <c r="A320" s="171" t="s">
        <v>166</v>
      </c>
      <c r="B320" s="165" t="s">
        <v>413</v>
      </c>
      <c r="C320" s="165" t="s">
        <v>414</v>
      </c>
      <c r="D320" s="165" t="s">
        <v>168</v>
      </c>
      <c r="E320" s="167"/>
      <c r="F320" s="168" t="s">
        <v>439</v>
      </c>
      <c r="G320" s="168" t="s">
        <v>3</v>
      </c>
      <c r="H320" s="168"/>
      <c r="I320" s="168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16"/>
      <c r="X320" s="107">
        <v>-4.0349339024561059E-2</v>
      </c>
      <c r="Y320" s="107">
        <v>-4.2060227229930192E-2</v>
      </c>
      <c r="Z320" s="107">
        <v>0.2056361280388681</v>
      </c>
      <c r="AA320" s="107">
        <v>0.11029572183023761</v>
      </c>
      <c r="AB320" s="107">
        <v>7.2747588646600692E-2</v>
      </c>
      <c r="AC320" s="107">
        <v>-0.50243841349415264</v>
      </c>
      <c r="AD320" s="107">
        <v>0.59464380596900557</v>
      </c>
      <c r="AE320" s="107">
        <v>-7.6427055101379482E-2</v>
      </c>
      <c r="AF320" s="107">
        <v>0.12657407407407417</v>
      </c>
      <c r="AG320" s="107">
        <v>5.6710775047259077E-2</v>
      </c>
      <c r="AH320" s="107">
        <v>4.9389437660418478E-2</v>
      </c>
      <c r="AI320" s="107">
        <v>4.4100207530388236E-2</v>
      </c>
      <c r="AJ320" s="107">
        <v>3.9043089373181017E-2</v>
      </c>
      <c r="AK320" s="107">
        <v>3.7576006012161045E-2</v>
      </c>
      <c r="AL320" s="107">
        <v>3.2922894580891482E-2</v>
      </c>
      <c r="AM320" s="107">
        <v>3.1236055332440671E-2</v>
      </c>
      <c r="AN320" s="107">
        <v>0.03</v>
      </c>
      <c r="AO320" s="107">
        <f t="shared" ref="AO320:AZ320" si="125">AN320</f>
        <v>0.03</v>
      </c>
      <c r="AP320" s="107">
        <f t="shared" si="125"/>
        <v>0.03</v>
      </c>
      <c r="AQ320" s="107">
        <f t="shared" si="125"/>
        <v>0.03</v>
      </c>
      <c r="AR320" s="107">
        <f t="shared" si="125"/>
        <v>0.03</v>
      </c>
      <c r="AS320" s="107">
        <f t="shared" si="125"/>
        <v>0.03</v>
      </c>
      <c r="AT320" s="107">
        <f t="shared" si="125"/>
        <v>0.03</v>
      </c>
      <c r="AU320" s="107">
        <f t="shared" si="125"/>
        <v>0.03</v>
      </c>
      <c r="AV320" s="107">
        <f t="shared" si="125"/>
        <v>0.03</v>
      </c>
      <c r="AW320" s="107">
        <f t="shared" si="125"/>
        <v>0.03</v>
      </c>
      <c r="AX320" s="107">
        <f t="shared" si="125"/>
        <v>0.03</v>
      </c>
      <c r="AY320" s="107">
        <f t="shared" si="125"/>
        <v>0.03</v>
      </c>
      <c r="AZ320" s="107">
        <f t="shared" si="125"/>
        <v>0.03</v>
      </c>
      <c r="BA320" s="107">
        <f>AZ320</f>
        <v>0.03</v>
      </c>
      <c r="BB320" s="107">
        <f>BA320</f>
        <v>0.03</v>
      </c>
      <c r="BC320" s="107">
        <f t="shared" ref="BC320:BG320" si="126">BB320</f>
        <v>0.03</v>
      </c>
      <c r="BD320" s="107">
        <f t="shared" si="126"/>
        <v>0.03</v>
      </c>
      <c r="BE320" s="107">
        <f t="shared" si="126"/>
        <v>0.03</v>
      </c>
      <c r="BF320" s="107">
        <f t="shared" si="126"/>
        <v>0.03</v>
      </c>
      <c r="BG320" s="107">
        <f t="shared" si="126"/>
        <v>0.03</v>
      </c>
    </row>
    <row r="321" spans="1:59" ht="13.75" customHeight="1">
      <c r="A321" s="171" t="s">
        <v>166</v>
      </c>
      <c r="B321" s="165" t="s">
        <v>413</v>
      </c>
      <c r="C321" s="165" t="s">
        <v>417</v>
      </c>
      <c r="D321" s="165" t="s">
        <v>168</v>
      </c>
      <c r="E321" s="167"/>
      <c r="F321" s="168" t="s">
        <v>440</v>
      </c>
      <c r="G321" s="168" t="s">
        <v>441</v>
      </c>
      <c r="H321" s="168"/>
      <c r="I321" s="168"/>
      <c r="X321" s="128">
        <v>450</v>
      </c>
      <c r="Y321" s="128">
        <v>697.91666666666663</v>
      </c>
      <c r="Z321" s="128">
        <v>1327.0833333333333</v>
      </c>
      <c r="AA321" s="128">
        <v>1750</v>
      </c>
      <c r="AB321" s="128">
        <v>1773.6250000000002</v>
      </c>
      <c r="AC321" s="128">
        <v>912.5</v>
      </c>
      <c r="AD321" s="128">
        <v>972.91666666666663</v>
      </c>
      <c r="AE321" s="128">
        <v>1518.75</v>
      </c>
      <c r="AF321" s="128">
        <v>1950</v>
      </c>
      <c r="AG321" s="128">
        <v>2000</v>
      </c>
      <c r="AH321" s="128">
        <f>AG321*(1+AH5)</f>
        <v>2042.5398071412224</v>
      </c>
      <c r="AI321" s="128">
        <f t="shared" ref="AI321:BG321" si="127">AH321*(1+AI5)</f>
        <v>2116.8611265020577</v>
      </c>
      <c r="AJ321" s="128">
        <f t="shared" si="127"/>
        <v>2201.5355715621399</v>
      </c>
      <c r="AK321" s="128">
        <f t="shared" si="127"/>
        <v>2289.5969944246258</v>
      </c>
      <c r="AL321" s="128">
        <f t="shared" si="127"/>
        <v>2381.180874201611</v>
      </c>
      <c r="AM321" s="128">
        <f t="shared" si="127"/>
        <v>2476.4281091696757</v>
      </c>
      <c r="AN321" s="128">
        <f t="shared" si="127"/>
        <v>2575.4852335364631</v>
      </c>
      <c r="AO321" s="128">
        <f t="shared" si="127"/>
        <v>2678.5046428779215</v>
      </c>
      <c r="AP321" s="128">
        <f t="shared" si="127"/>
        <v>2785.6448285930383</v>
      </c>
      <c r="AQ321" s="128">
        <f t="shared" si="127"/>
        <v>2897.0706217367597</v>
      </c>
      <c r="AR321" s="128">
        <f t="shared" si="127"/>
        <v>3012.95344660623</v>
      </c>
      <c r="AS321" s="128">
        <f t="shared" si="127"/>
        <v>3133.4715844704792</v>
      </c>
      <c r="AT321" s="128">
        <f t="shared" si="127"/>
        <v>3258.8104478492987</v>
      </c>
      <c r="AU321" s="128">
        <f t="shared" si="127"/>
        <v>3389.1628657632709</v>
      </c>
      <c r="AV321" s="128">
        <f t="shared" si="127"/>
        <v>3524.7293803938019</v>
      </c>
      <c r="AW321" s="128">
        <f t="shared" si="127"/>
        <v>3665.7185556095542</v>
      </c>
      <c r="AX321" s="128">
        <f t="shared" si="127"/>
        <v>3812.3472978339364</v>
      </c>
      <c r="AY321" s="128">
        <f t="shared" si="127"/>
        <v>3964.8411897472938</v>
      </c>
      <c r="AZ321" s="128">
        <f t="shared" si="127"/>
        <v>4123.4348373371859</v>
      </c>
      <c r="BA321" s="128">
        <f t="shared" si="127"/>
        <v>4288.3722308306733</v>
      </c>
      <c r="BB321" s="128">
        <f t="shared" si="127"/>
        <v>4459.9071200639</v>
      </c>
      <c r="BC321" s="128">
        <f t="shared" si="127"/>
        <v>4638.3034048664558</v>
      </c>
      <c r="BD321" s="128">
        <f t="shared" si="127"/>
        <v>4823.8355410611139</v>
      </c>
      <c r="BE321" s="128">
        <f t="shared" si="127"/>
        <v>5016.7889627035584</v>
      </c>
      <c r="BF321" s="128">
        <f t="shared" si="127"/>
        <v>5217.4605212117012</v>
      </c>
      <c r="BG321" s="128">
        <f t="shared" si="127"/>
        <v>5426.1589420601695</v>
      </c>
    </row>
    <row r="322" spans="1:59" ht="13.75" customHeight="1">
      <c r="A322" s="171" t="s">
        <v>166</v>
      </c>
      <c r="B322" s="165" t="s">
        <v>413</v>
      </c>
      <c r="C322" s="165" t="s">
        <v>417</v>
      </c>
      <c r="D322" s="165" t="s">
        <v>168</v>
      </c>
      <c r="E322" s="167"/>
      <c r="F322" s="168" t="s">
        <v>442</v>
      </c>
      <c r="G322" s="168" t="s">
        <v>443</v>
      </c>
      <c r="H322" s="168"/>
      <c r="I322" s="168"/>
      <c r="X322" s="133">
        <v>16.399999999999999</v>
      </c>
      <c r="Y322" s="133">
        <v>20</v>
      </c>
      <c r="Z322" s="133">
        <v>36.9</v>
      </c>
      <c r="AA322" s="133">
        <v>42.603999999999999</v>
      </c>
      <c r="AB322" s="133">
        <v>37.820999999999998</v>
      </c>
      <c r="AC322" s="133">
        <v>22</v>
      </c>
      <c r="AD322" s="133">
        <v>20.117000000000001</v>
      </c>
      <c r="AE322" s="133">
        <v>20.23</v>
      </c>
      <c r="AF322" s="133">
        <v>15</v>
      </c>
      <c r="AG322" s="133">
        <v>18</v>
      </c>
      <c r="AH322" s="133">
        <v>20</v>
      </c>
      <c r="AI322" s="133">
        <v>20</v>
      </c>
      <c r="AJ322" s="133">
        <v>20</v>
      </c>
      <c r="AK322" s="133">
        <v>20</v>
      </c>
      <c r="AL322" s="133">
        <v>20</v>
      </c>
      <c r="AM322" s="133">
        <v>20</v>
      </c>
      <c r="AN322" s="133">
        <v>20</v>
      </c>
      <c r="AO322" s="133">
        <v>20</v>
      </c>
      <c r="AP322" s="133">
        <v>20</v>
      </c>
      <c r="AQ322" s="133">
        <v>20</v>
      </c>
      <c r="AR322" s="133">
        <v>20</v>
      </c>
      <c r="AS322" s="133">
        <v>20</v>
      </c>
      <c r="AT322" s="133">
        <v>20</v>
      </c>
      <c r="AU322" s="133">
        <v>20</v>
      </c>
      <c r="AV322" s="133">
        <v>20</v>
      </c>
      <c r="AW322" s="133">
        <v>20</v>
      </c>
      <c r="AX322" s="133">
        <v>20</v>
      </c>
      <c r="AY322" s="133">
        <v>20</v>
      </c>
      <c r="AZ322" s="133">
        <v>21</v>
      </c>
      <c r="BA322" s="133">
        <v>22</v>
      </c>
      <c r="BB322" s="133">
        <v>23</v>
      </c>
      <c r="BC322" s="133">
        <f>BB322*(1+((BB322-BA322)/BA322))</f>
        <v>24.045454545454543</v>
      </c>
      <c r="BD322" s="133">
        <f>BC322*(1+((BC322-BB322)/BB322))</f>
        <v>25.138429752066113</v>
      </c>
      <c r="BE322" s="133">
        <f t="shared" ref="BE322:BG322" si="128">BD322*(1+((BD322-BC322)/BC322))</f>
        <v>26.281085649887299</v>
      </c>
      <c r="BF322" s="133">
        <f t="shared" si="128"/>
        <v>27.475680452154901</v>
      </c>
      <c r="BG322" s="133">
        <f t="shared" si="128"/>
        <v>28.724575018161939</v>
      </c>
    </row>
    <row r="323" spans="1:59" ht="13.75" customHeight="1">
      <c r="A323" s="171" t="s">
        <v>166</v>
      </c>
      <c r="B323" s="165" t="s">
        <v>413</v>
      </c>
      <c r="C323" s="165" t="s">
        <v>417</v>
      </c>
      <c r="D323" s="165" t="s">
        <v>168</v>
      </c>
      <c r="E323" s="167"/>
      <c r="F323" s="168" t="s">
        <v>444</v>
      </c>
      <c r="G323" s="168" t="s">
        <v>441</v>
      </c>
      <c r="H323" s="168"/>
      <c r="I323" s="168"/>
      <c r="S323" s="128">
        <v>971.66666666666663</v>
      </c>
      <c r="T323" s="128">
        <v>1125.8333333333333</v>
      </c>
      <c r="U323" s="128">
        <v>1280</v>
      </c>
      <c r="V323" s="128">
        <v>1083.05125</v>
      </c>
      <c r="W323" s="128">
        <v>764.74416666666673</v>
      </c>
      <c r="X323" s="128">
        <v>597.5</v>
      </c>
      <c r="Y323" s="128">
        <v>521.66666666666663</v>
      </c>
      <c r="Z323" s="128">
        <v>556.25</v>
      </c>
      <c r="AA323" s="128">
        <v>660.41666666666663</v>
      </c>
      <c r="AB323" s="128">
        <v>950</v>
      </c>
      <c r="AC323" s="128">
        <v>958.33333333333337</v>
      </c>
      <c r="AD323" s="128">
        <v>1029.1666666666667</v>
      </c>
      <c r="AE323" s="128">
        <v>1333.3333333333333</v>
      </c>
      <c r="AF323" s="128">
        <v>1500</v>
      </c>
      <c r="AG323" s="128">
        <v>1525</v>
      </c>
      <c r="AH323" s="128">
        <f>AG323*(1+AH5/2)</f>
        <v>1541.2183014725913</v>
      </c>
      <c r="AI323" s="128">
        <f t="shared" ref="AI323:BG323" si="129">AH323*(1+AI5/2)</f>
        <v>1569.258239100252</v>
      </c>
      <c r="AJ323" s="128">
        <f t="shared" si="129"/>
        <v>1600.6434038822572</v>
      </c>
      <c r="AK323" s="128">
        <f t="shared" si="129"/>
        <v>1632.6562719599024</v>
      </c>
      <c r="AL323" s="128">
        <f t="shared" si="129"/>
        <v>1665.3093973991004</v>
      </c>
      <c r="AM323" s="128">
        <f t="shared" si="129"/>
        <v>1698.6155853470823</v>
      </c>
      <c r="AN323" s="128">
        <f t="shared" si="129"/>
        <v>1732.5878970540239</v>
      </c>
      <c r="AO323" s="128">
        <f t="shared" si="129"/>
        <v>1767.2396549951043</v>
      </c>
      <c r="AP323" s="128">
        <f t="shared" si="129"/>
        <v>1802.5844480950063</v>
      </c>
      <c r="AQ323" s="128">
        <f t="shared" si="129"/>
        <v>1838.6361370569066</v>
      </c>
      <c r="AR323" s="128">
        <f t="shared" si="129"/>
        <v>1875.4088597980447</v>
      </c>
      <c r="AS323" s="128">
        <f t="shared" si="129"/>
        <v>1912.9170369940057</v>
      </c>
      <c r="AT323" s="128">
        <f t="shared" si="129"/>
        <v>1951.1753777338859</v>
      </c>
      <c r="AU323" s="128">
        <f t="shared" si="129"/>
        <v>1990.1988852885636</v>
      </c>
      <c r="AV323" s="128">
        <f t="shared" si="129"/>
        <v>2030.0028629943349</v>
      </c>
      <c r="AW323" s="128">
        <f t="shared" si="129"/>
        <v>2070.6029202542218</v>
      </c>
      <c r="AX323" s="128">
        <f t="shared" si="129"/>
        <v>2112.0149786593061</v>
      </c>
      <c r="AY323" s="128">
        <f t="shared" si="129"/>
        <v>2154.2552782324924</v>
      </c>
      <c r="AZ323" s="128">
        <f t="shared" si="129"/>
        <v>2197.3403837971423</v>
      </c>
      <c r="BA323" s="128">
        <f t="shared" si="129"/>
        <v>2241.2871914730854</v>
      </c>
      <c r="BB323" s="128">
        <f t="shared" si="129"/>
        <v>2286.1129353025472</v>
      </c>
      <c r="BC323" s="128">
        <f t="shared" si="129"/>
        <v>2331.8351940085981</v>
      </c>
      <c r="BD323" s="128">
        <f t="shared" si="129"/>
        <v>2378.4718978887699</v>
      </c>
      <c r="BE323" s="128">
        <f t="shared" si="129"/>
        <v>2426.0413358465453</v>
      </c>
      <c r="BF323" s="128">
        <f t="shared" si="129"/>
        <v>2474.5621625634762</v>
      </c>
      <c r="BG323" s="128">
        <f t="shared" si="129"/>
        <v>2524.0534058147459</v>
      </c>
    </row>
    <row r="324" spans="1:59" ht="13.75" customHeight="1" outlineLevel="1">
      <c r="A324" s="171" t="s">
        <v>166</v>
      </c>
      <c r="B324" s="165" t="s">
        <v>413</v>
      </c>
      <c r="C324" s="165" t="s">
        <v>417</v>
      </c>
      <c r="D324" s="165" t="s">
        <v>168</v>
      </c>
      <c r="E324" s="167"/>
      <c r="F324" s="168" t="s">
        <v>445</v>
      </c>
      <c r="G324" s="168" t="s">
        <v>3</v>
      </c>
      <c r="H324" s="168"/>
      <c r="I324" s="168"/>
      <c r="Q324" s="107">
        <v>0.15140845070422526</v>
      </c>
      <c r="R324" s="107">
        <v>-0.21630988786952088</v>
      </c>
      <c r="S324" s="107">
        <v>0.20031217481789798</v>
      </c>
      <c r="T324" s="107">
        <v>0.15604681404421328</v>
      </c>
      <c r="U324" s="107">
        <v>0.10348706411698538</v>
      </c>
      <c r="V324" s="107">
        <v>5.8783554196398136E-2</v>
      </c>
      <c r="W324" s="107">
        <v>3.145057766367132E-2</v>
      </c>
      <c r="X324" s="107">
        <v>-7.9340385812072145E-2</v>
      </c>
      <c r="Y324" s="107">
        <v>0.10273741128759717</v>
      </c>
      <c r="Z324" s="107">
        <v>0.19000919399325777</v>
      </c>
      <c r="AA324" s="107">
        <v>0.14318825650270406</v>
      </c>
      <c r="AB324" s="107">
        <v>0.1236765037170533</v>
      </c>
      <c r="AC324" s="107">
        <v>0.16511026463512435</v>
      </c>
      <c r="AD324" s="107">
        <v>0.11890590666549672</v>
      </c>
      <c r="AE324" s="107">
        <v>4.3896127899454296E-3</v>
      </c>
      <c r="AF324" s="107">
        <v>0.12462253300823467</v>
      </c>
      <c r="AG324" s="107">
        <v>7.7385063301633306E-2</v>
      </c>
      <c r="AH324" s="107">
        <v>6.7647422790408696E-2</v>
      </c>
      <c r="AI324" s="107">
        <v>5.376651447932268E-2</v>
      </c>
      <c r="AJ324" s="107">
        <v>5.0642284339342591E-2</v>
      </c>
      <c r="AK324" s="107">
        <v>4.8690629293862697E-2</v>
      </c>
      <c r="AL324" s="107">
        <v>4.7964363602310378E-2</v>
      </c>
      <c r="AM324" s="107">
        <v>4.686970450745731E-2</v>
      </c>
      <c r="AN324" s="107">
        <v>0.03</v>
      </c>
      <c r="AO324" s="107">
        <f t="shared" ref="AO324:BG324" si="130">+AN324</f>
        <v>0.03</v>
      </c>
      <c r="AP324" s="107">
        <f t="shared" si="130"/>
        <v>0.03</v>
      </c>
      <c r="AQ324" s="107">
        <f t="shared" si="130"/>
        <v>0.03</v>
      </c>
      <c r="AR324" s="107">
        <f t="shared" si="130"/>
        <v>0.03</v>
      </c>
      <c r="AS324" s="107">
        <f t="shared" si="130"/>
        <v>0.03</v>
      </c>
      <c r="AT324" s="107">
        <f t="shared" si="130"/>
        <v>0.03</v>
      </c>
      <c r="AU324" s="107">
        <f t="shared" si="130"/>
        <v>0.03</v>
      </c>
      <c r="AV324" s="107">
        <f t="shared" si="130"/>
        <v>0.03</v>
      </c>
      <c r="AW324" s="107">
        <f t="shared" si="130"/>
        <v>0.03</v>
      </c>
      <c r="AX324" s="107">
        <f t="shared" si="130"/>
        <v>0.03</v>
      </c>
      <c r="AY324" s="107">
        <f t="shared" si="130"/>
        <v>0.03</v>
      </c>
      <c r="AZ324" s="107">
        <f t="shared" si="130"/>
        <v>0.03</v>
      </c>
      <c r="BA324" s="107">
        <f t="shared" si="130"/>
        <v>0.03</v>
      </c>
      <c r="BB324" s="107">
        <f t="shared" si="130"/>
        <v>0.03</v>
      </c>
      <c r="BC324" s="107">
        <f t="shared" si="130"/>
        <v>0.03</v>
      </c>
      <c r="BD324" s="107">
        <f t="shared" si="130"/>
        <v>0.03</v>
      </c>
      <c r="BE324" s="107">
        <f t="shared" si="130"/>
        <v>0.03</v>
      </c>
      <c r="BF324" s="107">
        <f t="shared" si="130"/>
        <v>0.03</v>
      </c>
      <c r="BG324" s="107">
        <f t="shared" si="130"/>
        <v>0.03</v>
      </c>
    </row>
    <row r="325" spans="1:59" ht="13.75" customHeight="1" outlineLevel="1">
      <c r="A325" s="171" t="s">
        <v>166</v>
      </c>
      <c r="B325" s="165" t="s">
        <v>413</v>
      </c>
      <c r="C325" s="165" t="s">
        <v>414</v>
      </c>
      <c r="D325" s="165" t="s">
        <v>168</v>
      </c>
      <c r="E325" s="167"/>
      <c r="F325" s="168" t="s">
        <v>446</v>
      </c>
      <c r="G325" s="168" t="s">
        <v>3</v>
      </c>
      <c r="H325" s="168"/>
      <c r="I325" s="168"/>
      <c r="X325" s="107">
        <v>-0.16492083993052098</v>
      </c>
      <c r="Y325" s="107">
        <v>-0.15255721133965194</v>
      </c>
      <c r="Z325" s="107">
        <v>0.32269592095810884</v>
      </c>
      <c r="AA325" s="107">
        <v>0.12076818601514416</v>
      </c>
      <c r="AB325" s="107">
        <v>8.3105885775112354E-2</v>
      </c>
      <c r="AC325" s="107">
        <v>-0.76922335179826584</v>
      </c>
      <c r="AD325" s="156">
        <v>0.71350011313218742</v>
      </c>
      <c r="AE325" s="107">
        <v>2.9343036924097454E-2</v>
      </c>
      <c r="AF325" s="107">
        <v>0.19471947194719497</v>
      </c>
      <c r="AG325" s="107">
        <v>5.5248618784530468E-2</v>
      </c>
      <c r="AH325" s="107">
        <v>5.3664921465968574E-2</v>
      </c>
      <c r="AI325" s="107">
        <v>5.3416149068322705E-2</v>
      </c>
      <c r="AJ325" s="107">
        <v>4.7169811320754818E-2</v>
      </c>
      <c r="AK325" s="107">
        <v>4.5045045045045029E-2</v>
      </c>
      <c r="AL325" s="107">
        <v>3.6637931034482873E-2</v>
      </c>
      <c r="AM325" s="107">
        <v>3.3264033264033266E-2</v>
      </c>
      <c r="AN325" s="107">
        <v>0.03</v>
      </c>
      <c r="AO325" s="107">
        <f>AN325</f>
        <v>0.03</v>
      </c>
      <c r="AP325" s="107">
        <f t="shared" ref="AP325:BE326" si="131">AO325</f>
        <v>0.03</v>
      </c>
      <c r="AQ325" s="107">
        <f t="shared" si="131"/>
        <v>0.03</v>
      </c>
      <c r="AR325" s="107">
        <f t="shared" si="131"/>
        <v>0.03</v>
      </c>
      <c r="AS325" s="107">
        <f t="shared" si="131"/>
        <v>0.03</v>
      </c>
      <c r="AT325" s="107">
        <f t="shared" si="131"/>
        <v>0.03</v>
      </c>
      <c r="AU325" s="107">
        <f t="shared" si="131"/>
        <v>0.03</v>
      </c>
      <c r="AV325" s="107">
        <f t="shared" si="131"/>
        <v>0.03</v>
      </c>
      <c r="AW325" s="107">
        <f t="shared" si="131"/>
        <v>0.03</v>
      </c>
      <c r="AX325" s="107">
        <f t="shared" si="131"/>
        <v>0.03</v>
      </c>
      <c r="AY325" s="107">
        <f t="shared" si="131"/>
        <v>0.03</v>
      </c>
      <c r="AZ325" s="107">
        <f t="shared" si="131"/>
        <v>0.03</v>
      </c>
      <c r="BA325" s="107">
        <f t="shared" si="131"/>
        <v>0.03</v>
      </c>
      <c r="BB325" s="107">
        <f t="shared" si="131"/>
        <v>0.03</v>
      </c>
      <c r="BC325" s="107">
        <f t="shared" si="131"/>
        <v>0.03</v>
      </c>
      <c r="BD325" s="107">
        <f t="shared" si="131"/>
        <v>0.03</v>
      </c>
      <c r="BE325" s="107">
        <f t="shared" si="131"/>
        <v>0.03</v>
      </c>
      <c r="BF325" s="107">
        <f t="shared" ref="BB325:BG326" si="132">BE325</f>
        <v>0.03</v>
      </c>
      <c r="BG325" s="107">
        <f t="shared" si="132"/>
        <v>0.03</v>
      </c>
    </row>
    <row r="326" spans="1:59" ht="13.75" customHeight="1" outlineLevel="1">
      <c r="A326" s="171" t="s">
        <v>166</v>
      </c>
      <c r="B326" s="165" t="s">
        <v>413</v>
      </c>
      <c r="C326" s="165" t="s">
        <v>414</v>
      </c>
      <c r="D326" s="165" t="s">
        <v>168</v>
      </c>
      <c r="E326" s="167"/>
      <c r="F326" s="168" t="s">
        <v>447</v>
      </c>
      <c r="G326" s="168" t="s">
        <v>3</v>
      </c>
      <c r="H326" s="168"/>
      <c r="I326" s="168"/>
      <c r="X326" s="107">
        <v>0.13603010050821651</v>
      </c>
      <c r="Y326" s="107">
        <v>7.2944976798719585E-2</v>
      </c>
      <c r="Z326" s="107">
        <v>0.10940673262953249</v>
      </c>
      <c r="AA326" s="107">
        <v>0.10003168724899392</v>
      </c>
      <c r="AB326" s="107">
        <v>5.9772373762017939E-2</v>
      </c>
      <c r="AC326" s="107">
        <v>-0.23016862690538342</v>
      </c>
      <c r="AD326" s="156">
        <v>0.55828129455246756</v>
      </c>
      <c r="AE326" s="107">
        <v>-0.11200925540067508</v>
      </c>
      <c r="AF326" s="107">
        <v>0.10000000000000009</v>
      </c>
      <c r="AG326" s="107">
        <v>5.7330057330057471E-2</v>
      </c>
      <c r="AH326" s="107">
        <v>4.758216222197631E-2</v>
      </c>
      <c r="AI326" s="107">
        <v>4.0139431710151108E-2</v>
      </c>
      <c r="AJ326" s="107">
        <v>3.554382045292992E-2</v>
      </c>
      <c r="AK326" s="107">
        <v>3.4323820731587684E-2</v>
      </c>
      <c r="AL326" s="107">
        <v>3.1288518062008164E-2</v>
      </c>
      <c r="AM326" s="107">
        <v>3.0339247954399129E-2</v>
      </c>
      <c r="AN326" s="107">
        <v>0.03</v>
      </c>
      <c r="AO326" s="107">
        <f t="shared" ref="AO326" si="133">AN326</f>
        <v>0.03</v>
      </c>
      <c r="AP326" s="107">
        <f t="shared" si="131"/>
        <v>0.03</v>
      </c>
      <c r="AQ326" s="107">
        <f t="shared" si="131"/>
        <v>0.03</v>
      </c>
      <c r="AR326" s="107">
        <f t="shared" si="131"/>
        <v>0.03</v>
      </c>
      <c r="AS326" s="107">
        <f t="shared" si="131"/>
        <v>0.03</v>
      </c>
      <c r="AT326" s="107">
        <f t="shared" si="131"/>
        <v>0.03</v>
      </c>
      <c r="AU326" s="107">
        <f t="shared" si="131"/>
        <v>0.03</v>
      </c>
      <c r="AV326" s="107">
        <f t="shared" si="131"/>
        <v>0.03</v>
      </c>
      <c r="AW326" s="107">
        <f t="shared" si="131"/>
        <v>0.03</v>
      </c>
      <c r="AX326" s="107">
        <f t="shared" si="131"/>
        <v>0.03</v>
      </c>
      <c r="AY326" s="107">
        <f t="shared" si="131"/>
        <v>0.03</v>
      </c>
      <c r="AZ326" s="107">
        <f t="shared" si="131"/>
        <v>0.03</v>
      </c>
      <c r="BA326" s="107">
        <f t="shared" si="131"/>
        <v>0.03</v>
      </c>
      <c r="BB326" s="107">
        <f t="shared" si="132"/>
        <v>0.03</v>
      </c>
      <c r="BC326" s="107">
        <f t="shared" si="132"/>
        <v>0.03</v>
      </c>
      <c r="BD326" s="107">
        <f t="shared" si="132"/>
        <v>0.03</v>
      </c>
      <c r="BE326" s="107">
        <f t="shared" si="132"/>
        <v>0.03</v>
      </c>
      <c r="BF326" s="107">
        <f t="shared" si="132"/>
        <v>0.03</v>
      </c>
      <c r="BG326" s="107">
        <f t="shared" si="132"/>
        <v>0.03</v>
      </c>
    </row>
    <row r="327" spans="1:59" ht="13.75" customHeight="1" outlineLevel="1">
      <c r="A327" s="171" t="s">
        <v>166</v>
      </c>
      <c r="B327" s="165" t="s">
        <v>413</v>
      </c>
      <c r="C327" s="165"/>
      <c r="D327" s="165"/>
      <c r="E327" s="167"/>
      <c r="F327" s="168"/>
      <c r="G327" s="168"/>
      <c r="H327" s="168"/>
      <c r="I327" s="168"/>
      <c r="AM327" s="119"/>
    </row>
    <row r="328" spans="1:59" ht="13.75" customHeight="1" outlineLevel="1">
      <c r="A328" s="171" t="s">
        <v>166</v>
      </c>
      <c r="B328" s="165" t="s">
        <v>413</v>
      </c>
      <c r="C328" s="165"/>
      <c r="D328" s="165"/>
      <c r="E328" s="167"/>
      <c r="F328" s="168"/>
      <c r="G328" s="168"/>
      <c r="H328" s="168"/>
      <c r="I328" s="168"/>
      <c r="AM328" s="119"/>
    </row>
    <row r="329" spans="1:59" ht="13.75" customHeight="1" outlineLevel="1">
      <c r="A329" s="171" t="s">
        <v>166</v>
      </c>
      <c r="B329" s="165" t="s">
        <v>413</v>
      </c>
      <c r="C329" s="165"/>
      <c r="D329" s="165"/>
      <c r="E329" s="167"/>
      <c r="F329" s="168"/>
      <c r="G329" s="168"/>
      <c r="H329" s="168"/>
      <c r="I329" s="168"/>
      <c r="AM329" s="119"/>
    </row>
    <row r="330" spans="1:59" ht="13.75" customHeight="1" outlineLevel="1">
      <c r="A330" s="171" t="s">
        <v>166</v>
      </c>
      <c r="B330" s="165" t="s">
        <v>413</v>
      </c>
      <c r="C330" s="165"/>
      <c r="D330" s="165"/>
      <c r="E330" s="167"/>
      <c r="F330" s="168"/>
      <c r="G330" s="168"/>
      <c r="H330" s="168"/>
      <c r="I330" s="168"/>
      <c r="AM330" s="119"/>
    </row>
    <row r="331" spans="1:59" ht="13.75" customHeight="1" outlineLevel="1">
      <c r="A331" s="171" t="s">
        <v>166</v>
      </c>
      <c r="B331" s="165" t="s">
        <v>413</v>
      </c>
      <c r="C331" s="165"/>
      <c r="D331" s="165"/>
      <c r="E331" s="167"/>
      <c r="F331" s="168"/>
      <c r="G331" s="168"/>
      <c r="H331" s="168"/>
      <c r="I331" s="168"/>
      <c r="AM331" s="119"/>
    </row>
    <row r="332" spans="1:59" ht="13.75" customHeight="1" outlineLevel="1">
      <c r="A332" s="171"/>
      <c r="B332" s="165"/>
      <c r="C332" s="165"/>
      <c r="D332" s="165"/>
      <c r="E332" s="167"/>
      <c r="F332" s="168"/>
      <c r="G332" s="168"/>
      <c r="H332" s="168"/>
      <c r="I332" s="168"/>
      <c r="AM332" s="119"/>
    </row>
    <row r="333" spans="1:59" ht="13.75" customHeight="1" outlineLevel="1">
      <c r="A333" s="171"/>
      <c r="B333" s="165"/>
      <c r="C333" s="165"/>
      <c r="D333" s="165"/>
      <c r="E333" s="167"/>
      <c r="F333" s="168"/>
      <c r="G333" s="168"/>
      <c r="H333" s="168"/>
      <c r="I333" s="168"/>
      <c r="AM333" s="119"/>
    </row>
    <row r="334" spans="1:59" ht="13.75" customHeight="1" outlineLevel="1">
      <c r="A334" s="171"/>
      <c r="B334" s="165"/>
      <c r="C334" s="165"/>
      <c r="D334" s="165"/>
      <c r="E334" s="167"/>
      <c r="F334" s="168"/>
      <c r="G334" s="168"/>
      <c r="H334" s="168"/>
      <c r="I334" s="168"/>
      <c r="AM334" s="119"/>
    </row>
    <row r="335" spans="1:59" ht="13.75" customHeight="1" outlineLevel="1">
      <c r="A335" s="171"/>
      <c r="B335" s="165"/>
      <c r="C335" s="165"/>
      <c r="D335" s="165"/>
      <c r="E335" s="167"/>
      <c r="F335" s="168"/>
      <c r="G335" s="168"/>
      <c r="H335" s="168"/>
      <c r="I335" s="168"/>
      <c r="AM335" s="119"/>
    </row>
    <row r="336" spans="1:59" ht="13.75" customHeight="1" outlineLevel="1">
      <c r="A336" s="171"/>
      <c r="B336" s="165"/>
      <c r="C336" s="165"/>
      <c r="D336" s="165"/>
      <c r="E336" s="167"/>
      <c r="F336" s="168"/>
      <c r="G336" s="168"/>
      <c r="H336" s="168"/>
      <c r="I336" s="168"/>
      <c r="AM336" s="119"/>
    </row>
    <row r="337" spans="1:59" ht="13.75" customHeight="1" outlineLevel="1">
      <c r="A337" s="171"/>
      <c r="B337" s="165"/>
      <c r="C337" s="165"/>
      <c r="D337" s="165"/>
      <c r="E337" s="167"/>
      <c r="F337" s="168"/>
      <c r="G337" s="168"/>
      <c r="H337" s="168"/>
      <c r="I337" s="168"/>
      <c r="AM337" s="119"/>
    </row>
    <row r="338" spans="1:59" ht="13.75" customHeight="1">
      <c r="A338" s="171" t="s">
        <v>166</v>
      </c>
      <c r="B338" s="165" t="s">
        <v>448</v>
      </c>
      <c r="C338" s="165"/>
      <c r="D338" s="165" t="s">
        <v>168</v>
      </c>
      <c r="E338" s="167"/>
      <c r="F338" s="168" t="s">
        <v>449</v>
      </c>
      <c r="G338" s="168" t="s">
        <v>4</v>
      </c>
      <c r="H338" s="168"/>
      <c r="I338" s="168"/>
      <c r="U338" s="128"/>
      <c r="V338" s="128"/>
      <c r="W338" s="128">
        <v>2212.9166666666665</v>
      </c>
      <c r="X338" s="128">
        <v>1569.8333333333333</v>
      </c>
      <c r="Y338" s="128">
        <v>1365.6666666666667</v>
      </c>
      <c r="Z338" s="128">
        <v>1880.75</v>
      </c>
      <c r="AA338" s="128">
        <v>2097.4166666666665</v>
      </c>
      <c r="AB338" s="128">
        <v>1535.25</v>
      </c>
      <c r="AC338" s="128">
        <v>1148.1666666666667</v>
      </c>
      <c r="AD338" s="128">
        <v>1967.9166666666667</v>
      </c>
      <c r="AE338" s="128">
        <v>2006</v>
      </c>
      <c r="AF338" s="128">
        <v>1868.6717884615482</v>
      </c>
      <c r="AG338" s="128">
        <v>2070.5734269040877</v>
      </c>
      <c r="AH338" s="128">
        <v>2020.4492772966867</v>
      </c>
      <c r="AI338" s="128">
        <v>2037.0102049011764</v>
      </c>
      <c r="AJ338" s="128">
        <v>2067.587655345294</v>
      </c>
      <c r="AK338" s="128">
        <v>2075.8580059666751</v>
      </c>
      <c r="AL338" s="128">
        <v>2084.1614379905418</v>
      </c>
      <c r="AM338" s="128">
        <v>2092.4980837425041</v>
      </c>
      <c r="AN338" s="128">
        <v>2100.8680760774741</v>
      </c>
      <c r="AO338" s="128">
        <v>2109.2715483817842</v>
      </c>
      <c r="AP338" s="128">
        <v>2117.7086345753114</v>
      </c>
      <c r="AQ338" s="128">
        <v>2126.1794691136129</v>
      </c>
      <c r="AR338" s="128">
        <v>2134.6841869900672</v>
      </c>
      <c r="AS338" s="128">
        <v>2143.2229237380275</v>
      </c>
      <c r="AT338" s="128">
        <v>2151.7958154329795</v>
      </c>
      <c r="AU338" s="128">
        <v>2160.4029986947112</v>
      </c>
      <c r="AV338" s="128">
        <v>2169.0446106894901</v>
      </c>
      <c r="AW338" s="128">
        <v>2177.7207891322482</v>
      </c>
      <c r="AX338" s="128">
        <v>2186.431672288777</v>
      </c>
      <c r="AY338" s="128">
        <v>2195.1773989779322</v>
      </c>
      <c r="AZ338" s="128">
        <v>2203.9581085738441</v>
      </c>
      <c r="BA338" s="128">
        <v>2212.7739410081394</v>
      </c>
      <c r="BB338" s="128">
        <v>2221.6250367721718</v>
      </c>
      <c r="BC338" s="128">
        <f t="shared" ref="BC338:BG342" si="134">BB338*(1+((BB338-BA338)/BA338))</f>
        <v>2230.5115369192604</v>
      </c>
      <c r="BD338" s="128">
        <f t="shared" si="134"/>
        <v>2239.4335830669374</v>
      </c>
      <c r="BE338" s="128">
        <f t="shared" si="134"/>
        <v>2248.391317399205</v>
      </c>
      <c r="BF338" s="128">
        <f t="shared" si="134"/>
        <v>2257.3848826688018</v>
      </c>
      <c r="BG338" s="128">
        <f t="shared" si="134"/>
        <v>2266.414422199477</v>
      </c>
    </row>
    <row r="339" spans="1:59" ht="13.75" customHeight="1">
      <c r="A339" s="171" t="s">
        <v>166</v>
      </c>
      <c r="B339" s="165" t="s">
        <v>448</v>
      </c>
      <c r="C339" s="165"/>
      <c r="D339" s="165" t="s">
        <v>377</v>
      </c>
      <c r="E339" s="167"/>
      <c r="F339" s="168" t="s">
        <v>450</v>
      </c>
      <c r="G339" s="168" t="s">
        <v>4</v>
      </c>
      <c r="H339" s="168"/>
      <c r="I339" s="168" t="s">
        <v>451</v>
      </c>
      <c r="U339" s="128"/>
      <c r="V339" s="128"/>
      <c r="W339" s="128"/>
      <c r="X339" s="128"/>
      <c r="Y339" s="128"/>
      <c r="Z339" s="128"/>
      <c r="AA339" s="128">
        <v>2297</v>
      </c>
      <c r="AB339" s="128">
        <v>2531.25</v>
      </c>
      <c r="AC339" s="128">
        <v>2173.8868725902157</v>
      </c>
      <c r="AD339" s="128">
        <v>2357.7921733969361</v>
      </c>
      <c r="AE339" s="128">
        <v>2558.6089942709536</v>
      </c>
      <c r="AF339" s="128">
        <v>2687.6703168495969</v>
      </c>
      <c r="AG339" s="128">
        <v>2803.8332629840775</v>
      </c>
      <c r="AH339" s="128">
        <v>2803.8332629840775</v>
      </c>
      <c r="AI339" s="128">
        <v>2803.8332629840775</v>
      </c>
      <c r="AJ339" s="128">
        <v>2807.1164467756089</v>
      </c>
      <c r="AK339" s="128">
        <v>2810.4127633023058</v>
      </c>
      <c r="AL339" s="128">
        <v>2813.7222650951098</v>
      </c>
      <c r="AM339" s="128">
        <v>2817.0450048950852</v>
      </c>
      <c r="AN339" s="128">
        <v>2828.3131849146657</v>
      </c>
      <c r="AO339" s="128">
        <v>2839.6264376543245</v>
      </c>
      <c r="AP339" s="128">
        <v>2850.984943404942</v>
      </c>
      <c r="AQ339" s="128">
        <v>2862.3888831785616</v>
      </c>
      <c r="AR339" s="128">
        <v>2873.838438711276</v>
      </c>
      <c r="AS339" s="128">
        <v>2885.3337924661209</v>
      </c>
      <c r="AT339" s="128">
        <v>2896.8751276359853</v>
      </c>
      <c r="AU339" s="128">
        <v>2908.4626281465294</v>
      </c>
      <c r="AV339" s="128">
        <v>2920.0964786591153</v>
      </c>
      <c r="AW339" s="128">
        <v>2931.7768645737519</v>
      </c>
      <c r="AX339" s="128">
        <v>2943.5039720320469</v>
      </c>
      <c r="AY339" s="128">
        <v>2955.2779879201753</v>
      </c>
      <c r="AZ339" s="128">
        <v>2955.2779879201753</v>
      </c>
      <c r="BA339" s="128">
        <v>2955.2779879201753</v>
      </c>
      <c r="BB339" s="128">
        <v>2955.2779879201753</v>
      </c>
      <c r="BC339" s="128">
        <f t="shared" si="134"/>
        <v>2955.2779879201753</v>
      </c>
      <c r="BD339" s="128">
        <f t="shared" si="134"/>
        <v>2955.2779879201753</v>
      </c>
      <c r="BE339" s="128">
        <f t="shared" si="134"/>
        <v>2955.2779879201753</v>
      </c>
      <c r="BF339" s="128">
        <f t="shared" si="134"/>
        <v>2955.2779879201753</v>
      </c>
      <c r="BG339" s="128">
        <f t="shared" si="134"/>
        <v>2955.2779879201753</v>
      </c>
    </row>
    <row r="340" spans="1:59" ht="13.75" customHeight="1">
      <c r="A340" s="171" t="s">
        <v>166</v>
      </c>
      <c r="B340" s="165" t="s">
        <v>448</v>
      </c>
      <c r="C340" s="165"/>
      <c r="D340" s="165" t="s">
        <v>168</v>
      </c>
      <c r="E340" s="167"/>
      <c r="F340" s="168" t="s">
        <v>452</v>
      </c>
      <c r="G340" s="168" t="s">
        <v>4</v>
      </c>
      <c r="H340" s="168"/>
      <c r="I340" s="168" t="s">
        <v>453</v>
      </c>
      <c r="U340" s="128">
        <v>400.8502125</v>
      </c>
      <c r="V340" s="186">
        <v>499.14800624999998</v>
      </c>
      <c r="W340" s="186">
        <v>388.20847499999996</v>
      </c>
      <c r="X340" s="186">
        <v>309</v>
      </c>
      <c r="Y340" s="192">
        <v>228</v>
      </c>
      <c r="Z340" s="186">
        <v>336</v>
      </c>
      <c r="AA340" s="186">
        <v>404</v>
      </c>
      <c r="AB340" s="186">
        <v>268.45</v>
      </c>
      <c r="AC340" s="186">
        <v>242.00491666666667</v>
      </c>
      <c r="AD340" s="186">
        <v>350</v>
      </c>
      <c r="AE340" s="186">
        <v>379.89514356489553</v>
      </c>
      <c r="AF340" s="192">
        <v>301.84106966147061</v>
      </c>
      <c r="AG340" s="192">
        <v>361.18391796882401</v>
      </c>
      <c r="AH340" s="186">
        <v>400.4869309046237</v>
      </c>
      <c r="AI340" s="186">
        <v>386.70077404692205</v>
      </c>
      <c r="AJ340" s="186">
        <v>386.26454660163319</v>
      </c>
      <c r="AK340" s="186">
        <v>387.80960478803968</v>
      </c>
      <c r="AL340" s="186">
        <v>389.36084320719181</v>
      </c>
      <c r="AM340" s="186">
        <v>390.91828658002055</v>
      </c>
      <c r="AN340" s="186">
        <v>392.48195972634062</v>
      </c>
      <c r="AO340" s="186">
        <v>394.05188756524603</v>
      </c>
      <c r="AP340" s="186">
        <v>395.62809511550705</v>
      </c>
      <c r="AQ340" s="186">
        <v>397.2106074959691</v>
      </c>
      <c r="AR340" s="186">
        <v>398.79944992595301</v>
      </c>
      <c r="AS340" s="186">
        <v>400.39464772565685</v>
      </c>
      <c r="AT340" s="186">
        <v>401.99622631655944</v>
      </c>
      <c r="AU340" s="186">
        <v>403.60421122182566</v>
      </c>
      <c r="AV340" s="186">
        <v>405.21862806671294</v>
      </c>
      <c r="AW340" s="186">
        <v>406.83950257897982</v>
      </c>
      <c r="AX340" s="186">
        <v>408.46686058929578</v>
      </c>
      <c r="AY340" s="186">
        <v>410.10072803165292</v>
      </c>
      <c r="AZ340" s="186">
        <v>411.74113094377952</v>
      </c>
      <c r="BA340" s="186">
        <v>413.38809546755465</v>
      </c>
      <c r="BB340" s="186">
        <v>415.04164784942492</v>
      </c>
      <c r="BC340" s="186">
        <v>416.7018144408226</v>
      </c>
      <c r="BD340" s="186">
        <v>418.36862169858591</v>
      </c>
      <c r="BE340" s="186">
        <v>420.04209618538027</v>
      </c>
      <c r="BF340" s="186">
        <v>421.72226457012175</v>
      </c>
      <c r="BG340" s="186">
        <v>423.40915362840224</v>
      </c>
    </row>
    <row r="341" spans="1:59" ht="13.75" customHeight="1">
      <c r="A341" s="171" t="s">
        <v>166</v>
      </c>
      <c r="B341" s="165" t="s">
        <v>448</v>
      </c>
      <c r="C341" s="165"/>
      <c r="D341" s="165" t="s">
        <v>168</v>
      </c>
      <c r="E341" s="167"/>
      <c r="F341" s="168" t="s">
        <v>454</v>
      </c>
      <c r="G341" s="168" t="s">
        <v>291</v>
      </c>
      <c r="H341" s="168"/>
      <c r="I341" s="168"/>
      <c r="U341" s="128">
        <v>34302.92</v>
      </c>
      <c r="V341" s="128">
        <v>33093.68</v>
      </c>
      <c r="W341" s="128">
        <v>35358</v>
      </c>
      <c r="X341" s="128">
        <v>50289</v>
      </c>
      <c r="Y341" s="128">
        <v>46841</v>
      </c>
      <c r="Z341" s="128">
        <v>50028.72</v>
      </c>
      <c r="AA341" s="128">
        <v>63088.539951190418</v>
      </c>
      <c r="AB341" s="128">
        <v>65199</v>
      </c>
      <c r="AC341" s="128">
        <v>60187.062225749447</v>
      </c>
      <c r="AD341" s="128">
        <v>102995.6</v>
      </c>
      <c r="AE341" s="128">
        <v>99907</v>
      </c>
      <c r="AF341" s="128">
        <v>70907.220506559956</v>
      </c>
      <c r="AG341" s="128">
        <v>86005.697410973371</v>
      </c>
      <c r="AH341" s="128">
        <v>86172.866983000014</v>
      </c>
      <c r="AI341" s="128">
        <v>87564.276151013502</v>
      </c>
      <c r="AJ341" s="128">
        <v>89820.964661471546</v>
      </c>
      <c r="AK341" s="128">
        <v>91983.853490519788</v>
      </c>
      <c r="AL341" s="128">
        <v>94198.824682571503</v>
      </c>
      <c r="AM341" s="128">
        <v>96467.13238092784</v>
      </c>
      <c r="AN341" s="128">
        <v>98790.060928660576</v>
      </c>
      <c r="AO341" s="128">
        <v>101168.92559582273</v>
      </c>
      <c r="AP341" s="128">
        <v>103605.07332417015</v>
      </c>
      <c r="AQ341" s="128">
        <v>106099.88348981617</v>
      </c>
      <c r="AR341" s="128">
        <v>108654.76868425094</v>
      </c>
      <c r="AS341" s="128">
        <v>111271.17551416771</v>
      </c>
      <c r="AT341" s="128">
        <v>113950.58542054889</v>
      </c>
      <c r="AU341" s="128">
        <v>116694.51551747571</v>
      </c>
      <c r="AV341" s="128">
        <v>119504.51945113654</v>
      </c>
      <c r="AW341" s="128">
        <v>122382.18827951993</v>
      </c>
      <c r="AX341" s="128">
        <v>125329.15137329076</v>
      </c>
      <c r="AY341" s="128">
        <v>128347.07733835961</v>
      </c>
      <c r="AZ341" s="128">
        <v>131437.6749606673</v>
      </c>
      <c r="BA341" s="128">
        <v>134602.6941737202</v>
      </c>
      <c r="BB341" s="128">
        <v>137843.92704942339</v>
      </c>
      <c r="BC341" s="128">
        <f t="shared" si="134"/>
        <v>141163.20881277352</v>
      </c>
      <c r="BD341" s="128">
        <f t="shared" si="134"/>
        <v>144562.41888098512</v>
      </c>
      <c r="BE341" s="128">
        <f t="shared" si="134"/>
        <v>148043.48192763925</v>
      </c>
      <c r="BF341" s="128">
        <f t="shared" si="134"/>
        <v>151608.36897245681</v>
      </c>
      <c r="BG341" s="128">
        <f t="shared" si="134"/>
        <v>155259.09849731359</v>
      </c>
    </row>
    <row r="342" spans="1:59" ht="13.75" customHeight="1">
      <c r="A342" s="171" t="s">
        <v>166</v>
      </c>
      <c r="B342" s="165" t="s">
        <v>448</v>
      </c>
      <c r="C342" s="165"/>
      <c r="D342" s="165" t="s">
        <v>168</v>
      </c>
      <c r="E342" s="167"/>
      <c r="F342" s="168" t="s">
        <v>455</v>
      </c>
      <c r="G342" s="168" t="s">
        <v>291</v>
      </c>
      <c r="H342" s="168"/>
      <c r="I342" s="168"/>
      <c r="U342" s="128">
        <v>8486.2800000000007</v>
      </c>
      <c r="V342" s="128">
        <v>8995.5</v>
      </c>
      <c r="W342" s="128">
        <v>7818</v>
      </c>
      <c r="X342" s="128">
        <v>9984</v>
      </c>
      <c r="Y342" s="128">
        <v>11617</v>
      </c>
      <c r="Z342" s="128">
        <v>11633</v>
      </c>
      <c r="AA342" s="128">
        <v>12014.562400000001</v>
      </c>
      <c r="AB342" s="128">
        <v>12476</v>
      </c>
      <c r="AC342" s="128">
        <v>13342.761666666667</v>
      </c>
      <c r="AD342" s="128">
        <v>13024.14</v>
      </c>
      <c r="AE342" s="128">
        <v>14876</v>
      </c>
      <c r="AF342" s="128">
        <v>15908.907057186181</v>
      </c>
      <c r="AG342" s="128">
        <v>16918.190713251177</v>
      </c>
      <c r="AH342" s="128">
        <v>17452.629986915304</v>
      </c>
      <c r="AI342" s="128">
        <v>18144.899796265199</v>
      </c>
      <c r="AJ342" s="128">
        <v>18581.828983359264</v>
      </c>
      <c r="AK342" s="128">
        <v>19029.279425278557</v>
      </c>
      <c r="AL342" s="128">
        <v>19487.504473839264</v>
      </c>
      <c r="AM342" s="128">
        <v>19956.763581569314</v>
      </c>
      <c r="AN342" s="128">
        <v>20437.322448613504</v>
      </c>
      <c r="AO342" s="128">
        <v>20929.45317317612</v>
      </c>
      <c r="AP342" s="128">
        <v>21433.434405586202</v>
      </c>
      <c r="AQ342" s="128">
        <v>21949.551506072719</v>
      </c>
      <c r="AR342" s="128">
        <v>22478.096706338951</v>
      </c>
      <c r="AS342" s="128">
        <v>23019.369275027591</v>
      </c>
      <c r="AT342" s="128">
        <v>23573.67568717026</v>
      </c>
      <c r="AU342" s="128">
        <v>24141.329797717321</v>
      </c>
      <c r="AV342" s="128">
        <v>24722.653019246354</v>
      </c>
      <c r="AW342" s="128">
        <v>25317.974503949808</v>
      </c>
      <c r="AX342" s="128">
        <v>25927.631330004919</v>
      </c>
      <c r="AY342" s="128">
        <v>26551.968692431441</v>
      </c>
      <c r="AZ342" s="128">
        <v>27191.340098545192</v>
      </c>
      <c r="BA342" s="128">
        <v>27846.107568118165</v>
      </c>
      <c r="BB342" s="128">
        <v>28516.64183835845</v>
      </c>
      <c r="BC342" s="128">
        <f t="shared" si="134"/>
        <v>29203.322573826117</v>
      </c>
      <c r="BD342" s="128">
        <f t="shared" si="134"/>
        <v>29906.538581403845</v>
      </c>
      <c r="BE342" s="128">
        <f t="shared" si="134"/>
        <v>30626.688030444046</v>
      </c>
      <c r="BF342" s="128">
        <f t="shared" si="134"/>
        <v>31364.178678217133</v>
      </c>
      <c r="BG342" s="128">
        <f t="shared" si="134"/>
        <v>32119.428100788598</v>
      </c>
    </row>
    <row r="343" spans="1:59" ht="13.75" customHeight="1">
      <c r="A343" s="171" t="s">
        <v>166</v>
      </c>
      <c r="B343" s="165" t="s">
        <v>448</v>
      </c>
      <c r="C343" s="165"/>
      <c r="D343" s="165" t="s">
        <v>168</v>
      </c>
      <c r="E343" s="167"/>
      <c r="F343" s="168" t="s">
        <v>456</v>
      </c>
      <c r="G343" s="168" t="s">
        <v>291</v>
      </c>
      <c r="H343" s="168"/>
      <c r="I343" s="168" t="s">
        <v>457</v>
      </c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</row>
    <row r="344" spans="1:59" ht="13.75" customHeight="1">
      <c r="A344" s="171" t="s">
        <v>166</v>
      </c>
      <c r="B344" s="165" t="s">
        <v>448</v>
      </c>
      <c r="C344" s="165"/>
      <c r="D344" s="165" t="s">
        <v>168</v>
      </c>
      <c r="E344" s="167"/>
      <c r="F344" s="168" t="s">
        <v>458</v>
      </c>
      <c r="G344" s="168" t="s">
        <v>291</v>
      </c>
      <c r="H344" s="168"/>
      <c r="I344" s="168"/>
      <c r="U344" s="128">
        <v>26328.38</v>
      </c>
      <c r="V344" s="128">
        <v>27279.35</v>
      </c>
      <c r="W344" s="128">
        <v>23080</v>
      </c>
      <c r="X344" s="128">
        <v>0</v>
      </c>
      <c r="Y344" s="128">
        <v>0</v>
      </c>
      <c r="Z344" s="128">
        <v>0</v>
      </c>
      <c r="AA344" s="128">
        <v>0</v>
      </c>
      <c r="AB344" s="128">
        <v>0</v>
      </c>
      <c r="AC344" s="128">
        <v>0</v>
      </c>
      <c r="AD344" s="128">
        <v>0</v>
      </c>
      <c r="AE344" s="128">
        <v>0</v>
      </c>
      <c r="AF344" s="128">
        <v>0</v>
      </c>
      <c r="AG344" s="128">
        <v>0</v>
      </c>
      <c r="AH344" s="128">
        <v>0</v>
      </c>
      <c r="AI344" s="128">
        <v>0</v>
      </c>
      <c r="AJ344" s="128">
        <v>0</v>
      </c>
      <c r="AK344" s="128">
        <v>0</v>
      </c>
      <c r="AL344" s="128">
        <v>0</v>
      </c>
      <c r="AM344" s="128">
        <v>0</v>
      </c>
      <c r="AN344" s="128">
        <v>0</v>
      </c>
      <c r="AO344" s="128">
        <v>0</v>
      </c>
      <c r="AP344" s="128">
        <v>0</v>
      </c>
      <c r="AQ344" s="128">
        <v>0</v>
      </c>
      <c r="AR344" s="128">
        <v>0</v>
      </c>
      <c r="AS344" s="128">
        <v>0</v>
      </c>
      <c r="AT344" s="128">
        <v>0</v>
      </c>
      <c r="AU344" s="128">
        <v>0</v>
      </c>
      <c r="AV344" s="128">
        <v>0</v>
      </c>
      <c r="AW344" s="128">
        <v>0</v>
      </c>
      <c r="AX344" s="128">
        <v>0</v>
      </c>
      <c r="AY344" s="128">
        <v>0</v>
      </c>
      <c r="AZ344" s="128">
        <v>0</v>
      </c>
      <c r="BA344" s="128">
        <v>0</v>
      </c>
      <c r="BB344" s="128">
        <v>0</v>
      </c>
      <c r="BC344" s="128">
        <f>BB344</f>
        <v>0</v>
      </c>
      <c r="BD344" s="128">
        <f t="shared" ref="BD344:BG344" si="135">BC344</f>
        <v>0</v>
      </c>
      <c r="BE344" s="128">
        <f t="shared" si="135"/>
        <v>0</v>
      </c>
      <c r="BF344" s="128">
        <f t="shared" si="135"/>
        <v>0</v>
      </c>
      <c r="BG344" s="128">
        <f t="shared" si="135"/>
        <v>0</v>
      </c>
    </row>
    <row r="345" spans="1:59" ht="13.75" customHeight="1">
      <c r="A345" s="171" t="s">
        <v>166</v>
      </c>
      <c r="B345" s="165" t="s">
        <v>448</v>
      </c>
      <c r="C345" s="165"/>
      <c r="D345" s="165" t="s">
        <v>168</v>
      </c>
      <c r="E345" s="167"/>
      <c r="F345" s="168" t="s">
        <v>459</v>
      </c>
      <c r="G345" s="168" t="s">
        <v>4</v>
      </c>
      <c r="H345" s="168"/>
      <c r="I345" s="168"/>
      <c r="W345" s="151">
        <v>1197.0833333333333</v>
      </c>
      <c r="X345" s="128">
        <v>691.25</v>
      </c>
      <c r="Y345" s="128">
        <v>642.54166666666663</v>
      </c>
      <c r="Z345" s="128">
        <v>823.70833333333337</v>
      </c>
      <c r="AA345" s="128">
        <v>828.5763888888888</v>
      </c>
      <c r="AB345" s="128">
        <v>646.58333333333337</v>
      </c>
      <c r="AC345" s="128">
        <v>494.45833333333331</v>
      </c>
      <c r="AD345" s="128">
        <v>928.27499999999998</v>
      </c>
      <c r="AE345" s="128">
        <v>1064</v>
      </c>
      <c r="AF345" s="128">
        <v>914.58619579855622</v>
      </c>
      <c r="AG345" s="128">
        <v>919.1558115326352</v>
      </c>
      <c r="AH345" s="128">
        <v>889.41221353170897</v>
      </c>
      <c r="AI345" s="128">
        <v>899.23944405927989</v>
      </c>
      <c r="AJ345" s="128">
        <v>917.384059000913</v>
      </c>
      <c r="AK345" s="128">
        <v>921.05359523691664</v>
      </c>
      <c r="AL345" s="128">
        <v>924.73780961786429</v>
      </c>
      <c r="AM345" s="128">
        <v>928.4367608563357</v>
      </c>
      <c r="AN345" s="128">
        <v>932.15050789976101</v>
      </c>
      <c r="AO345" s="128">
        <v>935.87910993136006</v>
      </c>
      <c r="AP345" s="128">
        <v>939.62262637108552</v>
      </c>
      <c r="AQ345" s="128">
        <v>943.38111687656988</v>
      </c>
      <c r="AR345" s="128">
        <v>947.15464134407614</v>
      </c>
      <c r="AS345" s="128">
        <v>950.94325990945242</v>
      </c>
      <c r="AT345" s="128">
        <v>954.74703294909023</v>
      </c>
      <c r="AU345" s="128">
        <v>958.56602108088657</v>
      </c>
      <c r="AV345" s="128">
        <v>962.40028516521011</v>
      </c>
      <c r="AW345" s="128">
        <v>966.24988630587097</v>
      </c>
      <c r="AX345" s="128">
        <v>970.11488585109441</v>
      </c>
      <c r="AY345" s="128">
        <v>973.99534539449883</v>
      </c>
      <c r="AZ345" s="128">
        <v>977.89132677607688</v>
      </c>
      <c r="BA345" s="128">
        <v>981.80289208318118</v>
      </c>
      <c r="BB345" s="128">
        <v>985.7301036515139</v>
      </c>
      <c r="BC345" s="128">
        <f t="shared" ref="BC345:BG346" si="136">BB345*(1+((BB345-BA345)/BA345))</f>
        <v>989.67302406611998</v>
      </c>
      <c r="BD345" s="128">
        <f t="shared" si="136"/>
        <v>993.63171616238446</v>
      </c>
      <c r="BE345" s="128">
        <f t="shared" si="136"/>
        <v>997.606243027034</v>
      </c>
      <c r="BF345" s="128">
        <f t="shared" si="136"/>
        <v>1001.5966679991421</v>
      </c>
      <c r="BG345" s="128">
        <f t="shared" si="136"/>
        <v>1005.6030546711387</v>
      </c>
    </row>
    <row r="346" spans="1:59" ht="13.75" customHeight="1">
      <c r="A346" s="171" t="s">
        <v>166</v>
      </c>
      <c r="B346" s="165" t="s">
        <v>448</v>
      </c>
      <c r="C346" s="165"/>
      <c r="D346" s="165" t="s">
        <v>168</v>
      </c>
      <c r="E346" s="167"/>
      <c r="F346" s="168" t="s">
        <v>460</v>
      </c>
      <c r="G346" s="168" t="s">
        <v>4</v>
      </c>
      <c r="H346" s="168"/>
      <c r="I346" s="168"/>
      <c r="X346" s="116">
        <v>0</v>
      </c>
      <c r="Y346" s="128">
        <v>1095.8490566037735</v>
      </c>
      <c r="Z346" s="128">
        <v>1193.4615384615386</v>
      </c>
      <c r="AA346" s="128">
        <v>1258.2352941176471</v>
      </c>
      <c r="AB346" s="128">
        <v>898.07692307692309</v>
      </c>
      <c r="AC346" s="128">
        <v>747.88461538461536</v>
      </c>
      <c r="AD346" s="128">
        <v>1046.7924528301887</v>
      </c>
      <c r="AE346" s="128">
        <v>1018</v>
      </c>
      <c r="AF346" s="128">
        <v>915.14354903550247</v>
      </c>
      <c r="AG346" s="128">
        <v>1089.5516886431435</v>
      </c>
      <c r="AH346" s="128">
        <v>1060.4789890040233</v>
      </c>
      <c r="AI346" s="128">
        <v>1074.5015607291969</v>
      </c>
      <c r="AJ346" s="128">
        <v>1078.7995669721136</v>
      </c>
      <c r="AK346" s="128">
        <v>1083.114765240002</v>
      </c>
      <c r="AL346" s="128">
        <v>1087.447224300962</v>
      </c>
      <c r="AM346" s="128">
        <v>1091.7970131981658</v>
      </c>
      <c r="AN346" s="128">
        <v>1096.1642012509585</v>
      </c>
      <c r="AO346" s="128">
        <v>1100.5488580559625</v>
      </c>
      <c r="AP346" s="128">
        <v>1104.9510534881863</v>
      </c>
      <c r="AQ346" s="128">
        <v>1109.3708577021391</v>
      </c>
      <c r="AR346" s="128">
        <v>1113.8083411329476</v>
      </c>
      <c r="AS346" s="128">
        <v>1118.2635744974793</v>
      </c>
      <c r="AT346" s="128">
        <v>1122.7366287954692</v>
      </c>
      <c r="AU346" s="128">
        <v>1127.227575310651</v>
      </c>
      <c r="AV346" s="128">
        <v>1131.7364856118936</v>
      </c>
      <c r="AW346" s="128">
        <v>1136.2634315543412</v>
      </c>
      <c r="AX346" s="128">
        <v>1140.8084852805587</v>
      </c>
      <c r="AY346" s="128">
        <v>1145.3717192216809</v>
      </c>
      <c r="AZ346" s="128">
        <v>1149.9532060985675</v>
      </c>
      <c r="BA346" s="128">
        <v>1154.5530189229619</v>
      </c>
      <c r="BB346" s="128">
        <v>1159.1712309986538</v>
      </c>
      <c r="BC346" s="128">
        <f t="shared" si="136"/>
        <v>1163.8079159226484</v>
      </c>
      <c r="BD346" s="128">
        <f t="shared" si="136"/>
        <v>1168.4631475863389</v>
      </c>
      <c r="BE346" s="128">
        <f t="shared" si="136"/>
        <v>1173.1370001766843</v>
      </c>
      <c r="BF346" s="128">
        <f t="shared" si="136"/>
        <v>1177.829548177391</v>
      </c>
      <c r="BG346" s="128">
        <f t="shared" si="136"/>
        <v>1182.5408663701005</v>
      </c>
    </row>
    <row r="347" spans="1:59" ht="13.75" customHeight="1" outlineLevel="1">
      <c r="A347" s="171"/>
      <c r="B347" s="165"/>
      <c r="C347" s="165"/>
      <c r="D347" s="165"/>
      <c r="E347" s="167"/>
      <c r="F347" s="168"/>
      <c r="G347" s="168"/>
      <c r="H347" s="168"/>
      <c r="I347" s="168"/>
      <c r="Y347" s="120"/>
      <c r="Z347" s="128"/>
      <c r="AA347" s="128"/>
      <c r="AB347" s="128"/>
      <c r="AC347" s="128"/>
      <c r="AD347" s="128"/>
      <c r="AE347" s="128"/>
      <c r="AF347" s="128"/>
      <c r="AG347" s="128"/>
      <c r="AH347" s="128"/>
    </row>
    <row r="348" spans="1:59" ht="13.75" customHeight="1" outlineLevel="1">
      <c r="A348" s="171"/>
      <c r="B348" s="165"/>
      <c r="C348" s="165"/>
      <c r="D348" s="165"/>
      <c r="E348" s="167"/>
      <c r="F348" s="168"/>
      <c r="G348" s="168"/>
      <c r="H348" s="168"/>
      <c r="I348" s="168"/>
      <c r="Y348" s="120"/>
      <c r="Z348" s="157"/>
      <c r="AA348" s="157"/>
      <c r="AB348" s="157"/>
      <c r="AC348" s="157"/>
      <c r="AD348" s="157"/>
      <c r="AE348" s="157"/>
      <c r="AF348" s="157"/>
      <c r="AG348" s="157"/>
      <c r="AH348" s="157"/>
    </row>
    <row r="349" spans="1:59" ht="13.75" customHeight="1" outlineLevel="1">
      <c r="A349" s="171"/>
      <c r="B349" s="165"/>
      <c r="C349" s="165"/>
      <c r="D349" s="165"/>
      <c r="E349" s="167"/>
      <c r="F349" s="168"/>
      <c r="G349" s="168"/>
      <c r="H349" s="168"/>
      <c r="I349" s="168"/>
      <c r="Y349" s="120"/>
      <c r="Z349" s="157"/>
      <c r="AA349" s="157"/>
      <c r="AB349" s="157"/>
      <c r="AC349" s="157"/>
      <c r="AD349" s="157"/>
      <c r="AE349" s="157"/>
      <c r="AF349" s="157"/>
      <c r="AG349" s="157"/>
      <c r="AH349" s="157"/>
    </row>
    <row r="350" spans="1:59" ht="13.75" customHeight="1" outlineLevel="1">
      <c r="A350" s="171"/>
      <c r="B350" s="165"/>
      <c r="C350" s="165"/>
      <c r="D350" s="165"/>
      <c r="E350" s="167"/>
      <c r="F350" s="168"/>
      <c r="G350" s="168"/>
      <c r="H350" s="168"/>
      <c r="I350" s="168"/>
      <c r="Y350" s="120"/>
      <c r="Z350" s="157"/>
      <c r="AA350" s="157"/>
      <c r="AB350" s="157"/>
      <c r="AC350" s="157"/>
      <c r="AD350" s="157"/>
      <c r="AE350" s="157"/>
      <c r="AF350" s="157"/>
      <c r="AG350" s="157"/>
      <c r="AH350" s="157"/>
    </row>
    <row r="351" spans="1:59" ht="13.75" customHeight="1" outlineLevel="1">
      <c r="A351" s="171"/>
      <c r="B351" s="165"/>
      <c r="C351" s="165"/>
      <c r="D351" s="165"/>
      <c r="E351" s="167"/>
      <c r="F351" s="168"/>
      <c r="G351" s="168"/>
      <c r="H351" s="168"/>
      <c r="I351" s="168"/>
      <c r="Y351" s="120"/>
      <c r="Z351" s="132"/>
      <c r="AA351" s="132"/>
      <c r="AB351" s="132"/>
      <c r="AC351" s="132"/>
      <c r="AD351" s="132"/>
      <c r="AE351" s="132"/>
      <c r="AF351" s="132"/>
      <c r="AG351" s="132"/>
      <c r="AH351" s="132"/>
    </row>
    <row r="352" spans="1:59" ht="13.75" customHeight="1" outlineLevel="1">
      <c r="A352" s="171"/>
      <c r="B352" s="165"/>
      <c r="C352" s="165"/>
      <c r="D352" s="165"/>
      <c r="E352" s="167"/>
      <c r="F352" s="168"/>
      <c r="G352" s="168"/>
      <c r="H352" s="168"/>
      <c r="I352" s="168"/>
      <c r="Y352" s="120"/>
      <c r="Z352" s="157"/>
      <c r="AA352" s="157"/>
      <c r="AB352" s="157"/>
      <c r="AC352" s="157"/>
      <c r="AD352" s="157"/>
      <c r="AE352" s="157"/>
      <c r="AF352" s="157"/>
      <c r="AG352" s="157"/>
      <c r="AH352" s="157"/>
    </row>
    <row r="353" spans="1:34" ht="13.75" customHeight="1" outlineLevel="1">
      <c r="A353" s="171"/>
      <c r="B353" s="165"/>
      <c r="C353" s="165"/>
      <c r="D353" s="165"/>
      <c r="E353" s="167"/>
      <c r="F353" s="168"/>
      <c r="G353" s="168"/>
      <c r="H353" s="168"/>
      <c r="I353" s="168"/>
      <c r="Y353" s="120"/>
      <c r="Z353" s="157"/>
      <c r="AA353" s="157"/>
      <c r="AB353" s="157"/>
      <c r="AC353" s="157"/>
      <c r="AD353" s="157"/>
      <c r="AE353" s="157"/>
      <c r="AF353" s="157"/>
      <c r="AG353" s="157"/>
      <c r="AH353" s="157"/>
    </row>
    <row r="354" spans="1:34" ht="13.75" customHeight="1" outlineLevel="1">
      <c r="A354" s="171"/>
      <c r="B354" s="165"/>
      <c r="C354" s="165"/>
      <c r="D354" s="165"/>
      <c r="E354" s="167"/>
      <c r="F354" s="168"/>
      <c r="G354" s="168"/>
      <c r="H354" s="168"/>
      <c r="I354" s="168"/>
      <c r="Z354" s="157"/>
      <c r="AA354" s="157"/>
      <c r="AB354" s="157"/>
      <c r="AC354" s="157"/>
      <c r="AD354" s="157"/>
      <c r="AE354" s="157"/>
      <c r="AF354" s="157"/>
      <c r="AG354" s="157"/>
      <c r="AH354" s="157"/>
    </row>
    <row r="355" spans="1:34" ht="13.75" customHeight="1" outlineLevel="1">
      <c r="A355" s="171"/>
      <c r="B355" s="165"/>
      <c r="C355" s="165"/>
      <c r="D355" s="165"/>
      <c r="E355" s="167"/>
      <c r="F355" s="168"/>
      <c r="G355" s="168"/>
      <c r="H355" s="168"/>
      <c r="I355" s="168"/>
    </row>
    <row r="356" spans="1:34" ht="13.75" customHeight="1" outlineLevel="1">
      <c r="A356" s="171"/>
      <c r="B356" s="165"/>
      <c r="C356" s="165"/>
      <c r="D356" s="165"/>
      <c r="E356" s="167"/>
      <c r="F356" s="168"/>
      <c r="G356" s="168"/>
      <c r="H356" s="168"/>
      <c r="I356" s="168"/>
      <c r="Z356" s="128"/>
      <c r="AA356" s="128"/>
      <c r="AB356" s="128"/>
      <c r="AC356" s="128"/>
      <c r="AD356" s="128"/>
      <c r="AE356" s="128"/>
      <c r="AF356" s="128"/>
      <c r="AG356" s="128"/>
      <c r="AH356" s="128"/>
    </row>
    <row r="357" spans="1:34" ht="13.75" customHeight="1" outlineLevel="1">
      <c r="A357" s="171"/>
      <c r="B357" s="165"/>
      <c r="C357" s="165"/>
      <c r="D357" s="165"/>
      <c r="E357" s="167"/>
      <c r="F357" s="168"/>
      <c r="G357" s="168"/>
      <c r="H357" s="168"/>
      <c r="I357" s="168"/>
      <c r="Z357" s="128"/>
      <c r="AA357" s="128"/>
      <c r="AB357" s="128"/>
      <c r="AC357" s="128"/>
      <c r="AD357" s="128"/>
      <c r="AE357" s="128"/>
      <c r="AF357" s="128"/>
      <c r="AG357" s="128"/>
      <c r="AH357" s="128"/>
    </row>
    <row r="358" spans="1:34" ht="13.75" customHeight="1" outlineLevel="1">
      <c r="A358" s="171"/>
      <c r="B358" s="165"/>
      <c r="C358" s="165"/>
      <c r="D358" s="165"/>
      <c r="E358" s="167"/>
      <c r="F358" s="168"/>
      <c r="G358" s="168"/>
      <c r="H358" s="168"/>
      <c r="I358" s="168"/>
      <c r="Z358" s="128"/>
      <c r="AA358" s="128"/>
      <c r="AB358" s="128"/>
      <c r="AC358" s="128"/>
      <c r="AD358" s="128"/>
      <c r="AE358" s="128"/>
      <c r="AF358" s="128"/>
      <c r="AG358" s="128"/>
      <c r="AH358" s="128"/>
    </row>
    <row r="359" spans="1:34" ht="13.75" customHeight="1" outlineLevel="1">
      <c r="A359" s="171"/>
      <c r="B359" s="165"/>
      <c r="C359" s="165"/>
      <c r="D359" s="165"/>
      <c r="E359" s="167"/>
      <c r="F359" s="168"/>
      <c r="G359" s="168"/>
      <c r="H359" s="168"/>
      <c r="I359" s="168"/>
      <c r="Z359" s="128"/>
      <c r="AA359" s="128"/>
      <c r="AB359" s="128"/>
      <c r="AC359" s="128"/>
      <c r="AD359" s="128"/>
      <c r="AE359" s="128"/>
      <c r="AF359" s="128"/>
      <c r="AG359" s="128"/>
      <c r="AH359" s="128"/>
    </row>
    <row r="360" spans="1:34" ht="13.75" customHeight="1" outlineLevel="1">
      <c r="A360" s="171"/>
      <c r="B360" s="165"/>
      <c r="C360" s="165"/>
      <c r="D360" s="165"/>
      <c r="E360" s="167"/>
      <c r="F360" s="168"/>
      <c r="G360" s="168"/>
      <c r="H360" s="168"/>
      <c r="I360" s="168"/>
      <c r="Z360" s="128"/>
      <c r="AA360" s="128"/>
      <c r="AB360" s="128"/>
      <c r="AC360" s="128"/>
      <c r="AD360" s="128"/>
      <c r="AE360" s="128"/>
      <c r="AF360" s="128"/>
      <c r="AG360" s="128"/>
      <c r="AH360" s="128"/>
    </row>
    <row r="361" spans="1:34" ht="13.75" customHeight="1" outlineLevel="1">
      <c r="A361" s="171"/>
      <c r="B361" s="165"/>
      <c r="C361" s="165"/>
      <c r="D361" s="165"/>
      <c r="E361" s="167"/>
      <c r="F361" s="168"/>
      <c r="G361" s="168"/>
      <c r="H361" s="168"/>
      <c r="I361" s="168"/>
      <c r="Z361" s="128"/>
      <c r="AA361" s="128"/>
      <c r="AB361" s="128"/>
      <c r="AC361" s="128"/>
      <c r="AD361" s="128"/>
      <c r="AE361" s="128"/>
      <c r="AF361" s="128"/>
      <c r="AG361" s="128"/>
      <c r="AH361" s="128"/>
    </row>
    <row r="362" spans="1:34" ht="13.75" customHeight="1" outlineLevel="1">
      <c r="A362" s="171"/>
      <c r="B362" s="165"/>
      <c r="C362" s="165"/>
      <c r="D362" s="165"/>
      <c r="E362" s="167"/>
      <c r="F362" s="168"/>
      <c r="G362" s="168"/>
      <c r="H362" s="168"/>
      <c r="I362" s="168"/>
      <c r="Z362" s="128"/>
      <c r="AA362" s="128"/>
      <c r="AB362" s="128"/>
      <c r="AC362" s="128"/>
      <c r="AD362" s="128"/>
      <c r="AE362" s="128"/>
      <c r="AF362" s="128"/>
      <c r="AG362" s="128"/>
      <c r="AH362" s="128"/>
    </row>
    <row r="363" spans="1:34" ht="13.75" customHeight="1" outlineLevel="1">
      <c r="A363" s="171"/>
      <c r="B363" s="165"/>
      <c r="C363" s="165"/>
      <c r="D363" s="165"/>
      <c r="E363" s="167"/>
      <c r="F363" s="168"/>
      <c r="G363" s="168"/>
      <c r="H363" s="168"/>
      <c r="I363" s="168"/>
    </row>
    <row r="364" spans="1:34" ht="13.75" customHeight="1" outlineLevel="1">
      <c r="A364" s="171"/>
      <c r="B364" s="165"/>
      <c r="C364" s="165"/>
      <c r="D364" s="165"/>
      <c r="E364" s="167"/>
      <c r="F364" s="168"/>
      <c r="G364" s="168"/>
      <c r="H364" s="168"/>
      <c r="I364" s="168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</row>
    <row r="365" spans="1:34" ht="13.75" customHeight="1" outlineLevel="1">
      <c r="A365" s="171"/>
      <c r="B365" s="165"/>
      <c r="C365" s="165"/>
      <c r="D365" s="165"/>
      <c r="E365" s="167"/>
      <c r="F365" s="168"/>
      <c r="G365" s="168"/>
      <c r="H365" s="168"/>
      <c r="I365" s="168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</row>
    <row r="366" spans="1:34" ht="13.75" customHeight="1" outlineLevel="1">
      <c r="A366" s="171"/>
      <c r="B366" s="165"/>
      <c r="C366" s="165"/>
      <c r="D366" s="165"/>
      <c r="E366" s="167"/>
      <c r="F366" s="168"/>
      <c r="G366" s="168"/>
      <c r="H366" s="168"/>
      <c r="I366" s="168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</row>
    <row r="367" spans="1:34" ht="13.75" customHeight="1" outlineLevel="1">
      <c r="A367" s="171"/>
      <c r="B367" s="165"/>
      <c r="C367" s="165"/>
      <c r="D367" s="165"/>
      <c r="E367" s="167"/>
      <c r="F367" s="168"/>
      <c r="G367" s="168"/>
      <c r="H367" s="168"/>
      <c r="I367" s="168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</row>
    <row r="368" spans="1:34" ht="13.75" customHeight="1" outlineLevel="1">
      <c r="A368" s="171"/>
      <c r="B368" s="165"/>
      <c r="C368" s="165"/>
      <c r="D368" s="165"/>
      <c r="E368" s="167"/>
      <c r="F368" s="168"/>
      <c r="G368" s="168"/>
      <c r="H368" s="168"/>
      <c r="I368" s="168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</row>
    <row r="369" spans="1:34" ht="13.75" customHeight="1" outlineLevel="1">
      <c r="A369" s="171"/>
      <c r="B369" s="165"/>
      <c r="C369" s="165"/>
      <c r="D369" s="165"/>
      <c r="E369" s="167"/>
      <c r="F369" s="168"/>
      <c r="G369" s="168"/>
      <c r="H369" s="168"/>
      <c r="I369" s="168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</row>
    <row r="370" spans="1:34" ht="13.75" customHeight="1">
      <c r="A370" s="141" t="s">
        <v>461</v>
      </c>
      <c r="B370" s="142" t="s">
        <v>462</v>
      </c>
      <c r="F370" s="168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</row>
    <row r="371" spans="1:34" ht="13.75" customHeight="1" outlineLevel="1">
      <c r="F371" s="168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</row>
    <row r="372" spans="1:34" ht="13.75" customHeight="1" outlineLevel="1">
      <c r="F372" s="168"/>
    </row>
    <row r="373" spans="1:34" ht="13.75" customHeight="1" outlineLevel="1">
      <c r="F373" s="168"/>
    </row>
    <row r="374" spans="1:34" ht="13.75" customHeight="1" outlineLevel="1">
      <c r="F374" s="168"/>
    </row>
    <row r="375" spans="1:34" ht="13.75" customHeight="1" outlineLevel="1">
      <c r="F375" s="168"/>
    </row>
    <row r="376" spans="1:34" ht="13.75" customHeight="1" outlineLevel="1">
      <c r="F376" s="168"/>
    </row>
    <row r="377" spans="1:34" ht="13.75" customHeight="1" outlineLevel="1">
      <c r="F377" s="168"/>
    </row>
    <row r="378" spans="1:34" ht="13.75" customHeight="1" outlineLevel="1">
      <c r="F378" s="168"/>
    </row>
    <row r="379" spans="1:34" ht="13.75" customHeight="1" outlineLevel="1">
      <c r="F379" s="168"/>
    </row>
    <row r="380" spans="1:34" ht="13.75" customHeight="1" outlineLevel="1">
      <c r="F380" s="168"/>
    </row>
    <row r="381" spans="1:34" ht="13.75" customHeight="1" outlineLevel="1">
      <c r="F381" s="168"/>
    </row>
    <row r="382" spans="1:34" ht="13.75" customHeight="1" outlineLevel="1">
      <c r="F382" s="168"/>
    </row>
    <row r="383" spans="1:34" ht="13.75" customHeight="1" outlineLevel="1">
      <c r="F383" s="168"/>
    </row>
    <row r="384" spans="1:34" ht="13.75" customHeight="1" outlineLevel="1">
      <c r="F384" s="168"/>
    </row>
    <row r="385" spans="1:34" ht="13.75" customHeight="1" outlineLevel="1">
      <c r="F385" s="168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</row>
    <row r="386" spans="1:34" ht="13.75" customHeight="1" outlineLevel="1">
      <c r="F386" s="168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</row>
    <row r="387" spans="1:34" ht="13.75" customHeight="1" outlineLevel="1">
      <c r="F387" s="168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</row>
    <row r="388" spans="1:34" ht="13.75" customHeight="1" outlineLevel="1">
      <c r="F388" s="168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</row>
    <row r="389" spans="1:34" ht="13.75" customHeight="1" outlineLevel="1">
      <c r="F389" s="168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</row>
    <row r="390" spans="1:34" ht="13.75" customHeight="1" outlineLevel="1">
      <c r="F390" s="168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</row>
    <row r="391" spans="1:34" ht="13.75" customHeight="1" outlineLevel="1">
      <c r="F391" s="168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</row>
    <row r="392" spans="1:34" ht="13.75" customHeight="1" outlineLevel="1">
      <c r="F392" s="168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</row>
    <row r="393" spans="1:34" ht="13.75" customHeight="1" outlineLevel="1">
      <c r="F393" s="168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</row>
    <row r="394" spans="1:34" ht="13.75" customHeight="1" outlineLevel="1">
      <c r="F394" s="168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</row>
    <row r="395" spans="1:34" ht="13.75" customHeight="1" outlineLevel="1">
      <c r="F395" s="168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</row>
    <row r="396" spans="1:34" ht="13.75" customHeight="1">
      <c r="A396" s="141" t="s">
        <v>166</v>
      </c>
      <c r="B396" s="142" t="s">
        <v>463</v>
      </c>
      <c r="F396" s="168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</row>
    <row r="397" spans="1:34" ht="13.75" customHeight="1" outlineLevel="1">
      <c r="F397" s="168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</row>
    <row r="398" spans="1:34" ht="13.75" customHeight="1" outlineLevel="1">
      <c r="F398" s="168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</row>
    <row r="399" spans="1:34" ht="13.75" customHeight="1" outlineLevel="1">
      <c r="F399" s="168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</row>
    <row r="400" spans="1:34" ht="13.75" customHeight="1" outlineLevel="1">
      <c r="F400" s="168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</row>
    <row r="401" spans="6:34" ht="13.75" customHeight="1" outlineLevel="1">
      <c r="F401" s="168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</row>
    <row r="402" spans="6:34" ht="13.75" customHeight="1" outlineLevel="1">
      <c r="F402" s="168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</row>
    <row r="403" spans="6:34" ht="13.75" customHeight="1" outlineLevel="1">
      <c r="F403" s="168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</row>
    <row r="404" spans="6:34" ht="13.75" customHeight="1" outlineLevel="1">
      <c r="F404" s="168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</row>
    <row r="405" spans="6:34" ht="13.75" customHeight="1" outlineLevel="1">
      <c r="F405" s="168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</row>
    <row r="406" spans="6:34" ht="13.75" customHeight="1" outlineLevel="1">
      <c r="F406" s="168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</row>
    <row r="407" spans="6:34" ht="13.75" customHeight="1" outlineLevel="1">
      <c r="F407" s="168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</row>
    <row r="408" spans="6:34" ht="13.75" customHeight="1" outlineLevel="1">
      <c r="F408" s="168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</row>
    <row r="409" spans="6:34" ht="13.75" customHeight="1" outlineLevel="1">
      <c r="F409" s="168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</row>
    <row r="410" spans="6:34" ht="13.75" customHeight="1" outlineLevel="1">
      <c r="F410" s="168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</row>
    <row r="411" spans="6:34" ht="13.75" customHeight="1" outlineLevel="1">
      <c r="F411" s="168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</row>
    <row r="412" spans="6:34" ht="13.75" customHeight="1" outlineLevel="1">
      <c r="F412" s="168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</row>
    <row r="413" spans="6:34" ht="13.75" customHeight="1" outlineLevel="1">
      <c r="F413" s="168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</row>
    <row r="414" spans="6:34" ht="13.75" customHeight="1" outlineLevel="1">
      <c r="F414" s="168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</row>
    <row r="415" spans="6:34" ht="13.75" customHeight="1" outlineLevel="1">
      <c r="F415" s="168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</row>
    <row r="416" spans="6:34" ht="13.75" customHeight="1" outlineLevel="1">
      <c r="F416" s="168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</row>
    <row r="417" spans="1:59" ht="13.75" customHeight="1" outlineLevel="1">
      <c r="F417" s="168"/>
    </row>
    <row r="418" spans="1:59" ht="13.75" customHeight="1" outlineLevel="1">
      <c r="F418" s="168"/>
    </row>
    <row r="419" spans="1:59" ht="13.75" customHeight="1" outlineLevel="1">
      <c r="F419" s="168"/>
    </row>
    <row r="420" spans="1:59" ht="13.75" customHeight="1" outlineLevel="1">
      <c r="F420" s="168"/>
    </row>
    <row r="421" spans="1:59" ht="13.75" customHeight="1" outlineLevel="1">
      <c r="F421" s="168"/>
      <c r="AB421" s="124"/>
    </row>
    <row r="422" spans="1:59" ht="13.75" customHeight="1">
      <c r="A422" s="141" t="s">
        <v>166</v>
      </c>
      <c r="B422" s="142" t="s">
        <v>464</v>
      </c>
      <c r="D422" s="142" t="s">
        <v>168</v>
      </c>
      <c r="F422" s="168" t="s">
        <v>465</v>
      </c>
      <c r="G422" s="109" t="s">
        <v>443</v>
      </c>
      <c r="I422" s="109" t="s">
        <v>466</v>
      </c>
      <c r="N422" s="133">
        <v>1400</v>
      </c>
      <c r="O422" s="133">
        <v>1800</v>
      </c>
      <c r="P422" s="133">
        <v>2400</v>
      </c>
      <c r="Q422" s="133">
        <v>2740</v>
      </c>
      <c r="R422" s="133">
        <v>1370</v>
      </c>
      <c r="S422" s="133">
        <v>1780</v>
      </c>
      <c r="T422" s="133">
        <v>2480</v>
      </c>
      <c r="U422" s="133">
        <v>2760</v>
      </c>
      <c r="V422" s="133">
        <v>2610</v>
      </c>
      <c r="W422" s="133">
        <v>2340</v>
      </c>
      <c r="X422" s="133">
        <v>1490</v>
      </c>
      <c r="Y422" s="133">
        <v>1310</v>
      </c>
      <c r="Z422" s="133">
        <v>1487.1610000000001</v>
      </c>
      <c r="AA422" s="133">
        <v>1621.12</v>
      </c>
      <c r="AB422" s="133">
        <v>1581.847</v>
      </c>
      <c r="AC422" s="133">
        <v>1443.3869999999999</v>
      </c>
      <c r="AD422" s="133">
        <v>1493.8019999999999</v>
      </c>
      <c r="AE422" s="133">
        <v>637.82299999999998</v>
      </c>
      <c r="AF422" s="133">
        <v>1051.2908</v>
      </c>
      <c r="AG422" s="133">
        <v>1108.2666666666667</v>
      </c>
      <c r="AH422" s="133">
        <f>+AG422*(1+AH$2*4)</f>
        <v>1150.0123860106708</v>
      </c>
      <c r="AI422" s="133">
        <f>+AH422*(1+AI$2*3)</f>
        <v>1195.084798217847</v>
      </c>
      <c r="AJ422" s="133">
        <f t="shared" ref="AJ422:AM422" si="137">+AI422*(1+AJ$2*1.5)</f>
        <v>1221.9742061777486</v>
      </c>
      <c r="AK422" s="133">
        <f t="shared" si="137"/>
        <v>1249.4686258167478</v>
      </c>
      <c r="AL422" s="133">
        <f t="shared" si="137"/>
        <v>1277.5816698976246</v>
      </c>
      <c r="AM422" s="133">
        <f t="shared" si="137"/>
        <v>1306.327257470321</v>
      </c>
      <c r="AN422" s="133">
        <f>+AM422*(1+AN$2*1.5)</f>
        <v>1335.7196207634031</v>
      </c>
      <c r="AO422" s="133">
        <f t="shared" ref="AO422:BG423" si="138">+AN422*(1+AO$2*1.5)</f>
        <v>1365.7733122305797</v>
      </c>
      <c r="AP422" s="133">
        <f t="shared" si="138"/>
        <v>1396.5032117557678</v>
      </c>
      <c r="AQ422" s="133">
        <f t="shared" si="138"/>
        <v>1427.9245340202724</v>
      </c>
      <c r="AR422" s="133">
        <f t="shared" si="138"/>
        <v>1460.0528360357284</v>
      </c>
      <c r="AS422" s="133">
        <f t="shared" si="138"/>
        <v>1492.9040248465324</v>
      </c>
      <c r="AT422" s="133">
        <f t="shared" si="138"/>
        <v>1526.4943654055794</v>
      </c>
      <c r="AU422" s="133">
        <f t="shared" si="138"/>
        <v>1560.8404886272049</v>
      </c>
      <c r="AV422" s="133">
        <f t="shared" si="138"/>
        <v>1595.9593996213168</v>
      </c>
      <c r="AW422" s="133">
        <f t="shared" si="138"/>
        <v>1631.8684861127965</v>
      </c>
      <c r="AX422" s="133">
        <f t="shared" si="138"/>
        <v>1668.5855270503343</v>
      </c>
      <c r="AY422" s="133">
        <f t="shared" si="138"/>
        <v>1706.1287014089669</v>
      </c>
      <c r="AZ422" s="133">
        <f t="shared" si="138"/>
        <v>1744.5165971906686</v>
      </c>
      <c r="BA422" s="133">
        <f t="shared" si="138"/>
        <v>1783.7682206274585</v>
      </c>
      <c r="BB422" s="133">
        <f t="shared" si="138"/>
        <v>1823.9030055915762</v>
      </c>
      <c r="BC422" s="133">
        <f t="shared" si="138"/>
        <v>1864.9408232173867</v>
      </c>
      <c r="BD422" s="133">
        <f t="shared" si="138"/>
        <v>1906.9019917397777</v>
      </c>
      <c r="BE422" s="133">
        <f t="shared" si="138"/>
        <v>1949.8072865539227</v>
      </c>
      <c r="BF422" s="133">
        <f t="shared" si="138"/>
        <v>1993.677950501386</v>
      </c>
      <c r="BG422" s="133">
        <f t="shared" si="138"/>
        <v>2038.5357043876672</v>
      </c>
    </row>
    <row r="423" spans="1:59" ht="13.75" customHeight="1">
      <c r="A423" s="141" t="s">
        <v>166</v>
      </c>
      <c r="B423" s="142" t="s">
        <v>464</v>
      </c>
      <c r="D423" s="142" t="s">
        <v>168</v>
      </c>
      <c r="F423" s="168" t="s">
        <v>467</v>
      </c>
      <c r="G423" s="109" t="s">
        <v>443</v>
      </c>
      <c r="I423" s="109" t="s">
        <v>466</v>
      </c>
      <c r="N423" s="133"/>
      <c r="O423" s="133"/>
      <c r="P423" s="133"/>
      <c r="Q423" s="133"/>
      <c r="R423" s="133">
        <v>91</v>
      </c>
      <c r="S423" s="133">
        <v>122</v>
      </c>
      <c r="T423" s="133">
        <v>166</v>
      </c>
      <c r="U423" s="133">
        <v>174</v>
      </c>
      <c r="V423" s="133">
        <v>165</v>
      </c>
      <c r="W423" s="133">
        <v>141</v>
      </c>
      <c r="X423" s="133">
        <v>92</v>
      </c>
      <c r="Y423" s="133">
        <v>93</v>
      </c>
      <c r="Z423" s="133">
        <v>108.57599999999999</v>
      </c>
      <c r="AA423" s="133">
        <v>106.224</v>
      </c>
      <c r="AB423" s="133">
        <v>104.224</v>
      </c>
      <c r="AC423" s="133">
        <v>101.754</v>
      </c>
      <c r="AD423" s="133">
        <v>132.303</v>
      </c>
      <c r="AE423" s="133">
        <v>72.525000000000006</v>
      </c>
      <c r="AF423" s="133">
        <v>82.1</v>
      </c>
      <c r="AG423" s="133">
        <v>83.2</v>
      </c>
      <c r="AH423" s="133">
        <f t="shared" ref="AH423:AM423" si="139">+AG423*(1+AH$2*1.5)</f>
        <v>84.375228383842284</v>
      </c>
      <c r="AI423" s="133">
        <f t="shared" si="139"/>
        <v>86.028686694401699</v>
      </c>
      <c r="AJ423" s="133">
        <f t="shared" si="139"/>
        <v>87.964332145025736</v>
      </c>
      <c r="AK423" s="133">
        <f t="shared" si="139"/>
        <v>89.943529618288807</v>
      </c>
      <c r="AL423" s="133">
        <f t="shared" si="139"/>
        <v>91.967259034700305</v>
      </c>
      <c r="AM423" s="133">
        <f t="shared" si="139"/>
        <v>94.03652236298106</v>
      </c>
      <c r="AN423" s="133">
        <f>+AM423*(1+AN$2*1.5)</f>
        <v>96.152344116148129</v>
      </c>
      <c r="AO423" s="133">
        <f t="shared" si="138"/>
        <v>98.315771858761451</v>
      </c>
      <c r="AP423" s="133">
        <f t="shared" si="138"/>
        <v>100.52787672558358</v>
      </c>
      <c r="AQ423" s="133">
        <f t="shared" si="138"/>
        <v>102.7897539519092</v>
      </c>
      <c r="AR423" s="133">
        <f t="shared" si="138"/>
        <v>105.10252341582716</v>
      </c>
      <c r="AS423" s="133">
        <f t="shared" si="138"/>
        <v>107.46733019268328</v>
      </c>
      <c r="AT423" s="133">
        <f t="shared" si="138"/>
        <v>109.88534512201865</v>
      </c>
      <c r="AU423" s="133">
        <f t="shared" si="138"/>
        <v>112.35776538726407</v>
      </c>
      <c r="AV423" s="133">
        <f t="shared" si="138"/>
        <v>114.8858151084775</v>
      </c>
      <c r="AW423" s="133">
        <f t="shared" si="138"/>
        <v>117.47074594841824</v>
      </c>
      <c r="AX423" s="133">
        <f t="shared" si="138"/>
        <v>120.11383773225765</v>
      </c>
      <c r="AY423" s="133">
        <f t="shared" si="138"/>
        <v>122.81639908123344</v>
      </c>
      <c r="AZ423" s="133">
        <f t="shared" si="138"/>
        <v>125.57976806056119</v>
      </c>
      <c r="BA423" s="133">
        <f t="shared" si="138"/>
        <v>128.4053128419238</v>
      </c>
      <c r="BB423" s="133">
        <f t="shared" si="138"/>
        <v>131.29443238086708</v>
      </c>
      <c r="BC423" s="133">
        <f t="shared" si="138"/>
        <v>134.24855710943658</v>
      </c>
      <c r="BD423" s="133">
        <f t="shared" si="138"/>
        <v>137.26914964439888</v>
      </c>
      <c r="BE423" s="133">
        <f t="shared" si="138"/>
        <v>140.35770551139785</v>
      </c>
      <c r="BF423" s="133">
        <f t="shared" si="138"/>
        <v>143.51575388540431</v>
      </c>
      <c r="BG423" s="133">
        <f t="shared" si="138"/>
        <v>146.7448583478259</v>
      </c>
    </row>
    <row r="424" spans="1:59" ht="13.75" customHeight="1">
      <c r="A424" s="141" t="s">
        <v>166</v>
      </c>
      <c r="B424" s="142" t="s">
        <v>464</v>
      </c>
      <c r="D424" s="142" t="s">
        <v>168</v>
      </c>
      <c r="F424" s="168" t="s">
        <v>468</v>
      </c>
      <c r="G424" s="109" t="s">
        <v>443</v>
      </c>
      <c r="I424" s="109" t="s">
        <v>466</v>
      </c>
      <c r="N424" s="133"/>
      <c r="O424" s="133"/>
      <c r="P424" s="133"/>
      <c r="Q424" s="133"/>
      <c r="R424" s="133">
        <v>41</v>
      </c>
      <c r="S424" s="133">
        <v>60</v>
      </c>
      <c r="T424" s="133">
        <v>111</v>
      </c>
      <c r="U424" s="133">
        <v>129</v>
      </c>
      <c r="V424" s="133">
        <v>111</v>
      </c>
      <c r="W424" s="133">
        <v>88</v>
      </c>
      <c r="X424" s="133">
        <v>51</v>
      </c>
      <c r="Y424" s="133">
        <v>53</v>
      </c>
      <c r="Z424" s="133">
        <v>80.153999999999996</v>
      </c>
      <c r="AA424" s="133">
        <v>80.701999999999998</v>
      </c>
      <c r="AB424" s="133">
        <v>78.807000000000002</v>
      </c>
      <c r="AC424" s="133">
        <v>72.683000000000007</v>
      </c>
      <c r="AD424" s="133">
        <v>100.196</v>
      </c>
      <c r="AE424" s="133">
        <v>84.671999999999997</v>
      </c>
      <c r="AF424" s="133">
        <v>145.30000000000001</v>
      </c>
      <c r="AG424" s="133">
        <v>107.5</v>
      </c>
      <c r="AH424" s="133">
        <v>107.9</v>
      </c>
      <c r="AI424" s="133">
        <f t="shared" ref="AI424:AX425" si="140">+AH424*(1+AI$2)</f>
        <v>109.30964083990578</v>
      </c>
      <c r="AJ424" s="133">
        <f t="shared" si="140"/>
        <v>110.94928545250436</v>
      </c>
      <c r="AK424" s="133">
        <f t="shared" si="140"/>
        <v>112.61352473429191</v>
      </c>
      <c r="AL424" s="133">
        <f t="shared" si="140"/>
        <v>114.30272760530629</v>
      </c>
      <c r="AM424" s="133">
        <f t="shared" si="140"/>
        <v>116.01726851938587</v>
      </c>
      <c r="AN424" s="133">
        <f t="shared" si="140"/>
        <v>117.75752754717664</v>
      </c>
      <c r="AO424" s="133">
        <f t="shared" si="140"/>
        <v>119.52389046038428</v>
      </c>
      <c r="AP424" s="133">
        <f t="shared" si="140"/>
        <v>121.31674881729003</v>
      </c>
      <c r="AQ424" s="133">
        <f t="shared" si="140"/>
        <v>123.13650004954937</v>
      </c>
      <c r="AR424" s="133">
        <f t="shared" si="140"/>
        <v>124.9835475502926</v>
      </c>
      <c r="AS424" s="133">
        <f t="shared" si="140"/>
        <v>126.85830076354698</v>
      </c>
      <c r="AT424" s="133">
        <f t="shared" si="140"/>
        <v>128.76117527500017</v>
      </c>
      <c r="AU424" s="133">
        <f t="shared" si="140"/>
        <v>130.69259290412515</v>
      </c>
      <c r="AV424" s="133">
        <f t="shared" si="140"/>
        <v>132.652981797687</v>
      </c>
      <c r="AW424" s="133">
        <f t="shared" si="140"/>
        <v>134.64277652465231</v>
      </c>
      <c r="AX424" s="133">
        <f t="shared" si="140"/>
        <v>136.66241817252208</v>
      </c>
      <c r="AY424" s="133">
        <f t="shared" ref="AY424:BG425" si="141">+AX424*(1+AY$2)</f>
        <v>138.7123544451099</v>
      </c>
      <c r="AZ424" s="133">
        <f t="shared" si="141"/>
        <v>140.79303976178653</v>
      </c>
      <c r="BA424" s="133">
        <f t="shared" si="141"/>
        <v>142.90493535821332</v>
      </c>
      <c r="BB424" s="133">
        <f t="shared" si="141"/>
        <v>145.0485093885865</v>
      </c>
      <c r="BC424" s="133">
        <f t="shared" si="141"/>
        <v>147.22423702941529</v>
      </c>
      <c r="BD424" s="133">
        <f t="shared" si="141"/>
        <v>149.43260058485652</v>
      </c>
      <c r="BE424" s="133">
        <f t="shared" si="141"/>
        <v>151.67408959362936</v>
      </c>
      <c r="BF424" s="133">
        <f t="shared" si="141"/>
        <v>153.94920093753379</v>
      </c>
      <c r="BG424" s="133">
        <f t="shared" si="141"/>
        <v>156.25843895159679</v>
      </c>
    </row>
    <row r="425" spans="1:59" ht="13.75" customHeight="1">
      <c r="A425" s="141" t="s">
        <v>166</v>
      </c>
      <c r="B425" s="142" t="s">
        <v>464</v>
      </c>
      <c r="D425" s="142" t="s">
        <v>168</v>
      </c>
      <c r="F425" s="168" t="s">
        <v>469</v>
      </c>
      <c r="G425" s="109" t="s">
        <v>443</v>
      </c>
      <c r="I425" s="109" t="s">
        <v>466</v>
      </c>
      <c r="N425" s="133"/>
      <c r="O425" s="133"/>
      <c r="P425" s="133"/>
      <c r="Q425" s="133"/>
      <c r="R425" s="133">
        <v>10.3</v>
      </c>
      <c r="S425" s="133">
        <v>12.4</v>
      </c>
      <c r="T425" s="133">
        <v>16.399999999999999</v>
      </c>
      <c r="U425" s="133">
        <v>17.100000000000001</v>
      </c>
      <c r="V425" s="133">
        <v>15.2</v>
      </c>
      <c r="W425" s="133">
        <v>11.2</v>
      </c>
      <c r="X425" s="133">
        <v>9</v>
      </c>
      <c r="Y425" s="133">
        <v>10.4</v>
      </c>
      <c r="Z425" s="133">
        <v>11.7</v>
      </c>
      <c r="AA425" s="133">
        <v>13.273999999999999</v>
      </c>
      <c r="AB425" s="133">
        <v>13.962999999999999</v>
      </c>
      <c r="AC425" s="133">
        <v>13.339</v>
      </c>
      <c r="AD425" s="133">
        <v>15.664</v>
      </c>
      <c r="AE425" s="133">
        <v>13.584</v>
      </c>
      <c r="AF425" s="133">
        <v>16.7</v>
      </c>
      <c r="AG425" s="133">
        <v>15.8</v>
      </c>
      <c r="AH425" s="133">
        <f t="shared" ref="AH425:AM425" si="142">+AG425*(1+AH$2)</f>
        <v>15.948786926800544</v>
      </c>
      <c r="AI425" s="133">
        <f t="shared" si="142"/>
        <v>16.157147088051456</v>
      </c>
      <c r="AJ425" s="133">
        <f t="shared" si="142"/>
        <v>16.399504294372225</v>
      </c>
      <c r="AK425" s="133">
        <f t="shared" si="142"/>
        <v>16.645496858787805</v>
      </c>
      <c r="AL425" s="133">
        <f t="shared" si="142"/>
        <v>16.895179311669619</v>
      </c>
      <c r="AM425" s="133">
        <f t="shared" si="142"/>
        <v>17.148607001344661</v>
      </c>
      <c r="AN425" s="133">
        <f>+AM425*(1+AN$2)</f>
        <v>17.405836106364831</v>
      </c>
      <c r="AO425" s="133">
        <f t="shared" si="140"/>
        <v>17.666923647960303</v>
      </c>
      <c r="AP425" s="133">
        <f t="shared" si="140"/>
        <v>17.931927502679706</v>
      </c>
      <c r="AQ425" s="133">
        <f t="shared" si="140"/>
        <v>18.200906415219901</v>
      </c>
      <c r="AR425" s="133">
        <f t="shared" si="140"/>
        <v>18.473920011448197</v>
      </c>
      <c r="AS425" s="133">
        <f t="shared" si="140"/>
        <v>18.751028811619918</v>
      </c>
      <c r="AT425" s="133">
        <f t="shared" si="140"/>
        <v>19.032294243794215</v>
      </c>
      <c r="AU425" s="133">
        <f t="shared" si="140"/>
        <v>19.317778657451125</v>
      </c>
      <c r="AV425" s="133">
        <f t="shared" si="140"/>
        <v>19.607545337312889</v>
      </c>
      <c r="AW425" s="133">
        <f t="shared" si="140"/>
        <v>19.901658517372582</v>
      </c>
      <c r="AX425" s="133">
        <f t="shared" si="140"/>
        <v>20.20018339513317</v>
      </c>
      <c r="AY425" s="133">
        <f t="shared" si="141"/>
        <v>20.503186146060166</v>
      </c>
      <c r="AZ425" s="133">
        <f t="shared" si="141"/>
        <v>20.810733938251065</v>
      </c>
      <c r="BA425" s="133">
        <f t="shared" si="141"/>
        <v>21.122894947324831</v>
      </c>
      <c r="BB425" s="133">
        <f t="shared" si="141"/>
        <v>21.439738371534702</v>
      </c>
      <c r="BC425" s="133">
        <f t="shared" si="141"/>
        <v>21.761334447107721</v>
      </c>
      <c r="BD425" s="133">
        <f t="shared" si="141"/>
        <v>22.087754463814335</v>
      </c>
      <c r="BE425" s="133">
        <f t="shared" si="141"/>
        <v>22.419070780771548</v>
      </c>
      <c r="BF425" s="133">
        <f t="shared" si="141"/>
        <v>22.755356842483121</v>
      </c>
      <c r="BG425" s="133">
        <f t="shared" si="141"/>
        <v>23.096687195120364</v>
      </c>
    </row>
    <row r="426" spans="1:59" ht="13.75" customHeight="1" outlineLevel="1">
      <c r="F426" s="168"/>
    </row>
    <row r="427" spans="1:59" ht="13.75" customHeight="1" outlineLevel="1">
      <c r="F427" s="168"/>
    </row>
    <row r="428" spans="1:59" ht="13.75" customHeight="1" outlineLevel="1">
      <c r="F428" s="168"/>
    </row>
    <row r="429" spans="1:59" ht="13.75" customHeight="1" outlineLevel="1">
      <c r="F429" s="168"/>
    </row>
    <row r="430" spans="1:59" ht="13.75" customHeight="1" outlineLevel="1">
      <c r="F430" s="168"/>
    </row>
    <row r="431" spans="1:59" ht="13.75" customHeight="1" outlineLevel="1">
      <c r="F431" s="168"/>
    </row>
    <row r="432" spans="1:59" ht="13.75" customHeight="1" outlineLevel="1">
      <c r="F432" s="168"/>
    </row>
    <row r="433" spans="6:59" ht="13.75" customHeight="1" outlineLevel="1">
      <c r="F433" s="168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</row>
    <row r="434" spans="6:59" ht="13.75" customHeight="1" outlineLevel="1">
      <c r="F434" s="168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</row>
    <row r="435" spans="6:59" ht="13.75" customHeight="1" outlineLevel="1">
      <c r="F435" s="168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</row>
    <row r="436" spans="6:59" ht="13.75" customHeight="1" outlineLevel="1">
      <c r="F436" s="168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</row>
    <row r="437" spans="6:59" ht="13.75" customHeight="1" outlineLevel="1">
      <c r="F437" s="168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</row>
    <row r="438" spans="6:59" ht="13.75" customHeight="1" outlineLevel="1">
      <c r="F438" s="168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</row>
    <row r="439" spans="6:59" ht="13.75" customHeight="1" outlineLevel="1">
      <c r="F439" s="168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</row>
    <row r="440" spans="6:59" ht="13.75" customHeight="1" outlineLevel="1">
      <c r="F440" s="168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</row>
    <row r="441" spans="6:59" ht="13.75" customHeight="1" outlineLevel="1">
      <c r="F441" s="168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</row>
    <row r="442" spans="6:59" ht="13.75" customHeight="1" outlineLevel="1">
      <c r="F442" s="168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</row>
    <row r="443" spans="6:59" ht="13.75" customHeight="1" outlineLevel="1">
      <c r="F443" s="168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</row>
    <row r="444" spans="6:59" ht="13.75" customHeight="1" outlineLevel="1">
      <c r="F444" s="168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</row>
    <row r="445" spans="6:59" ht="13.75" customHeight="1" outlineLevel="1">
      <c r="F445" s="168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</row>
    <row r="446" spans="6:59" ht="13.75" customHeight="1" outlineLevel="1">
      <c r="F446" s="168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</row>
    <row r="447" spans="6:59" ht="13.75" customHeight="1" outlineLevel="1">
      <c r="F447" s="168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</row>
    <row r="448" spans="6:59" ht="13.75" customHeight="1">
      <c r="F448" s="168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107"/>
      <c r="AZ448" s="107"/>
      <c r="BA448" s="107"/>
      <c r="BB448" s="107"/>
      <c r="BC448" s="107"/>
      <c r="BD448" s="107"/>
      <c r="BE448" s="107"/>
      <c r="BF448" s="107"/>
      <c r="BG448" s="107"/>
    </row>
    <row r="449" spans="6:59" ht="13.75" customHeight="1" outlineLevel="1">
      <c r="F449" s="168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107"/>
      <c r="AZ449" s="107"/>
      <c r="BA449" s="107"/>
      <c r="BB449" s="107"/>
      <c r="BC449" s="107"/>
      <c r="BD449" s="107"/>
      <c r="BE449" s="107"/>
      <c r="BF449" s="107"/>
      <c r="BG449" s="107"/>
    </row>
    <row r="450" spans="6:59" ht="13.75" customHeight="1" outlineLevel="1">
      <c r="F450" s="168"/>
      <c r="W450" s="109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107"/>
      <c r="AZ450" s="107"/>
      <c r="BA450" s="107"/>
      <c r="BB450" s="107"/>
      <c r="BC450" s="107"/>
      <c r="BD450" s="107"/>
      <c r="BE450" s="107"/>
      <c r="BF450" s="107"/>
      <c r="BG450" s="107"/>
    </row>
    <row r="451" spans="6:59" ht="13.75" customHeight="1" outlineLevel="1">
      <c r="F451" s="168"/>
      <c r="W451" s="109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107"/>
      <c r="AZ451" s="107"/>
      <c r="BA451" s="107"/>
      <c r="BB451" s="107"/>
      <c r="BC451" s="107"/>
      <c r="BD451" s="107"/>
      <c r="BE451" s="107"/>
      <c r="BF451" s="107"/>
      <c r="BG451" s="107"/>
    </row>
    <row r="452" spans="6:59" ht="13.75" customHeight="1" outlineLevel="1">
      <c r="F452" s="168"/>
      <c r="W452" s="109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107"/>
      <c r="AZ452" s="107"/>
      <c r="BA452" s="107"/>
      <c r="BB452" s="107"/>
      <c r="BC452" s="107"/>
      <c r="BD452" s="107"/>
      <c r="BE452" s="107"/>
      <c r="BF452" s="107"/>
      <c r="BG452" s="107"/>
    </row>
    <row r="453" spans="6:59" ht="13.75" customHeight="1" outlineLevel="1">
      <c r="F453" s="168"/>
      <c r="W453" s="109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107"/>
      <c r="AZ453" s="107"/>
      <c r="BA453" s="107"/>
      <c r="BB453" s="107"/>
      <c r="BC453" s="107"/>
      <c r="BD453" s="107"/>
      <c r="BE453" s="107"/>
      <c r="BF453" s="107"/>
      <c r="BG453" s="107"/>
    </row>
    <row r="454" spans="6:59" ht="13.75" customHeight="1" outlineLevel="1">
      <c r="F454" s="168"/>
      <c r="W454" s="109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107"/>
      <c r="AZ454" s="107"/>
      <c r="BA454" s="107"/>
      <c r="BB454" s="107"/>
      <c r="BC454" s="107"/>
      <c r="BD454" s="107"/>
      <c r="BE454" s="107"/>
      <c r="BF454" s="107"/>
      <c r="BG454" s="107"/>
    </row>
    <row r="455" spans="6:59" ht="13.75" customHeight="1" outlineLevel="1">
      <c r="F455" s="168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107"/>
      <c r="AZ455" s="107"/>
      <c r="BA455" s="107"/>
      <c r="BB455" s="107"/>
      <c r="BC455" s="107"/>
      <c r="BD455" s="107"/>
      <c r="BE455" s="107"/>
      <c r="BF455" s="107"/>
      <c r="BG455" s="107"/>
    </row>
    <row r="456" spans="6:59" ht="13.75" customHeight="1" outlineLevel="1">
      <c r="F456" s="168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</row>
    <row r="457" spans="6:59" ht="13.75" customHeight="1" outlineLevel="1">
      <c r="F457" s="168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</row>
    <row r="458" spans="6:59" ht="13.75" customHeight="1" outlineLevel="1">
      <c r="F458" s="168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</row>
    <row r="459" spans="6:59" ht="13.75" customHeight="1" outlineLevel="1">
      <c r="F459" s="168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</row>
    <row r="460" spans="6:59" ht="13.75" customHeight="1" outlineLevel="1">
      <c r="F460" s="168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</row>
    <row r="461" spans="6:59" ht="13.75" customHeight="1" outlineLevel="1">
      <c r="F461" s="168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</row>
    <row r="462" spans="6:59" ht="13.75" customHeight="1" outlineLevel="1">
      <c r="F462" s="168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</row>
    <row r="463" spans="6:59" ht="13.75" customHeight="1" outlineLevel="1">
      <c r="F463" s="168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</row>
    <row r="464" spans="6:59" ht="13.75" customHeight="1" outlineLevel="1">
      <c r="F464" s="168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</row>
    <row r="465" spans="1:34" ht="13.75" customHeight="1" outlineLevel="1">
      <c r="F465" s="168"/>
    </row>
    <row r="466" spans="1:34" ht="13.75" customHeight="1" outlineLevel="1">
      <c r="F466" s="168"/>
    </row>
    <row r="467" spans="1:34" ht="13.75" customHeight="1" outlineLevel="1">
      <c r="F467" s="168"/>
    </row>
    <row r="468" spans="1:34" ht="13.75" customHeight="1" outlineLevel="1">
      <c r="F468" s="168"/>
    </row>
    <row r="469" spans="1:34" ht="13.75" customHeight="1" outlineLevel="1">
      <c r="F469" s="168"/>
    </row>
    <row r="470" spans="1:34" ht="13.75" customHeight="1" outlineLevel="1">
      <c r="F470" s="168"/>
    </row>
    <row r="471" spans="1:34" ht="13.75" customHeight="1" outlineLevel="1">
      <c r="F471" s="168"/>
    </row>
    <row r="472" spans="1:34" ht="13.75" customHeight="1" outlineLevel="1">
      <c r="F472" s="168"/>
    </row>
    <row r="473" spans="1:34" ht="13.75" customHeight="1" outlineLevel="1">
      <c r="F473" s="168"/>
    </row>
    <row r="474" spans="1:34" ht="13.75" customHeight="1">
      <c r="A474" s="141" t="s">
        <v>166</v>
      </c>
      <c r="B474" s="142" t="s">
        <v>470</v>
      </c>
      <c r="D474" s="142" t="s">
        <v>168</v>
      </c>
      <c r="F474" s="168" t="s">
        <v>471</v>
      </c>
      <c r="G474" s="109" t="s">
        <v>472</v>
      </c>
      <c r="W474" s="112">
        <v>2850.1783333333333</v>
      </c>
      <c r="X474" s="128">
        <v>2885</v>
      </c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</row>
    <row r="475" spans="1:34" ht="13.75" customHeight="1">
      <c r="A475" s="141" t="s">
        <v>166</v>
      </c>
      <c r="B475" s="142" t="s">
        <v>470</v>
      </c>
      <c r="D475" s="142" t="s">
        <v>168</v>
      </c>
      <c r="F475" s="168" t="s">
        <v>473</v>
      </c>
      <c r="G475" s="109" t="s">
        <v>472</v>
      </c>
      <c r="W475" s="112">
        <v>2714.8058333333333</v>
      </c>
      <c r="X475" s="128">
        <v>2764</v>
      </c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</row>
    <row r="476" spans="1:34" ht="13.75" customHeight="1">
      <c r="A476" s="141" t="s">
        <v>166</v>
      </c>
      <c r="B476" s="142" t="s">
        <v>470</v>
      </c>
      <c r="D476" s="142" t="s">
        <v>168</v>
      </c>
      <c r="F476" s="168" t="s">
        <v>474</v>
      </c>
      <c r="G476" s="109" t="s">
        <v>472</v>
      </c>
      <c r="W476" s="112">
        <v>2721.3241666666668</v>
      </c>
      <c r="X476" s="128">
        <v>3071</v>
      </c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</row>
    <row r="477" spans="1:34" ht="13.75" customHeight="1">
      <c r="A477" s="141" t="s">
        <v>166</v>
      </c>
      <c r="B477" s="142" t="s">
        <v>470</v>
      </c>
      <c r="D477" s="142" t="s">
        <v>168</v>
      </c>
      <c r="F477" s="168" t="s">
        <v>475</v>
      </c>
      <c r="G477" s="109" t="s">
        <v>472</v>
      </c>
      <c r="W477" s="112">
        <v>4249.96</v>
      </c>
      <c r="X477" s="128">
        <v>4255</v>
      </c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</row>
    <row r="478" spans="1:34" ht="13.75" customHeight="1">
      <c r="A478" s="141" t="s">
        <v>166</v>
      </c>
      <c r="B478" s="142" t="s">
        <v>470</v>
      </c>
      <c r="D478" s="142" t="s">
        <v>168</v>
      </c>
      <c r="F478" s="168" t="s">
        <v>476</v>
      </c>
      <c r="G478" s="109" t="s">
        <v>472</v>
      </c>
      <c r="W478" s="112">
        <v>3278.2641666666664</v>
      </c>
      <c r="X478" s="128">
        <v>3041</v>
      </c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</row>
    <row r="479" spans="1:34" ht="13.75" customHeight="1">
      <c r="A479" s="141" t="s">
        <v>166</v>
      </c>
      <c r="B479" s="142" t="s">
        <v>470</v>
      </c>
      <c r="D479" s="142" t="s">
        <v>168</v>
      </c>
      <c r="F479" s="168" t="s">
        <v>477</v>
      </c>
      <c r="G479" s="109" t="s">
        <v>472</v>
      </c>
      <c r="W479" s="112">
        <v>2908.2416666666668</v>
      </c>
      <c r="X479" s="128">
        <v>2942</v>
      </c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</row>
    <row r="480" spans="1:34" ht="13.75" customHeight="1">
      <c r="A480" s="141" t="s">
        <v>166</v>
      </c>
      <c r="B480" s="142" t="s">
        <v>470</v>
      </c>
      <c r="D480" s="142" t="s">
        <v>168</v>
      </c>
      <c r="F480" s="168" t="s">
        <v>478</v>
      </c>
      <c r="G480" s="109" t="s">
        <v>472</v>
      </c>
      <c r="W480" s="112">
        <v>2376.0224999999996</v>
      </c>
      <c r="X480" s="128">
        <v>2648</v>
      </c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</row>
    <row r="481" spans="1:59" ht="13.75" customHeight="1">
      <c r="A481" s="141" t="s">
        <v>166</v>
      </c>
      <c r="B481" s="142" t="s">
        <v>470</v>
      </c>
      <c r="D481" s="142" t="s">
        <v>168</v>
      </c>
      <c r="F481" s="168" t="s">
        <v>479</v>
      </c>
      <c r="G481" s="109" t="s">
        <v>472</v>
      </c>
      <c r="W481" s="112">
        <v>2945.8766666666666</v>
      </c>
      <c r="X481" s="128">
        <v>2873</v>
      </c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</row>
    <row r="482" spans="1:59" ht="13.75" customHeight="1">
      <c r="A482" s="141" t="s">
        <v>166</v>
      </c>
      <c r="B482" s="142" t="s">
        <v>470</v>
      </c>
      <c r="D482" s="142" t="s">
        <v>168</v>
      </c>
      <c r="F482" s="168" t="s">
        <v>480</v>
      </c>
      <c r="G482" s="109" t="s">
        <v>472</v>
      </c>
    </row>
    <row r="483" spans="1:59" ht="13.75" customHeight="1">
      <c r="A483" s="141" t="s">
        <v>166</v>
      </c>
      <c r="B483" s="142" t="s">
        <v>470</v>
      </c>
      <c r="D483" s="142" t="s">
        <v>168</v>
      </c>
      <c r="F483" s="168" t="s">
        <v>481</v>
      </c>
      <c r="X483" s="107">
        <v>1.2217364176627665E-2</v>
      </c>
      <c r="Y483" s="158">
        <v>7.8682842287695065E-2</v>
      </c>
      <c r="Z483" s="107">
        <v>0.10154241645244211</v>
      </c>
      <c r="AA483" s="158">
        <v>3.7339556592765444E-2</v>
      </c>
      <c r="AB483" s="158">
        <v>5.6896551724137989E-2</v>
      </c>
      <c r="AC483" s="107">
        <v>-4.127609806248933E-2</v>
      </c>
      <c r="AD483" s="107">
        <v>7.1985046384995144E-2</v>
      </c>
      <c r="AE483" s="107">
        <v>0.28100000000000003</v>
      </c>
      <c r="AF483" s="107">
        <v>0.15</v>
      </c>
      <c r="AG483" s="107">
        <f t="shared" ref="AG483:BG483" si="143">AG$3</f>
        <v>6.3441420107429369E-2</v>
      </c>
      <c r="AH483" s="107">
        <f t="shared" si="143"/>
        <v>3.158962342501126E-2</v>
      </c>
      <c r="AI483" s="107">
        <f t="shared" si="143"/>
        <v>3.966564408166029E-2</v>
      </c>
      <c r="AJ483" s="107">
        <f t="shared" si="143"/>
        <v>0.04</v>
      </c>
      <c r="AK483" s="107">
        <f t="shared" si="143"/>
        <v>0.04</v>
      </c>
      <c r="AL483" s="107">
        <f t="shared" si="143"/>
        <v>0.04</v>
      </c>
      <c r="AM483" s="107">
        <f t="shared" si="143"/>
        <v>0.04</v>
      </c>
      <c r="AN483" s="107">
        <f t="shared" si="143"/>
        <v>0.04</v>
      </c>
      <c r="AO483" s="107">
        <f t="shared" si="143"/>
        <v>0.04</v>
      </c>
      <c r="AP483" s="107">
        <f t="shared" si="143"/>
        <v>0.04</v>
      </c>
      <c r="AQ483" s="107">
        <f t="shared" si="143"/>
        <v>0.04</v>
      </c>
      <c r="AR483" s="107">
        <f t="shared" si="143"/>
        <v>0.04</v>
      </c>
      <c r="AS483" s="107">
        <f t="shared" si="143"/>
        <v>0.04</v>
      </c>
      <c r="AT483" s="107">
        <f t="shared" si="143"/>
        <v>0.04</v>
      </c>
      <c r="AU483" s="107">
        <f t="shared" si="143"/>
        <v>0.04</v>
      </c>
      <c r="AV483" s="107">
        <f t="shared" si="143"/>
        <v>0.04</v>
      </c>
      <c r="AW483" s="107">
        <f t="shared" si="143"/>
        <v>0.04</v>
      </c>
      <c r="AX483" s="107">
        <f t="shared" si="143"/>
        <v>0.04</v>
      </c>
      <c r="AY483" s="107">
        <f t="shared" si="143"/>
        <v>0.04</v>
      </c>
      <c r="AZ483" s="107">
        <f t="shared" si="143"/>
        <v>0.04</v>
      </c>
      <c r="BA483" s="107">
        <f t="shared" si="143"/>
        <v>0.04</v>
      </c>
      <c r="BB483" s="107">
        <f t="shared" si="143"/>
        <v>0.04</v>
      </c>
      <c r="BC483" s="107">
        <f t="shared" si="143"/>
        <v>0.04</v>
      </c>
      <c r="BD483" s="107">
        <f t="shared" si="143"/>
        <v>0.04</v>
      </c>
      <c r="BE483" s="107">
        <f t="shared" si="143"/>
        <v>0.04</v>
      </c>
      <c r="BF483" s="107">
        <f t="shared" si="143"/>
        <v>0.04</v>
      </c>
      <c r="BG483" s="107">
        <f t="shared" si="143"/>
        <v>0.04</v>
      </c>
    </row>
    <row r="484" spans="1:59" ht="13.75" customHeight="1">
      <c r="A484" s="141" t="s">
        <v>166</v>
      </c>
      <c r="B484" s="142" t="s">
        <v>470</v>
      </c>
      <c r="D484" s="142" t="s">
        <v>168</v>
      </c>
      <c r="F484" s="168" t="s">
        <v>482</v>
      </c>
      <c r="X484" s="107">
        <v>1.8120694328354281E-2</v>
      </c>
      <c r="Y484" s="158">
        <v>0.17329956584659922</v>
      </c>
      <c r="Z484" s="107">
        <v>7.9247610237434429E-2</v>
      </c>
      <c r="AA484" s="158">
        <v>5.1714285714285824E-2</v>
      </c>
      <c r="AB484" s="158">
        <v>5.1648351648351687E-2</v>
      </c>
      <c r="AC484" s="107">
        <v>3.3372981166087667E-2</v>
      </c>
      <c r="AD484" s="107">
        <v>6.6389174167316378E-2</v>
      </c>
      <c r="AE484" s="107">
        <v>0.20100000000000001</v>
      </c>
      <c r="AF484" s="107">
        <f t="shared" ref="AF484:AM490" si="144">AF483</f>
        <v>0.15</v>
      </c>
      <c r="AG484" s="107">
        <f t="shared" si="144"/>
        <v>6.3441420107429369E-2</v>
      </c>
      <c r="AH484" s="107">
        <f t="shared" si="144"/>
        <v>3.158962342501126E-2</v>
      </c>
      <c r="AI484" s="107">
        <f t="shared" si="144"/>
        <v>3.966564408166029E-2</v>
      </c>
      <c r="AJ484" s="107">
        <f t="shared" si="144"/>
        <v>0.04</v>
      </c>
      <c r="AK484" s="107">
        <f t="shared" si="144"/>
        <v>0.04</v>
      </c>
      <c r="AL484" s="107">
        <f t="shared" si="144"/>
        <v>0.04</v>
      </c>
      <c r="AM484" s="107">
        <f>AM483</f>
        <v>0.04</v>
      </c>
      <c r="AN484" s="107">
        <f t="shared" ref="AN484:BG490" si="145">AN483</f>
        <v>0.04</v>
      </c>
      <c r="AO484" s="107">
        <f t="shared" si="145"/>
        <v>0.04</v>
      </c>
      <c r="AP484" s="107">
        <f t="shared" si="145"/>
        <v>0.04</v>
      </c>
      <c r="AQ484" s="107">
        <f t="shared" si="145"/>
        <v>0.04</v>
      </c>
      <c r="AR484" s="107">
        <f t="shared" si="145"/>
        <v>0.04</v>
      </c>
      <c r="AS484" s="107">
        <f t="shared" si="145"/>
        <v>0.04</v>
      </c>
      <c r="AT484" s="107">
        <f t="shared" si="145"/>
        <v>0.04</v>
      </c>
      <c r="AU484" s="107">
        <f t="shared" si="145"/>
        <v>0.04</v>
      </c>
      <c r="AV484" s="107">
        <f t="shared" si="145"/>
        <v>0.04</v>
      </c>
      <c r="AW484" s="107">
        <f t="shared" si="145"/>
        <v>0.04</v>
      </c>
      <c r="AX484" s="107">
        <f t="shared" si="145"/>
        <v>0.04</v>
      </c>
      <c r="AY484" s="107">
        <f t="shared" si="145"/>
        <v>0.04</v>
      </c>
      <c r="AZ484" s="107">
        <f t="shared" si="145"/>
        <v>0.04</v>
      </c>
      <c r="BA484" s="107">
        <f t="shared" si="145"/>
        <v>0.04</v>
      </c>
      <c r="BB484" s="107">
        <f t="shared" si="145"/>
        <v>0.04</v>
      </c>
      <c r="BC484" s="107">
        <f t="shared" si="145"/>
        <v>0.04</v>
      </c>
      <c r="BD484" s="107">
        <f t="shared" si="145"/>
        <v>0.04</v>
      </c>
      <c r="BE484" s="107">
        <f t="shared" si="145"/>
        <v>0.04</v>
      </c>
      <c r="BF484" s="107">
        <f t="shared" si="145"/>
        <v>0.04</v>
      </c>
      <c r="BG484" s="107">
        <f t="shared" si="145"/>
        <v>0.04</v>
      </c>
    </row>
    <row r="485" spans="1:59" ht="13.75" customHeight="1">
      <c r="A485" s="141" t="s">
        <v>166</v>
      </c>
      <c r="B485" s="142" t="s">
        <v>470</v>
      </c>
      <c r="D485" s="142" t="s">
        <v>168</v>
      </c>
      <c r="F485" s="168" t="s">
        <v>483</v>
      </c>
      <c r="X485" s="107">
        <v>0.12849473709030734</v>
      </c>
      <c r="Y485" s="158">
        <v>0.13871703028329541</v>
      </c>
      <c r="Z485" s="107">
        <v>5.8621675722047462E-2</v>
      </c>
      <c r="AA485" s="158">
        <v>3.2955159373311727E-2</v>
      </c>
      <c r="AB485" s="158">
        <v>5.7507987220447365E-2</v>
      </c>
      <c r="AC485" s="107">
        <v>-4.4507151568307091E-4</v>
      </c>
      <c r="AD485" s="107">
        <v>3.038008264877945E-2</v>
      </c>
      <c r="AE485" s="107">
        <v>2.9000000000000001E-2</v>
      </c>
      <c r="AF485" s="107">
        <f t="shared" si="144"/>
        <v>0.15</v>
      </c>
      <c r="AG485" s="107">
        <f t="shared" si="144"/>
        <v>6.3441420107429369E-2</v>
      </c>
      <c r="AH485" s="107">
        <f t="shared" si="144"/>
        <v>3.158962342501126E-2</v>
      </c>
      <c r="AI485" s="107">
        <f t="shared" si="144"/>
        <v>3.966564408166029E-2</v>
      </c>
      <c r="AJ485" s="107">
        <f t="shared" si="144"/>
        <v>0.04</v>
      </c>
      <c r="AK485" s="107">
        <f t="shared" si="144"/>
        <v>0.04</v>
      </c>
      <c r="AL485" s="107">
        <f t="shared" si="144"/>
        <v>0.04</v>
      </c>
      <c r="AM485" s="107">
        <f t="shared" si="144"/>
        <v>0.04</v>
      </c>
      <c r="AN485" s="107">
        <f t="shared" si="145"/>
        <v>0.04</v>
      </c>
      <c r="AO485" s="107">
        <f t="shared" si="145"/>
        <v>0.04</v>
      </c>
      <c r="AP485" s="107">
        <f t="shared" si="145"/>
        <v>0.04</v>
      </c>
      <c r="AQ485" s="107">
        <f t="shared" si="145"/>
        <v>0.04</v>
      </c>
      <c r="AR485" s="107">
        <f t="shared" si="145"/>
        <v>0.04</v>
      </c>
      <c r="AS485" s="107">
        <f t="shared" si="145"/>
        <v>0.04</v>
      </c>
      <c r="AT485" s="107">
        <f t="shared" si="145"/>
        <v>0.04</v>
      </c>
      <c r="AU485" s="107">
        <f t="shared" si="145"/>
        <v>0.04</v>
      </c>
      <c r="AV485" s="107">
        <f t="shared" si="145"/>
        <v>0.04</v>
      </c>
      <c r="AW485" s="107">
        <f t="shared" si="145"/>
        <v>0.04</v>
      </c>
      <c r="AX485" s="107">
        <f t="shared" si="145"/>
        <v>0.04</v>
      </c>
      <c r="AY485" s="107">
        <f t="shared" si="145"/>
        <v>0.04</v>
      </c>
      <c r="AZ485" s="107">
        <f t="shared" si="145"/>
        <v>0.04</v>
      </c>
      <c r="BA485" s="107">
        <f t="shared" si="145"/>
        <v>0.04</v>
      </c>
      <c r="BB485" s="107">
        <f t="shared" si="145"/>
        <v>0.04</v>
      </c>
      <c r="BC485" s="107">
        <f t="shared" si="145"/>
        <v>0.04</v>
      </c>
      <c r="BD485" s="107">
        <f t="shared" si="145"/>
        <v>0.04</v>
      </c>
      <c r="BE485" s="107">
        <f t="shared" si="145"/>
        <v>0.04</v>
      </c>
      <c r="BF485" s="107">
        <f t="shared" si="145"/>
        <v>0.04</v>
      </c>
      <c r="BG485" s="107">
        <f t="shared" si="145"/>
        <v>0.04</v>
      </c>
    </row>
    <row r="486" spans="1:59" ht="13.75" customHeight="1">
      <c r="A486" s="141" t="s">
        <v>166</v>
      </c>
      <c r="B486" s="142" t="s">
        <v>470</v>
      </c>
      <c r="D486" s="142" t="s">
        <v>168</v>
      </c>
      <c r="F486" s="168" t="s">
        <v>484</v>
      </c>
      <c r="X486" s="107">
        <v>1.1858935142918803E-3</v>
      </c>
      <c r="Y486" s="158">
        <v>-3.9482961222091606E-2</v>
      </c>
      <c r="Z486" s="107">
        <v>4.1350623929532704E-2</v>
      </c>
      <c r="AA486" s="158">
        <v>1.2453007518796966E-2</v>
      </c>
      <c r="AB486" s="158">
        <v>3.4059314179796019E-2</v>
      </c>
      <c r="AC486" s="107">
        <v>2.4535089498316065E-2</v>
      </c>
      <c r="AD486" s="107">
        <v>2.9829443004277145E-2</v>
      </c>
      <c r="AE486" s="107">
        <v>0.13900000000000001</v>
      </c>
      <c r="AF486" s="107">
        <f t="shared" si="144"/>
        <v>0.15</v>
      </c>
      <c r="AG486" s="107">
        <f t="shared" si="144"/>
        <v>6.3441420107429369E-2</v>
      </c>
      <c r="AH486" s="107">
        <f t="shared" si="144"/>
        <v>3.158962342501126E-2</v>
      </c>
      <c r="AI486" s="107">
        <f t="shared" si="144"/>
        <v>3.966564408166029E-2</v>
      </c>
      <c r="AJ486" s="107">
        <f t="shared" si="144"/>
        <v>0.04</v>
      </c>
      <c r="AK486" s="107">
        <f t="shared" si="144"/>
        <v>0.04</v>
      </c>
      <c r="AL486" s="107">
        <f t="shared" si="144"/>
        <v>0.04</v>
      </c>
      <c r="AM486" s="107">
        <f t="shared" si="144"/>
        <v>0.04</v>
      </c>
      <c r="AN486" s="107">
        <f t="shared" si="145"/>
        <v>0.04</v>
      </c>
      <c r="AO486" s="107">
        <f t="shared" si="145"/>
        <v>0.04</v>
      </c>
      <c r="AP486" s="107">
        <f t="shared" si="145"/>
        <v>0.04</v>
      </c>
      <c r="AQ486" s="107">
        <f t="shared" si="145"/>
        <v>0.04</v>
      </c>
      <c r="AR486" s="107">
        <f t="shared" si="145"/>
        <v>0.04</v>
      </c>
      <c r="AS486" s="107">
        <f t="shared" si="145"/>
        <v>0.04</v>
      </c>
      <c r="AT486" s="107">
        <f t="shared" si="145"/>
        <v>0.04</v>
      </c>
      <c r="AU486" s="107">
        <f t="shared" si="145"/>
        <v>0.04</v>
      </c>
      <c r="AV486" s="107">
        <f t="shared" si="145"/>
        <v>0.04</v>
      </c>
      <c r="AW486" s="107">
        <f t="shared" si="145"/>
        <v>0.04</v>
      </c>
      <c r="AX486" s="107">
        <f t="shared" si="145"/>
        <v>0.04</v>
      </c>
      <c r="AY486" s="107">
        <f t="shared" si="145"/>
        <v>0.04</v>
      </c>
      <c r="AZ486" s="107">
        <f t="shared" si="145"/>
        <v>0.04</v>
      </c>
      <c r="BA486" s="107">
        <f t="shared" si="145"/>
        <v>0.04</v>
      </c>
      <c r="BB486" s="107">
        <f t="shared" si="145"/>
        <v>0.04</v>
      </c>
      <c r="BC486" s="107">
        <f t="shared" si="145"/>
        <v>0.04</v>
      </c>
      <c r="BD486" s="107">
        <f t="shared" si="145"/>
        <v>0.04</v>
      </c>
      <c r="BE486" s="107">
        <f t="shared" si="145"/>
        <v>0.04</v>
      </c>
      <c r="BF486" s="107">
        <f t="shared" si="145"/>
        <v>0.04</v>
      </c>
      <c r="BG486" s="107">
        <f t="shared" si="145"/>
        <v>0.04</v>
      </c>
    </row>
    <row r="487" spans="1:59" ht="13.75" customHeight="1">
      <c r="A487" s="141" t="s">
        <v>166</v>
      </c>
      <c r="B487" s="142" t="s">
        <v>470</v>
      </c>
      <c r="D487" s="142" t="s">
        <v>168</v>
      </c>
      <c r="F487" s="168" t="s">
        <v>485</v>
      </c>
      <c r="X487" s="107">
        <v>-7.2374938261279942E-2</v>
      </c>
      <c r="Y487" s="158">
        <v>6.7083196317000882E-2</v>
      </c>
      <c r="Z487" s="107">
        <v>0.15593220338983049</v>
      </c>
      <c r="AA487" s="158">
        <v>8.3711010397227392E-2</v>
      </c>
      <c r="AB487" s="158">
        <v>7.9118678017025434E-2</v>
      </c>
      <c r="AC487" s="107">
        <v>7.8701898401316583E-3</v>
      </c>
      <c r="AD487" s="107">
        <v>0.13523029752083282</v>
      </c>
      <c r="AE487" s="107">
        <v>0.157</v>
      </c>
      <c r="AF487" s="107">
        <f t="shared" si="144"/>
        <v>0.15</v>
      </c>
      <c r="AG487" s="107">
        <f t="shared" si="144"/>
        <v>6.3441420107429369E-2</v>
      </c>
      <c r="AH487" s="107">
        <f t="shared" si="144"/>
        <v>3.158962342501126E-2</v>
      </c>
      <c r="AI487" s="107">
        <f t="shared" si="144"/>
        <v>3.966564408166029E-2</v>
      </c>
      <c r="AJ487" s="107">
        <f t="shared" si="144"/>
        <v>0.04</v>
      </c>
      <c r="AK487" s="107">
        <f t="shared" si="144"/>
        <v>0.04</v>
      </c>
      <c r="AL487" s="107">
        <f t="shared" si="144"/>
        <v>0.04</v>
      </c>
      <c r="AM487" s="107">
        <f t="shared" si="144"/>
        <v>0.04</v>
      </c>
      <c r="AN487" s="107">
        <f t="shared" si="145"/>
        <v>0.04</v>
      </c>
      <c r="AO487" s="107">
        <f t="shared" si="145"/>
        <v>0.04</v>
      </c>
      <c r="AP487" s="107">
        <f t="shared" si="145"/>
        <v>0.04</v>
      </c>
      <c r="AQ487" s="107">
        <f t="shared" si="145"/>
        <v>0.04</v>
      </c>
      <c r="AR487" s="107">
        <f t="shared" si="145"/>
        <v>0.04</v>
      </c>
      <c r="AS487" s="107">
        <f t="shared" si="145"/>
        <v>0.04</v>
      </c>
      <c r="AT487" s="107">
        <f t="shared" si="145"/>
        <v>0.04</v>
      </c>
      <c r="AU487" s="107">
        <f t="shared" si="145"/>
        <v>0.04</v>
      </c>
      <c r="AV487" s="107">
        <f t="shared" si="145"/>
        <v>0.04</v>
      </c>
      <c r="AW487" s="107">
        <f t="shared" si="145"/>
        <v>0.04</v>
      </c>
      <c r="AX487" s="107">
        <f t="shared" si="145"/>
        <v>0.04</v>
      </c>
      <c r="AY487" s="107">
        <f t="shared" si="145"/>
        <v>0.04</v>
      </c>
      <c r="AZ487" s="107">
        <f t="shared" si="145"/>
        <v>0.04</v>
      </c>
      <c r="BA487" s="107">
        <f t="shared" si="145"/>
        <v>0.04</v>
      </c>
      <c r="BB487" s="107">
        <f t="shared" si="145"/>
        <v>0.04</v>
      </c>
      <c r="BC487" s="107">
        <f t="shared" si="145"/>
        <v>0.04</v>
      </c>
      <c r="BD487" s="107">
        <f t="shared" si="145"/>
        <v>0.04</v>
      </c>
      <c r="BE487" s="107">
        <f t="shared" si="145"/>
        <v>0.04</v>
      </c>
      <c r="BF487" s="107">
        <f t="shared" si="145"/>
        <v>0.04</v>
      </c>
      <c r="BG487" s="107">
        <f t="shared" si="145"/>
        <v>0.04</v>
      </c>
    </row>
    <row r="488" spans="1:59" ht="13.75" customHeight="1">
      <c r="A488" s="141" t="s">
        <v>166</v>
      </c>
      <c r="B488" s="142" t="s">
        <v>470</v>
      </c>
      <c r="D488" s="142" t="s">
        <v>168</v>
      </c>
      <c r="F488" s="168" t="s">
        <v>486</v>
      </c>
      <c r="X488" s="107">
        <v>1.1607815719119952E-2</v>
      </c>
      <c r="Y488" s="158">
        <v>2.4813052345343367E-2</v>
      </c>
      <c r="Z488" s="107">
        <v>2.553897180762843E-2</v>
      </c>
      <c r="AA488" s="158">
        <v>5.6274256144890122E-2</v>
      </c>
      <c r="AB488" s="158">
        <v>-3.8212634822804348E-2</v>
      </c>
      <c r="AC488" s="107">
        <v>9.2731976046794395E-2</v>
      </c>
      <c r="AD488" s="107">
        <v>8.6311541932692082E-2</v>
      </c>
      <c r="AE488" s="107">
        <v>0.19</v>
      </c>
      <c r="AF488" s="107">
        <f t="shared" si="144"/>
        <v>0.15</v>
      </c>
      <c r="AG488" s="107">
        <f t="shared" si="144"/>
        <v>6.3441420107429369E-2</v>
      </c>
      <c r="AH488" s="107">
        <f t="shared" si="144"/>
        <v>3.158962342501126E-2</v>
      </c>
      <c r="AI488" s="107">
        <f t="shared" si="144"/>
        <v>3.966564408166029E-2</v>
      </c>
      <c r="AJ488" s="107">
        <f t="shared" si="144"/>
        <v>0.04</v>
      </c>
      <c r="AK488" s="107">
        <f t="shared" si="144"/>
        <v>0.04</v>
      </c>
      <c r="AL488" s="107">
        <f t="shared" si="144"/>
        <v>0.04</v>
      </c>
      <c r="AM488" s="107">
        <f t="shared" si="144"/>
        <v>0.04</v>
      </c>
      <c r="AN488" s="107">
        <f t="shared" si="145"/>
        <v>0.04</v>
      </c>
      <c r="AO488" s="107">
        <f t="shared" si="145"/>
        <v>0.04</v>
      </c>
      <c r="AP488" s="107">
        <f t="shared" si="145"/>
        <v>0.04</v>
      </c>
      <c r="AQ488" s="107">
        <f t="shared" si="145"/>
        <v>0.04</v>
      </c>
      <c r="AR488" s="107">
        <f t="shared" si="145"/>
        <v>0.04</v>
      </c>
      <c r="AS488" s="107">
        <f t="shared" si="145"/>
        <v>0.04</v>
      </c>
      <c r="AT488" s="107">
        <f t="shared" si="145"/>
        <v>0.04</v>
      </c>
      <c r="AU488" s="107">
        <f t="shared" si="145"/>
        <v>0.04</v>
      </c>
      <c r="AV488" s="107">
        <f t="shared" si="145"/>
        <v>0.04</v>
      </c>
      <c r="AW488" s="107">
        <f t="shared" si="145"/>
        <v>0.04</v>
      </c>
      <c r="AX488" s="107">
        <f t="shared" si="145"/>
        <v>0.04</v>
      </c>
      <c r="AY488" s="107">
        <f t="shared" si="145"/>
        <v>0.04</v>
      </c>
      <c r="AZ488" s="107">
        <f t="shared" si="145"/>
        <v>0.04</v>
      </c>
      <c r="BA488" s="107">
        <f t="shared" si="145"/>
        <v>0.04</v>
      </c>
      <c r="BB488" s="107">
        <f t="shared" si="145"/>
        <v>0.04</v>
      </c>
      <c r="BC488" s="107">
        <f t="shared" si="145"/>
        <v>0.04</v>
      </c>
      <c r="BD488" s="107">
        <f t="shared" si="145"/>
        <v>0.04</v>
      </c>
      <c r="BE488" s="107">
        <f t="shared" si="145"/>
        <v>0.04</v>
      </c>
      <c r="BF488" s="107">
        <f t="shared" si="145"/>
        <v>0.04</v>
      </c>
      <c r="BG488" s="107">
        <f t="shared" si="145"/>
        <v>0.04</v>
      </c>
    </row>
    <row r="489" spans="1:59" ht="13.75" customHeight="1">
      <c r="A489" s="141" t="s">
        <v>166</v>
      </c>
      <c r="B489" s="142" t="s">
        <v>470</v>
      </c>
      <c r="D489" s="142" t="s">
        <v>168</v>
      </c>
      <c r="F489" s="168" t="s">
        <v>487</v>
      </c>
      <c r="X489" s="107">
        <v>0.11446756080803122</v>
      </c>
      <c r="Y489" s="158">
        <v>5.3625377643504502E-2</v>
      </c>
      <c r="Z489" s="107">
        <v>6.7025089605734722E-2</v>
      </c>
      <c r="AA489" s="158">
        <v>7.4571716493113893E-2</v>
      </c>
      <c r="AB489" s="158">
        <v>5.1152510262077566E-2</v>
      </c>
      <c r="AC489" s="107">
        <v>6.5652293217660418E-2</v>
      </c>
      <c r="AD489" s="107">
        <v>9.6013819078487606E-2</v>
      </c>
      <c r="AE489" s="107">
        <v>0.254</v>
      </c>
      <c r="AF489" s="107">
        <f t="shared" si="144"/>
        <v>0.15</v>
      </c>
      <c r="AG489" s="107">
        <f t="shared" si="144"/>
        <v>6.3441420107429369E-2</v>
      </c>
      <c r="AH489" s="107">
        <f t="shared" si="144"/>
        <v>3.158962342501126E-2</v>
      </c>
      <c r="AI489" s="107">
        <f t="shared" si="144"/>
        <v>3.966564408166029E-2</v>
      </c>
      <c r="AJ489" s="107">
        <f t="shared" si="144"/>
        <v>0.04</v>
      </c>
      <c r="AK489" s="107">
        <f t="shared" si="144"/>
        <v>0.04</v>
      </c>
      <c r="AL489" s="107">
        <f t="shared" si="144"/>
        <v>0.04</v>
      </c>
      <c r="AM489" s="107">
        <f t="shared" si="144"/>
        <v>0.04</v>
      </c>
      <c r="AN489" s="107">
        <f t="shared" si="145"/>
        <v>0.04</v>
      </c>
      <c r="AO489" s="107">
        <f t="shared" si="145"/>
        <v>0.04</v>
      </c>
      <c r="AP489" s="107">
        <f t="shared" si="145"/>
        <v>0.04</v>
      </c>
      <c r="AQ489" s="107">
        <f t="shared" si="145"/>
        <v>0.04</v>
      </c>
      <c r="AR489" s="107">
        <f t="shared" si="145"/>
        <v>0.04</v>
      </c>
      <c r="AS489" s="107">
        <f t="shared" si="145"/>
        <v>0.04</v>
      </c>
      <c r="AT489" s="107">
        <f t="shared" si="145"/>
        <v>0.04</v>
      </c>
      <c r="AU489" s="107">
        <f t="shared" si="145"/>
        <v>0.04</v>
      </c>
      <c r="AV489" s="107">
        <f t="shared" si="145"/>
        <v>0.04</v>
      </c>
      <c r="AW489" s="107">
        <f t="shared" si="145"/>
        <v>0.04</v>
      </c>
      <c r="AX489" s="107">
        <f t="shared" si="145"/>
        <v>0.04</v>
      </c>
      <c r="AY489" s="107">
        <f t="shared" si="145"/>
        <v>0.04</v>
      </c>
      <c r="AZ489" s="107">
        <f t="shared" si="145"/>
        <v>0.04</v>
      </c>
      <c r="BA489" s="107">
        <f t="shared" si="145"/>
        <v>0.04</v>
      </c>
      <c r="BB489" s="107">
        <f t="shared" si="145"/>
        <v>0.04</v>
      </c>
      <c r="BC489" s="107">
        <f t="shared" si="145"/>
        <v>0.04</v>
      </c>
      <c r="BD489" s="107">
        <f t="shared" si="145"/>
        <v>0.04</v>
      </c>
      <c r="BE489" s="107">
        <f t="shared" si="145"/>
        <v>0.04</v>
      </c>
      <c r="BF489" s="107">
        <f t="shared" si="145"/>
        <v>0.04</v>
      </c>
      <c r="BG489" s="107">
        <f t="shared" si="145"/>
        <v>0.04</v>
      </c>
    </row>
    <row r="490" spans="1:59" ht="13.75" customHeight="1">
      <c r="A490" s="141" t="s">
        <v>166</v>
      </c>
      <c r="B490" s="142" t="s">
        <v>470</v>
      </c>
      <c r="D490" s="142" t="s">
        <v>168</v>
      </c>
      <c r="F490" s="168" t="s">
        <v>488</v>
      </c>
      <c r="X490" s="107">
        <v>-2.4738532841949712E-2</v>
      </c>
      <c r="Y490" s="158">
        <v>0.15767490428123909</v>
      </c>
      <c r="Z490" s="107">
        <v>8.538785327720988E-2</v>
      </c>
      <c r="AA490" s="158">
        <v>6.5096952908587191E-2</v>
      </c>
      <c r="AB490" s="158">
        <v>7.7490774907749138E-2</v>
      </c>
      <c r="AC490" s="107">
        <v>1.4400807816866257E-2</v>
      </c>
      <c r="AD490" s="107">
        <v>-1.6297121521103519E-2</v>
      </c>
      <c r="AE490" s="107">
        <v>0.215</v>
      </c>
      <c r="AF490" s="107">
        <f t="shared" si="144"/>
        <v>0.15</v>
      </c>
      <c r="AG490" s="107">
        <f t="shared" si="144"/>
        <v>6.3441420107429369E-2</v>
      </c>
      <c r="AH490" s="107">
        <f t="shared" si="144"/>
        <v>3.158962342501126E-2</v>
      </c>
      <c r="AI490" s="107">
        <f t="shared" si="144"/>
        <v>3.966564408166029E-2</v>
      </c>
      <c r="AJ490" s="107">
        <f t="shared" si="144"/>
        <v>0.04</v>
      </c>
      <c r="AK490" s="107">
        <f t="shared" si="144"/>
        <v>0.04</v>
      </c>
      <c r="AL490" s="107">
        <f t="shared" si="144"/>
        <v>0.04</v>
      </c>
      <c r="AM490" s="107">
        <f t="shared" si="144"/>
        <v>0.04</v>
      </c>
      <c r="AN490" s="107">
        <f t="shared" si="145"/>
        <v>0.04</v>
      </c>
      <c r="AO490" s="107">
        <f t="shared" si="145"/>
        <v>0.04</v>
      </c>
      <c r="AP490" s="107">
        <f t="shared" si="145"/>
        <v>0.04</v>
      </c>
      <c r="AQ490" s="107">
        <f t="shared" si="145"/>
        <v>0.04</v>
      </c>
      <c r="AR490" s="107">
        <f t="shared" si="145"/>
        <v>0.04</v>
      </c>
      <c r="AS490" s="107">
        <f t="shared" si="145"/>
        <v>0.04</v>
      </c>
      <c r="AT490" s="107">
        <f t="shared" si="145"/>
        <v>0.04</v>
      </c>
      <c r="AU490" s="107">
        <f t="shared" si="145"/>
        <v>0.04</v>
      </c>
      <c r="AV490" s="107">
        <f t="shared" si="145"/>
        <v>0.04</v>
      </c>
      <c r="AW490" s="107">
        <f t="shared" si="145"/>
        <v>0.04</v>
      </c>
      <c r="AX490" s="107">
        <f t="shared" si="145"/>
        <v>0.04</v>
      </c>
      <c r="AY490" s="107">
        <f t="shared" si="145"/>
        <v>0.04</v>
      </c>
      <c r="AZ490" s="107">
        <f t="shared" si="145"/>
        <v>0.04</v>
      </c>
      <c r="BA490" s="107">
        <f t="shared" si="145"/>
        <v>0.04</v>
      </c>
      <c r="BB490" s="107">
        <f t="shared" si="145"/>
        <v>0.04</v>
      </c>
      <c r="BC490" s="107">
        <f t="shared" si="145"/>
        <v>0.04</v>
      </c>
      <c r="BD490" s="107">
        <f t="shared" si="145"/>
        <v>0.04</v>
      </c>
      <c r="BE490" s="107">
        <f t="shared" si="145"/>
        <v>0.04</v>
      </c>
      <c r="BF490" s="107">
        <f t="shared" si="145"/>
        <v>0.04</v>
      </c>
      <c r="BG490" s="107">
        <f t="shared" si="145"/>
        <v>0.04</v>
      </c>
    </row>
    <row r="491" spans="1:59" ht="13.75" customHeight="1">
      <c r="A491" s="141" t="s">
        <v>166</v>
      </c>
      <c r="B491" s="142" t="s">
        <v>470</v>
      </c>
      <c r="D491" s="142" t="s">
        <v>168</v>
      </c>
      <c r="F491" s="168" t="s">
        <v>489</v>
      </c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  <c r="AU491" s="116"/>
      <c r="AV491" s="116"/>
      <c r="AW491" s="116"/>
      <c r="AX491" s="116"/>
      <c r="AY491" s="116"/>
      <c r="AZ491" s="116"/>
      <c r="BA491" s="116"/>
      <c r="BB491" s="116"/>
      <c r="BC491" s="116"/>
      <c r="BD491" s="116"/>
      <c r="BE491" s="116"/>
      <c r="BF491" s="116"/>
      <c r="BG491" s="116"/>
    </row>
    <row r="492" spans="1:59" ht="13.75" customHeight="1">
      <c r="A492" s="141" t="s">
        <v>166</v>
      </c>
      <c r="B492" s="142" t="s">
        <v>470</v>
      </c>
      <c r="D492" s="142" t="s">
        <v>168</v>
      </c>
      <c r="F492" s="168" t="s">
        <v>490</v>
      </c>
      <c r="J492" s="107">
        <v>0.11221122112211224</v>
      </c>
      <c r="K492" s="107">
        <v>8.0118694362017573E-2</v>
      </c>
      <c r="L492" s="107">
        <v>7.9670329670329609E-2</v>
      </c>
      <c r="M492" s="107">
        <v>0.11450381679389321</v>
      </c>
      <c r="N492" s="107">
        <v>5.0228310502283158E-2</v>
      </c>
      <c r="O492" s="107">
        <v>0.14130434782608692</v>
      </c>
      <c r="P492" s="107">
        <v>0.14285714285714279</v>
      </c>
      <c r="Q492" s="107">
        <v>1.0000000000000009E-2</v>
      </c>
      <c r="R492" s="107">
        <v>-0.27392739273927391</v>
      </c>
      <c r="S492" s="107">
        <v>0.13181818181818183</v>
      </c>
      <c r="T492" s="107">
        <v>0.15662650602409656</v>
      </c>
      <c r="U492" s="107">
        <v>0.13020833333333326</v>
      </c>
      <c r="V492" s="107">
        <v>6.9124423963133674E-2</v>
      </c>
      <c r="W492" s="107">
        <v>2.7298850574712707E-2</v>
      </c>
      <c r="X492" s="107">
        <v>-0.11504895104895108</v>
      </c>
      <c r="Y492" s="107">
        <v>-0.11766286310332841</v>
      </c>
      <c r="Z492" s="107">
        <v>-5.3735513801070889E-3</v>
      </c>
      <c r="AA492" s="107">
        <v>-2.7625204847917417E-2</v>
      </c>
      <c r="AB492" s="107">
        <v>7.2999999999999995E-2</v>
      </c>
      <c r="AC492" s="107">
        <v>-3.4000000000000002E-2</v>
      </c>
      <c r="AD492" s="107">
        <v>2.4E-2</v>
      </c>
      <c r="AE492" s="107">
        <v>6.0000000000000001E-3</v>
      </c>
      <c r="AF492" s="107">
        <v>0.03</v>
      </c>
      <c r="AG492" s="107">
        <v>0.02</v>
      </c>
      <c r="AH492" s="107">
        <v>0.02</v>
      </c>
      <c r="AI492" s="107">
        <f t="shared" ref="AI492:BG492" si="146">AH492</f>
        <v>0.02</v>
      </c>
      <c r="AJ492" s="107">
        <f t="shared" si="146"/>
        <v>0.02</v>
      </c>
      <c r="AK492" s="107">
        <f t="shared" si="146"/>
        <v>0.02</v>
      </c>
      <c r="AL492" s="107">
        <f t="shared" si="146"/>
        <v>0.02</v>
      </c>
      <c r="AM492" s="107">
        <f t="shared" si="146"/>
        <v>0.02</v>
      </c>
      <c r="AN492" s="107">
        <f t="shared" si="146"/>
        <v>0.02</v>
      </c>
      <c r="AO492" s="107">
        <f t="shared" si="146"/>
        <v>0.02</v>
      </c>
      <c r="AP492" s="107">
        <f t="shared" si="146"/>
        <v>0.02</v>
      </c>
      <c r="AQ492" s="107">
        <f t="shared" si="146"/>
        <v>0.02</v>
      </c>
      <c r="AR492" s="107">
        <f t="shared" si="146"/>
        <v>0.02</v>
      </c>
      <c r="AS492" s="107">
        <f t="shared" si="146"/>
        <v>0.02</v>
      </c>
      <c r="AT492" s="107">
        <f t="shared" si="146"/>
        <v>0.02</v>
      </c>
      <c r="AU492" s="107">
        <f t="shared" si="146"/>
        <v>0.02</v>
      </c>
      <c r="AV492" s="107">
        <f t="shared" si="146"/>
        <v>0.02</v>
      </c>
      <c r="AW492" s="107">
        <f t="shared" si="146"/>
        <v>0.02</v>
      </c>
      <c r="AX492" s="107">
        <f t="shared" si="146"/>
        <v>0.02</v>
      </c>
      <c r="AY492" s="107">
        <f t="shared" si="146"/>
        <v>0.02</v>
      </c>
      <c r="AZ492" s="107">
        <f t="shared" si="146"/>
        <v>0.02</v>
      </c>
      <c r="BA492" s="107">
        <f t="shared" si="146"/>
        <v>0.02</v>
      </c>
      <c r="BB492" s="107">
        <f t="shared" si="146"/>
        <v>0.02</v>
      </c>
      <c r="BC492" s="107">
        <f t="shared" si="146"/>
        <v>0.02</v>
      </c>
      <c r="BD492" s="107">
        <f t="shared" si="146"/>
        <v>0.02</v>
      </c>
      <c r="BE492" s="107">
        <f t="shared" si="146"/>
        <v>0.02</v>
      </c>
      <c r="BF492" s="107">
        <f t="shared" si="146"/>
        <v>0.02</v>
      </c>
      <c r="BG492" s="107">
        <f t="shared" si="146"/>
        <v>0.02</v>
      </c>
    </row>
    <row r="493" spans="1:59" ht="13.75" customHeight="1" outlineLevel="1">
      <c r="F493" s="168"/>
    </row>
    <row r="494" spans="1:59" ht="13.75" customHeight="1" outlineLevel="1">
      <c r="F494" s="168"/>
    </row>
    <row r="495" spans="1:59" ht="13.75" customHeight="1" outlineLevel="1">
      <c r="F495" s="168"/>
    </row>
    <row r="496" spans="1:59" ht="13.75" customHeight="1" outlineLevel="1">
      <c r="F496" s="168"/>
    </row>
    <row r="497" spans="1:59" ht="13.75" customHeight="1" outlineLevel="1">
      <c r="F497" s="168"/>
    </row>
    <row r="498" spans="1:59" ht="13.75" customHeight="1" outlineLevel="1">
      <c r="F498" s="168"/>
    </row>
    <row r="499" spans="1:59" ht="13.75" customHeight="1" outlineLevel="1">
      <c r="F499" s="168"/>
    </row>
    <row r="500" spans="1:59" ht="13.75" customHeight="1" outlineLevel="1">
      <c r="F500" s="168"/>
    </row>
    <row r="501" spans="1:59" ht="13.75" customHeight="1" outlineLevel="1">
      <c r="F501" s="168"/>
    </row>
    <row r="502" spans="1:59" ht="13.75" customHeight="1" outlineLevel="1">
      <c r="F502" s="168"/>
      <c r="AF502" s="135"/>
      <c r="AG502" s="135"/>
      <c r="AH502" s="135"/>
      <c r="AI502" s="135"/>
    </row>
    <row r="503" spans="1:59" ht="13.75" customHeight="1" outlineLevel="1">
      <c r="F503" s="168"/>
    </row>
    <row r="504" spans="1:59" ht="13.75" customHeight="1" outlineLevel="1">
      <c r="F504" s="168"/>
    </row>
    <row r="505" spans="1:59" ht="13.75" customHeight="1" outlineLevel="1">
      <c r="F505" s="168"/>
    </row>
    <row r="506" spans="1:59" ht="13.75" customHeight="1" outlineLevel="1">
      <c r="F506" s="168"/>
      <c r="AD506" s="114"/>
      <c r="AE506" s="114"/>
      <c r="AF506" s="135"/>
      <c r="AG506" s="135"/>
      <c r="AH506" s="135"/>
      <c r="AI506" s="135"/>
      <c r="AJ506" s="114"/>
      <c r="AK506" s="114"/>
      <c r="AL506" s="114"/>
      <c r="AM506" s="114"/>
    </row>
    <row r="507" spans="1:59" ht="13.75" customHeight="1" outlineLevel="1">
      <c r="F507" s="168"/>
    </row>
    <row r="508" spans="1:59" ht="13.75" customHeight="1">
      <c r="A508" s="141" t="s">
        <v>166</v>
      </c>
      <c r="B508" s="142" t="s">
        <v>491</v>
      </c>
      <c r="C508" s="142" t="s">
        <v>492</v>
      </c>
      <c r="D508" s="142" t="s">
        <v>87</v>
      </c>
      <c r="F508" s="168" t="s">
        <v>493</v>
      </c>
      <c r="G508" s="109" t="s">
        <v>494</v>
      </c>
      <c r="U508" s="112">
        <v>149.1</v>
      </c>
      <c r="V508" s="112">
        <v>152.13</v>
      </c>
      <c r="W508" s="112">
        <v>179.87</v>
      </c>
      <c r="X508" s="112">
        <v>223.15</v>
      </c>
      <c r="Y508" s="112">
        <v>347.77486338797814</v>
      </c>
      <c r="Z508" s="112">
        <v>326.05030136986301</v>
      </c>
      <c r="AA508" s="112">
        <v>345.17</v>
      </c>
      <c r="AB508" s="112">
        <v>382.83</v>
      </c>
      <c r="AC508" s="112">
        <v>412.95</v>
      </c>
      <c r="AD508" s="112">
        <v>425.97780821917809</v>
      </c>
      <c r="AE508" s="112">
        <v>460.8</v>
      </c>
      <c r="AF508" s="112">
        <v>462.57</v>
      </c>
      <c r="AG508" s="112">
        <v>484.01816400000007</v>
      </c>
      <c r="AH508" s="112">
        <v>493.19649514800011</v>
      </c>
      <c r="AI508" s="112">
        <f>AVERAGE(AH509:AI509)</f>
        <v>499.71937689075321</v>
      </c>
      <c r="AJ508" s="112">
        <f>AVERAGE(AI509:AJ509)</f>
        <v>509.56731240036146</v>
      </c>
      <c r="AK508" s="112">
        <f>AVERAGE(AJ509:AK509)</f>
        <v>519.75865864836874</v>
      </c>
      <c r="AL508" s="112">
        <f>AVERAGE(AK509:AL509)</f>
        <v>530.1538318213361</v>
      </c>
      <c r="AM508" s="112">
        <f t="shared" ref="AM508:AY508" si="147">AVERAGE(AL509:AM509)</f>
        <v>540.75690845776285</v>
      </c>
      <c r="AN508" s="112">
        <f t="shared" si="147"/>
        <v>551.57204662691811</v>
      </c>
      <c r="AO508" s="112">
        <f t="shared" si="147"/>
        <v>562.60348755945643</v>
      </c>
      <c r="AP508" s="112">
        <f t="shared" si="147"/>
        <v>573.85555731064562</v>
      </c>
      <c r="AQ508" s="112">
        <f t="shared" si="147"/>
        <v>585.33266845685853</v>
      </c>
      <c r="AR508" s="112">
        <f t="shared" si="147"/>
        <v>597.03932182599578</v>
      </c>
      <c r="AS508" s="112">
        <f t="shared" si="147"/>
        <v>608.98010826251573</v>
      </c>
      <c r="AT508" s="112">
        <f t="shared" si="147"/>
        <v>621.15971042776607</v>
      </c>
      <c r="AU508" s="112">
        <f t="shared" si="147"/>
        <v>633.58290463632147</v>
      </c>
      <c r="AV508" s="112">
        <f t="shared" si="147"/>
        <v>646.25456272904785</v>
      </c>
      <c r="AW508" s="112">
        <f t="shared" si="147"/>
        <v>659.17965398362878</v>
      </c>
      <c r="AX508" s="112">
        <f t="shared" si="147"/>
        <v>672.36324706330129</v>
      </c>
      <c r="AY508" s="112">
        <f t="shared" si="147"/>
        <v>685.81051200456739</v>
      </c>
      <c r="AZ508" s="112">
        <f>AVERAGE(AY509:AZ509)</f>
        <v>699.52672224465869</v>
      </c>
      <c r="BA508" s="112">
        <f>AVERAGE(AZ509:BA509)</f>
        <v>713.51725668955191</v>
      </c>
      <c r="BB508" s="112">
        <f>AVERAGE(BA509:BB509)</f>
        <v>727.78760182334304</v>
      </c>
      <c r="BC508" s="112">
        <f t="shared" ref="BC508:BG508" si="148">AVERAGE(BB509:BC509)</f>
        <v>742.34335385980989</v>
      </c>
      <c r="BD508" s="112">
        <f t="shared" si="148"/>
        <v>757.19022093700619</v>
      </c>
      <c r="BE508" s="112">
        <f t="shared" si="148"/>
        <v>772.33402535574623</v>
      </c>
      <c r="BF508" s="112">
        <f t="shared" si="148"/>
        <v>787.78070586286117</v>
      </c>
      <c r="BG508" s="112">
        <f t="shared" si="148"/>
        <v>803.53631998011838</v>
      </c>
    </row>
    <row r="509" spans="1:59" ht="13.75" customHeight="1">
      <c r="A509" s="141" t="s">
        <v>166</v>
      </c>
      <c r="B509" s="142" t="s">
        <v>491</v>
      </c>
      <c r="C509" s="142" t="s">
        <v>492</v>
      </c>
      <c r="D509" s="142" t="s">
        <v>87</v>
      </c>
      <c r="F509" s="168" t="s">
        <v>495</v>
      </c>
      <c r="G509" s="109" t="s">
        <v>494</v>
      </c>
      <c r="I509" s="109" t="s">
        <v>496</v>
      </c>
      <c r="U509" s="112">
        <v>150.4</v>
      </c>
      <c r="V509" s="112">
        <v>154.04</v>
      </c>
      <c r="W509" s="112">
        <v>185</v>
      </c>
      <c r="X509" s="112">
        <v>340.5</v>
      </c>
      <c r="Y509" s="112">
        <v>333.29</v>
      </c>
      <c r="Z509" s="112">
        <v>332.33</v>
      </c>
      <c r="AA509" s="112">
        <v>381.03</v>
      </c>
      <c r="AB509" s="112">
        <v>382.86</v>
      </c>
      <c r="AC509" s="112">
        <v>421.3</v>
      </c>
      <c r="AD509" s="112">
        <v>431.7</v>
      </c>
      <c r="AE509" s="112">
        <v>462.65</v>
      </c>
      <c r="AF509" s="112">
        <v>476.56000000000006</v>
      </c>
      <c r="AG509" s="112">
        <v>491.47632800000014</v>
      </c>
      <c r="AH509" s="112">
        <v>494.91666229600008</v>
      </c>
      <c r="AI509" s="112">
        <f>AH509*(1+AI510-AI$4)</f>
        <v>504.52209148550639</v>
      </c>
      <c r="AJ509" s="112">
        <f t="shared" ref="AJ509:AX509" si="149">AI509*(1+AJ510-AJ$4)</f>
        <v>514.61253331521652</v>
      </c>
      <c r="AK509" s="112">
        <f t="shared" si="149"/>
        <v>524.90478398152084</v>
      </c>
      <c r="AL509" s="112">
        <f t="shared" si="149"/>
        <v>535.40287966115125</v>
      </c>
      <c r="AM509" s="112">
        <f t="shared" si="149"/>
        <v>546.11093725437433</v>
      </c>
      <c r="AN509" s="112">
        <f t="shared" si="149"/>
        <v>557.03315599946188</v>
      </c>
      <c r="AO509" s="112">
        <f t="shared" si="149"/>
        <v>568.17381911945108</v>
      </c>
      <c r="AP509" s="112">
        <f t="shared" si="149"/>
        <v>579.53729550184016</v>
      </c>
      <c r="AQ509" s="112">
        <f t="shared" si="149"/>
        <v>591.12804141187701</v>
      </c>
      <c r="AR509" s="112">
        <f t="shared" si="149"/>
        <v>602.95060224011456</v>
      </c>
      <c r="AS509" s="112">
        <f>AR509*(1+AS510-AS$4)</f>
        <v>615.00961428491689</v>
      </c>
      <c r="AT509" s="112">
        <f t="shared" si="149"/>
        <v>627.30980657061525</v>
      </c>
      <c r="AU509" s="112">
        <f t="shared" si="149"/>
        <v>639.85600270202758</v>
      </c>
      <c r="AV509" s="112">
        <f t="shared" si="149"/>
        <v>652.65312275606811</v>
      </c>
      <c r="AW509" s="112">
        <f t="shared" si="149"/>
        <v>665.70618521118945</v>
      </c>
      <c r="AX509" s="112">
        <f t="shared" si="149"/>
        <v>679.02030891541324</v>
      </c>
      <c r="AY509" s="112">
        <f>AX509*(1+AY510-AY$4)</f>
        <v>692.60071509372153</v>
      </c>
      <c r="AZ509" s="112">
        <f t="shared" ref="AZ509:BA509" si="150">AY509*(1+AZ510-AZ$4)</f>
        <v>706.45272939559595</v>
      </c>
      <c r="BA509" s="112">
        <f t="shared" si="150"/>
        <v>720.58178398350788</v>
      </c>
      <c r="BB509" s="112">
        <f>BA509*(1+BB510-BB$4)</f>
        <v>734.99341966317809</v>
      </c>
      <c r="BC509" s="112">
        <f t="shared" ref="BC509:BG509" si="151">BB509*(1+BC510-BC$4)</f>
        <v>749.6932880564417</v>
      </c>
      <c r="BD509" s="112">
        <f t="shared" si="151"/>
        <v>764.68715381757056</v>
      </c>
      <c r="BE509" s="112">
        <f t="shared" si="151"/>
        <v>779.98089689392202</v>
      </c>
      <c r="BF509" s="112">
        <f t="shared" si="151"/>
        <v>795.58051483180043</v>
      </c>
      <c r="BG509" s="112">
        <f t="shared" si="151"/>
        <v>811.49212512843644</v>
      </c>
    </row>
    <row r="510" spans="1:59" ht="13.75" customHeight="1">
      <c r="A510" s="141" t="s">
        <v>166</v>
      </c>
      <c r="B510" s="142" t="s">
        <v>491</v>
      </c>
      <c r="C510" s="142" t="s">
        <v>492</v>
      </c>
      <c r="D510" s="142" t="s">
        <v>87</v>
      </c>
      <c r="F510" s="168" t="s">
        <v>497</v>
      </c>
      <c r="G510" s="109" t="s">
        <v>3</v>
      </c>
      <c r="I510" s="109" t="s">
        <v>498</v>
      </c>
      <c r="U510" s="107">
        <v>5.0999999999999997E-2</v>
      </c>
      <c r="V510" s="107">
        <v>5.7999999999999996E-2</v>
      </c>
      <c r="W510" s="107">
        <v>6.7000000000000004E-2</v>
      </c>
      <c r="X510" s="107">
        <v>6.6500000000000004E-2</v>
      </c>
      <c r="Y510" s="107">
        <v>0.14679999999999999</v>
      </c>
      <c r="Z510" s="107">
        <v>7.3999999999999996E-2</v>
      </c>
      <c r="AA510" s="107">
        <v>6.0899999999999996E-2</v>
      </c>
      <c r="AB510" s="107">
        <v>5.2400000000000002E-2</v>
      </c>
      <c r="AC510" s="107">
        <v>6.7919999999999994E-2</v>
      </c>
      <c r="AD510" s="107">
        <v>0.08</v>
      </c>
      <c r="AE510" s="107">
        <v>0.20300000000000001</v>
      </c>
      <c r="AF510" s="107">
        <v>0.12</v>
      </c>
      <c r="AG510" s="107">
        <v>7.0000000000000007E-2</v>
      </c>
      <c r="AH510" s="107">
        <v>0.04</v>
      </c>
      <c r="AI510" s="107">
        <f>AH510</f>
        <v>0.04</v>
      </c>
      <c r="AJ510" s="107">
        <f t="shared" ref="AJ510:BG510" si="152">AI510</f>
        <v>0.04</v>
      </c>
      <c r="AK510" s="107">
        <f t="shared" si="152"/>
        <v>0.04</v>
      </c>
      <c r="AL510" s="107">
        <f t="shared" si="152"/>
        <v>0.04</v>
      </c>
      <c r="AM510" s="107">
        <f t="shared" si="152"/>
        <v>0.04</v>
      </c>
      <c r="AN510" s="107">
        <f t="shared" si="152"/>
        <v>0.04</v>
      </c>
      <c r="AO510" s="107">
        <f t="shared" si="152"/>
        <v>0.04</v>
      </c>
      <c r="AP510" s="107">
        <f t="shared" si="152"/>
        <v>0.04</v>
      </c>
      <c r="AQ510" s="107">
        <f t="shared" si="152"/>
        <v>0.04</v>
      </c>
      <c r="AR510" s="107">
        <f t="shared" si="152"/>
        <v>0.04</v>
      </c>
      <c r="AS510" s="107">
        <f t="shared" si="152"/>
        <v>0.04</v>
      </c>
      <c r="AT510" s="107">
        <f t="shared" si="152"/>
        <v>0.04</v>
      </c>
      <c r="AU510" s="107">
        <f t="shared" si="152"/>
        <v>0.04</v>
      </c>
      <c r="AV510" s="107">
        <f t="shared" si="152"/>
        <v>0.04</v>
      </c>
      <c r="AW510" s="107">
        <f t="shared" si="152"/>
        <v>0.04</v>
      </c>
      <c r="AX510" s="107">
        <f t="shared" si="152"/>
        <v>0.04</v>
      </c>
      <c r="AY510" s="107">
        <f t="shared" si="152"/>
        <v>0.04</v>
      </c>
      <c r="AZ510" s="107">
        <f t="shared" si="152"/>
        <v>0.04</v>
      </c>
      <c r="BA510" s="107">
        <f t="shared" si="152"/>
        <v>0.04</v>
      </c>
      <c r="BB510" s="107">
        <f t="shared" si="152"/>
        <v>0.04</v>
      </c>
      <c r="BC510" s="107">
        <f t="shared" si="152"/>
        <v>0.04</v>
      </c>
      <c r="BD510" s="107">
        <f t="shared" si="152"/>
        <v>0.04</v>
      </c>
      <c r="BE510" s="107">
        <f t="shared" si="152"/>
        <v>0.04</v>
      </c>
      <c r="BF510" s="107">
        <f t="shared" si="152"/>
        <v>0.04</v>
      </c>
      <c r="BG510" s="107">
        <f t="shared" si="152"/>
        <v>0.04</v>
      </c>
    </row>
    <row r="511" spans="1:59" ht="13.75" customHeight="1">
      <c r="A511" s="141" t="s">
        <v>166</v>
      </c>
      <c r="B511" s="142" t="s">
        <v>491</v>
      </c>
      <c r="C511" s="142" t="s">
        <v>492</v>
      </c>
      <c r="D511" s="142" t="s">
        <v>98</v>
      </c>
      <c r="F511" s="168" t="s">
        <v>499</v>
      </c>
      <c r="G511" s="109" t="s">
        <v>3</v>
      </c>
      <c r="I511" s="109" t="s">
        <v>498</v>
      </c>
      <c r="U511" s="107">
        <v>0.11200000000000002</v>
      </c>
      <c r="V511" s="107">
        <v>3.5499999999999997E-2</v>
      </c>
      <c r="W511" s="107">
        <v>9.5000000000000001E-2</v>
      </c>
      <c r="X511" s="107">
        <v>-0.20499999999999999</v>
      </c>
      <c r="Y511" s="107">
        <v>0.16800000000000001</v>
      </c>
      <c r="Z511" s="107">
        <v>0.16600000000000001</v>
      </c>
      <c r="AA511" s="107">
        <v>0.189833</v>
      </c>
      <c r="AB511" s="107">
        <v>1.3999999999999999E-2</v>
      </c>
      <c r="AC511" s="107">
        <v>-4.2000000000000003E-2</v>
      </c>
      <c r="AD511" s="107">
        <v>0.46100000000000002</v>
      </c>
      <c r="AE511" s="107">
        <f t="shared" ref="AE511:AY511" si="153">AE510</f>
        <v>0.20300000000000001</v>
      </c>
      <c r="AF511" s="107">
        <f>AF510</f>
        <v>0.12</v>
      </c>
      <c r="AG511" s="107">
        <f t="shared" si="153"/>
        <v>7.0000000000000007E-2</v>
      </c>
      <c r="AH511" s="107">
        <f t="shared" si="153"/>
        <v>0.04</v>
      </c>
      <c r="AI511" s="107">
        <f t="shared" si="153"/>
        <v>0.04</v>
      </c>
      <c r="AJ511" s="107">
        <f t="shared" si="153"/>
        <v>0.04</v>
      </c>
      <c r="AK511" s="107">
        <f t="shared" si="153"/>
        <v>0.04</v>
      </c>
      <c r="AL511" s="107">
        <f t="shared" si="153"/>
        <v>0.04</v>
      </c>
      <c r="AM511" s="107">
        <f t="shared" si="153"/>
        <v>0.04</v>
      </c>
      <c r="AN511" s="107">
        <f t="shared" si="153"/>
        <v>0.04</v>
      </c>
      <c r="AO511" s="107">
        <f t="shared" si="153"/>
        <v>0.04</v>
      </c>
      <c r="AP511" s="107">
        <f t="shared" si="153"/>
        <v>0.04</v>
      </c>
      <c r="AQ511" s="107">
        <f t="shared" si="153"/>
        <v>0.04</v>
      </c>
      <c r="AR511" s="107">
        <f t="shared" si="153"/>
        <v>0.04</v>
      </c>
      <c r="AS511" s="107">
        <f t="shared" si="153"/>
        <v>0.04</v>
      </c>
      <c r="AT511" s="107">
        <f t="shared" si="153"/>
        <v>0.04</v>
      </c>
      <c r="AU511" s="107">
        <f t="shared" si="153"/>
        <v>0.04</v>
      </c>
      <c r="AV511" s="107">
        <f t="shared" si="153"/>
        <v>0.04</v>
      </c>
      <c r="AW511" s="107">
        <f t="shared" si="153"/>
        <v>0.04</v>
      </c>
      <c r="AX511" s="107">
        <f>AX510</f>
        <v>0.04</v>
      </c>
      <c r="AY511" s="107">
        <f t="shared" si="153"/>
        <v>0.04</v>
      </c>
      <c r="AZ511" s="107">
        <f>AZ510</f>
        <v>0.04</v>
      </c>
      <c r="BA511" s="107">
        <f>BA510</f>
        <v>0.04</v>
      </c>
      <c r="BB511" s="107">
        <f>BB510</f>
        <v>0.04</v>
      </c>
      <c r="BC511" s="107">
        <f t="shared" ref="BC511:BG511" si="154">BC510</f>
        <v>0.04</v>
      </c>
      <c r="BD511" s="107">
        <f t="shared" si="154"/>
        <v>0.04</v>
      </c>
      <c r="BE511" s="107">
        <f t="shared" si="154"/>
        <v>0.04</v>
      </c>
      <c r="BF511" s="107">
        <f t="shared" si="154"/>
        <v>0.04</v>
      </c>
      <c r="BG511" s="107">
        <f t="shared" si="154"/>
        <v>0.04</v>
      </c>
    </row>
    <row r="512" spans="1:59" ht="13.75" customHeight="1">
      <c r="A512" s="141" t="s">
        <v>166</v>
      </c>
      <c r="B512" s="142" t="s">
        <v>491</v>
      </c>
      <c r="C512" s="142" t="s">
        <v>500</v>
      </c>
      <c r="D512" s="142" t="s">
        <v>87</v>
      </c>
      <c r="F512" s="168" t="s">
        <v>501</v>
      </c>
      <c r="G512" s="109" t="s">
        <v>494</v>
      </c>
      <c r="U512" s="112">
        <v>8335.86</v>
      </c>
      <c r="V512" s="112">
        <v>8875.83</v>
      </c>
      <c r="W512" s="112">
        <v>10215.530000000001</v>
      </c>
      <c r="X512" s="119">
        <v>15936</v>
      </c>
      <c r="Y512" s="113">
        <v>1.9845759999999999</v>
      </c>
      <c r="Z512" s="113">
        <v>1.9315</v>
      </c>
      <c r="AA512" s="159">
        <v>2.0379999999999998</v>
      </c>
      <c r="AB512" s="159">
        <v>2.091962073492402</v>
      </c>
      <c r="AC512" s="159">
        <v>2.4386297814207651</v>
      </c>
      <c r="AD512" s="111">
        <v>2.5365983561643834</v>
      </c>
      <c r="AE512" s="111">
        <v>2.62</v>
      </c>
      <c r="AF512" s="111">
        <v>2.92</v>
      </c>
      <c r="AG512" s="111">
        <v>3.22</v>
      </c>
      <c r="AH512" s="111">
        <v>3.38</v>
      </c>
      <c r="AI512" s="113">
        <f t="shared" ref="AI512:AK512" si="155">AVERAGE(AH513:AI513)</f>
        <v>3.5044879792404973</v>
      </c>
      <c r="AJ512" s="113">
        <f>AVERAGE(AI513:AJ513)</f>
        <v>3.6787003574430193</v>
      </c>
      <c r="AK512" s="113">
        <f t="shared" si="155"/>
        <v>3.8626353753151705</v>
      </c>
      <c r="AL512" s="113">
        <f>AVERAGE(AK513:AL513)</f>
        <v>4.0557671440809289</v>
      </c>
      <c r="AM512" s="113">
        <f t="shared" ref="AM512:AX512" si="156">AVERAGE(AL513:AM513)</f>
        <v>4.2585555012849756</v>
      </c>
      <c r="AN512" s="113">
        <f t="shared" si="156"/>
        <v>4.4714832763492245</v>
      </c>
      <c r="AO512" s="113">
        <f t="shared" si="156"/>
        <v>4.6950574401666856</v>
      </c>
      <c r="AP512" s="113">
        <f t="shared" si="156"/>
        <v>4.9298103121750199</v>
      </c>
      <c r="AQ512" s="113">
        <f t="shared" si="156"/>
        <v>5.1763008277837717</v>
      </c>
      <c r="AR512" s="113">
        <f t="shared" si="156"/>
        <v>5.43511586917296</v>
      </c>
      <c r="AS512" s="113">
        <f t="shared" si="156"/>
        <v>5.7068716626316078</v>
      </c>
      <c r="AT512" s="113">
        <f>AVERAGE(AS513:AT513)</f>
        <v>5.9922152457631883</v>
      </c>
      <c r="AU512" s="113">
        <f>AVERAGE(AT513:AU513)</f>
        <v>6.2918260080513484</v>
      </c>
      <c r="AV512" s="113">
        <f>AVERAGE(AU513:AV513)</f>
        <v>6.6064173084539153</v>
      </c>
      <c r="AW512" s="113">
        <f t="shared" si="156"/>
        <v>6.9367381738766118</v>
      </c>
      <c r="AX512" s="113">
        <f t="shared" si="156"/>
        <v>7.2835750825704419</v>
      </c>
      <c r="AY512" s="113">
        <f>AVERAGE(AX513:AY513)</f>
        <v>7.6477538366989641</v>
      </c>
      <c r="AZ512" s="113">
        <f>AVERAGE(AY513:AZ513)</f>
        <v>8.0301415285339139</v>
      </c>
      <c r="BA512" s="113">
        <f>AVERAGE(AZ513:BA513)</f>
        <v>8.4316486049606088</v>
      </c>
      <c r="BB512" s="113">
        <f>AVERAGE(BA513:BB513)</f>
        <v>8.8532310352086405</v>
      </c>
      <c r="BC512" s="113">
        <f t="shared" ref="BC512:BG512" si="157">AVERAGE(BB513:BC513)</f>
        <v>9.2958925869690727</v>
      </c>
      <c r="BD512" s="113">
        <f t="shared" si="157"/>
        <v>9.7606872163175282</v>
      </c>
      <c r="BE512" s="113">
        <f t="shared" si="157"/>
        <v>10.248721577133404</v>
      </c>
      <c r="BF512" s="113">
        <f t="shared" si="157"/>
        <v>10.761157655990075</v>
      </c>
      <c r="BG512" s="113">
        <f t="shared" si="157"/>
        <v>11.299215538789579</v>
      </c>
    </row>
    <row r="513" spans="1:59" ht="13.75" customHeight="1">
      <c r="A513" s="141" t="s">
        <v>166</v>
      </c>
      <c r="B513" s="142" t="s">
        <v>491</v>
      </c>
      <c r="C513" s="142" t="s">
        <v>500</v>
      </c>
      <c r="D513" s="142" t="s">
        <v>87</v>
      </c>
      <c r="F513" s="168" t="s">
        <v>502</v>
      </c>
      <c r="G513" s="109" t="s">
        <v>494</v>
      </c>
      <c r="I513" s="109" t="s">
        <v>496</v>
      </c>
      <c r="U513" s="112">
        <v>8570</v>
      </c>
      <c r="V513" s="112">
        <v>9432.74</v>
      </c>
      <c r="W513" s="112">
        <v>10953.42</v>
      </c>
      <c r="X513" s="119">
        <v>18569</v>
      </c>
      <c r="Y513" s="113">
        <v>1.956</v>
      </c>
      <c r="Z513" s="113">
        <v>1.9726999999999999</v>
      </c>
      <c r="AA513" s="159">
        <v>2.1659999999999999</v>
      </c>
      <c r="AB513" s="159">
        <v>2.1</v>
      </c>
      <c r="AC513" s="159">
        <v>2.5977999999999999</v>
      </c>
      <c r="AD513" s="111">
        <v>2.5480999999999998</v>
      </c>
      <c r="AE513" s="111">
        <v>2.74</v>
      </c>
      <c r="AF513" s="111">
        <v>3.1</v>
      </c>
      <c r="AG513" s="111">
        <v>3.33</v>
      </c>
      <c r="AH513" s="111">
        <v>3.42</v>
      </c>
      <c r="AI513" s="112">
        <f>AH513*(1+AI514-AI$4)</f>
        <v>3.5889759584809946</v>
      </c>
      <c r="AJ513" s="112">
        <f t="shared" ref="AJ513:AR513" si="158">AI513*(1+AJ514-AJ$4)</f>
        <v>3.7684247564050444</v>
      </c>
      <c r="AK513" s="112">
        <f t="shared" si="158"/>
        <v>3.9568459942252967</v>
      </c>
      <c r="AL513" s="112">
        <f t="shared" si="158"/>
        <v>4.1546882939365615</v>
      </c>
      <c r="AM513" s="112">
        <f t="shared" si="158"/>
        <v>4.3624227086333898</v>
      </c>
      <c r="AN513" s="112">
        <f t="shared" si="158"/>
        <v>4.5805438440650592</v>
      </c>
      <c r="AO513" s="112">
        <f t="shared" si="158"/>
        <v>4.8095710362683119</v>
      </c>
      <c r="AP513" s="112">
        <f t="shared" si="158"/>
        <v>5.0500495880817278</v>
      </c>
      <c r="AQ513" s="112">
        <f t="shared" si="158"/>
        <v>5.3025520674858146</v>
      </c>
      <c r="AR513" s="112">
        <f t="shared" si="158"/>
        <v>5.5676796708601053</v>
      </c>
      <c r="AS513" s="112">
        <f>AR513*(1+AS514-AS$4)</f>
        <v>5.8460636544031104</v>
      </c>
      <c r="AT513" s="112">
        <f t="shared" ref="AT513:BG513" si="159">AS513*(1+AT514-AT$4)</f>
        <v>6.1383668371232663</v>
      </c>
      <c r="AU513" s="112">
        <f t="shared" si="159"/>
        <v>6.4452851789794297</v>
      </c>
      <c r="AV513" s="112">
        <f t="shared" si="159"/>
        <v>6.7675494379284018</v>
      </c>
      <c r="AW513" s="112">
        <f t="shared" si="159"/>
        <v>7.1059269098248219</v>
      </c>
      <c r="AX513" s="112">
        <f t="shared" si="159"/>
        <v>7.4612232553160629</v>
      </c>
      <c r="AY513" s="112">
        <f t="shared" si="159"/>
        <v>7.8342844180818663</v>
      </c>
      <c r="AZ513" s="112">
        <f t="shared" si="159"/>
        <v>8.2259986389859598</v>
      </c>
      <c r="BA513" s="112">
        <f t="shared" si="159"/>
        <v>8.6372985709352577</v>
      </c>
      <c r="BB513" s="112">
        <f t="shared" si="159"/>
        <v>9.0691634994820216</v>
      </c>
      <c r="BC513" s="112">
        <f t="shared" si="159"/>
        <v>9.5226216744561238</v>
      </c>
      <c r="BD513" s="112">
        <f t="shared" si="159"/>
        <v>9.9987527581789308</v>
      </c>
      <c r="BE513" s="112">
        <f t="shared" si="159"/>
        <v>10.498690396087877</v>
      </c>
      <c r="BF513" s="112">
        <f t="shared" si="159"/>
        <v>11.023624915892272</v>
      </c>
      <c r="BG513" s="112">
        <f t="shared" si="159"/>
        <v>11.574806161686887</v>
      </c>
    </row>
    <row r="514" spans="1:59" ht="13.75" customHeight="1">
      <c r="A514" s="141" t="s">
        <v>166</v>
      </c>
      <c r="B514" s="142" t="s">
        <v>491</v>
      </c>
      <c r="C514" s="142" t="s">
        <v>500</v>
      </c>
      <c r="D514" s="142" t="s">
        <v>87</v>
      </c>
      <c r="F514" s="168" t="s">
        <v>503</v>
      </c>
      <c r="G514" s="109" t="s">
        <v>3</v>
      </c>
      <c r="I514" s="109" t="s">
        <v>498</v>
      </c>
      <c r="U514" s="107">
        <v>0.65249999999999997</v>
      </c>
      <c r="V514" s="107">
        <v>0.183</v>
      </c>
      <c r="W514" s="107">
        <v>0.18100000000000002</v>
      </c>
      <c r="X514" s="107">
        <v>0.13500000000000001</v>
      </c>
      <c r="Y514" s="107">
        <v>0.11800000000000001</v>
      </c>
      <c r="Z514" s="107">
        <v>6.0999999999999999E-2</v>
      </c>
      <c r="AA514" s="107">
        <v>4.9100000000000005E-2</v>
      </c>
      <c r="AB514" s="107">
        <v>5.5399999999999998E-2</v>
      </c>
      <c r="AC514" s="107">
        <v>5.5500000000000001E-2</v>
      </c>
      <c r="AD514" s="107">
        <v>9.4499999999999987E-2</v>
      </c>
      <c r="AE514" s="107">
        <v>0.152</v>
      </c>
      <c r="AF514" s="107">
        <v>9.5000000000000001E-2</v>
      </c>
      <c r="AG514" s="107">
        <v>0.105</v>
      </c>
      <c r="AH514" s="107">
        <v>7.0000000000000007E-2</v>
      </c>
      <c r="AI514" s="107">
        <f t="shared" ref="AI514:BG514" si="160">AH514</f>
        <v>7.0000000000000007E-2</v>
      </c>
      <c r="AJ514" s="107">
        <f t="shared" si="160"/>
        <v>7.0000000000000007E-2</v>
      </c>
      <c r="AK514" s="107">
        <f t="shared" si="160"/>
        <v>7.0000000000000007E-2</v>
      </c>
      <c r="AL514" s="107">
        <f t="shared" si="160"/>
        <v>7.0000000000000007E-2</v>
      </c>
      <c r="AM514" s="107">
        <f t="shared" si="160"/>
        <v>7.0000000000000007E-2</v>
      </c>
      <c r="AN514" s="107">
        <f t="shared" si="160"/>
        <v>7.0000000000000007E-2</v>
      </c>
      <c r="AO514" s="107">
        <f t="shared" si="160"/>
        <v>7.0000000000000007E-2</v>
      </c>
      <c r="AP514" s="107">
        <f t="shared" si="160"/>
        <v>7.0000000000000007E-2</v>
      </c>
      <c r="AQ514" s="107">
        <f t="shared" si="160"/>
        <v>7.0000000000000007E-2</v>
      </c>
      <c r="AR514" s="107">
        <f t="shared" si="160"/>
        <v>7.0000000000000007E-2</v>
      </c>
      <c r="AS514" s="107">
        <f t="shared" si="160"/>
        <v>7.0000000000000007E-2</v>
      </c>
      <c r="AT514" s="107">
        <f t="shared" si="160"/>
        <v>7.0000000000000007E-2</v>
      </c>
      <c r="AU514" s="107">
        <f>AT514</f>
        <v>7.0000000000000007E-2</v>
      </c>
      <c r="AV514" s="107">
        <f t="shared" si="160"/>
        <v>7.0000000000000007E-2</v>
      </c>
      <c r="AW514" s="107">
        <f t="shared" si="160"/>
        <v>7.0000000000000007E-2</v>
      </c>
      <c r="AX514" s="107">
        <f t="shared" si="160"/>
        <v>7.0000000000000007E-2</v>
      </c>
      <c r="AY514" s="107">
        <f t="shared" si="160"/>
        <v>7.0000000000000007E-2</v>
      </c>
      <c r="AZ514" s="107">
        <f t="shared" si="160"/>
        <v>7.0000000000000007E-2</v>
      </c>
      <c r="BA514" s="107">
        <f t="shared" si="160"/>
        <v>7.0000000000000007E-2</v>
      </c>
      <c r="BB514" s="107">
        <f t="shared" si="160"/>
        <v>7.0000000000000007E-2</v>
      </c>
      <c r="BC514" s="107">
        <f t="shared" si="160"/>
        <v>7.0000000000000007E-2</v>
      </c>
      <c r="BD514" s="107">
        <f t="shared" si="160"/>
        <v>7.0000000000000007E-2</v>
      </c>
      <c r="BE514" s="107">
        <f t="shared" si="160"/>
        <v>7.0000000000000007E-2</v>
      </c>
      <c r="BF514" s="107">
        <f t="shared" si="160"/>
        <v>7.0000000000000007E-2</v>
      </c>
      <c r="BG514" s="107">
        <f t="shared" si="160"/>
        <v>7.0000000000000007E-2</v>
      </c>
    </row>
    <row r="515" spans="1:59" ht="13.75" customHeight="1">
      <c r="A515" s="141" t="s">
        <v>166</v>
      </c>
      <c r="B515" s="142" t="s">
        <v>491</v>
      </c>
      <c r="C515" s="142" t="s">
        <v>500</v>
      </c>
      <c r="D515" s="142" t="s">
        <v>98</v>
      </c>
      <c r="F515" s="168" t="s">
        <v>504</v>
      </c>
      <c r="G515" s="109" t="s">
        <v>3</v>
      </c>
      <c r="I515" s="109" t="s">
        <v>498</v>
      </c>
      <c r="U515" s="107">
        <v>1.3519999999999999</v>
      </c>
      <c r="V515" s="107">
        <v>0.13600000000000001</v>
      </c>
      <c r="W515" s="107">
        <v>0.128</v>
      </c>
      <c r="X515" s="107">
        <v>0.16800000000000001</v>
      </c>
      <c r="Y515" s="107">
        <v>0.12</v>
      </c>
      <c r="Z515" s="107">
        <v>9.8000000000000004E-2</v>
      </c>
      <c r="AA515" s="107">
        <v>4.9100000000000005E-2</v>
      </c>
      <c r="AB515" s="107">
        <v>0.11199999999999999</v>
      </c>
      <c r="AC515" s="107">
        <v>0.112</v>
      </c>
      <c r="AD515" s="107">
        <v>0.11199999999999999</v>
      </c>
      <c r="AE515" s="107">
        <f>AE514</f>
        <v>0.152</v>
      </c>
      <c r="AF515" s="107">
        <f t="shared" ref="AF515:BG515" si="161">AF514</f>
        <v>9.5000000000000001E-2</v>
      </c>
      <c r="AG515" s="107">
        <f t="shared" si="161"/>
        <v>0.105</v>
      </c>
      <c r="AH515" s="107">
        <f t="shared" si="161"/>
        <v>7.0000000000000007E-2</v>
      </c>
      <c r="AI515" s="107">
        <f t="shared" si="161"/>
        <v>7.0000000000000007E-2</v>
      </c>
      <c r="AJ515" s="107">
        <f t="shared" si="161"/>
        <v>7.0000000000000007E-2</v>
      </c>
      <c r="AK515" s="107">
        <f t="shared" si="161"/>
        <v>7.0000000000000007E-2</v>
      </c>
      <c r="AL515" s="107">
        <f t="shared" si="161"/>
        <v>7.0000000000000007E-2</v>
      </c>
      <c r="AM515" s="107">
        <f t="shared" si="161"/>
        <v>7.0000000000000007E-2</v>
      </c>
      <c r="AN515" s="107">
        <f t="shared" si="161"/>
        <v>7.0000000000000007E-2</v>
      </c>
      <c r="AO515" s="107">
        <f t="shared" si="161"/>
        <v>7.0000000000000007E-2</v>
      </c>
      <c r="AP515" s="107">
        <f t="shared" si="161"/>
        <v>7.0000000000000007E-2</v>
      </c>
      <c r="AQ515" s="107">
        <f t="shared" si="161"/>
        <v>7.0000000000000007E-2</v>
      </c>
      <c r="AR515" s="107">
        <f t="shared" si="161"/>
        <v>7.0000000000000007E-2</v>
      </c>
      <c r="AS515" s="107">
        <f t="shared" si="161"/>
        <v>7.0000000000000007E-2</v>
      </c>
      <c r="AT515" s="107">
        <f t="shared" si="161"/>
        <v>7.0000000000000007E-2</v>
      </c>
      <c r="AU515" s="107">
        <f t="shared" si="161"/>
        <v>7.0000000000000007E-2</v>
      </c>
      <c r="AV515" s="107">
        <f>AV514</f>
        <v>7.0000000000000007E-2</v>
      </c>
      <c r="AW515" s="107">
        <f t="shared" si="161"/>
        <v>7.0000000000000007E-2</v>
      </c>
      <c r="AX515" s="107">
        <f t="shared" si="161"/>
        <v>7.0000000000000007E-2</v>
      </c>
      <c r="AY515" s="107">
        <f t="shared" si="161"/>
        <v>7.0000000000000007E-2</v>
      </c>
      <c r="AZ515" s="107">
        <f t="shared" si="161"/>
        <v>7.0000000000000007E-2</v>
      </c>
      <c r="BA515" s="107">
        <f t="shared" si="161"/>
        <v>7.0000000000000007E-2</v>
      </c>
      <c r="BB515" s="107">
        <f t="shared" si="161"/>
        <v>7.0000000000000007E-2</v>
      </c>
      <c r="BC515" s="107">
        <f t="shared" si="161"/>
        <v>7.0000000000000007E-2</v>
      </c>
      <c r="BD515" s="107">
        <f t="shared" si="161"/>
        <v>7.0000000000000007E-2</v>
      </c>
      <c r="BE515" s="107">
        <f t="shared" si="161"/>
        <v>7.0000000000000007E-2</v>
      </c>
      <c r="BF515" s="107">
        <f t="shared" si="161"/>
        <v>7.0000000000000007E-2</v>
      </c>
      <c r="BG515" s="107">
        <f t="shared" si="161"/>
        <v>7.0000000000000007E-2</v>
      </c>
    </row>
    <row r="516" spans="1:59" ht="13.75" customHeight="1">
      <c r="A516" s="141" t="s">
        <v>166</v>
      </c>
      <c r="B516" s="142" t="s">
        <v>491</v>
      </c>
      <c r="C516" s="142" t="s">
        <v>505</v>
      </c>
      <c r="D516" s="142" t="s">
        <v>87</v>
      </c>
      <c r="F516" s="168" t="s">
        <v>506</v>
      </c>
      <c r="G516" s="109" t="s">
        <v>494</v>
      </c>
      <c r="U516" s="112">
        <v>7.99</v>
      </c>
      <c r="V516" s="112">
        <v>8</v>
      </c>
      <c r="W516" s="112">
        <v>12.017799999999999</v>
      </c>
      <c r="X516" s="112">
        <v>21.75</v>
      </c>
      <c r="Y516" s="112">
        <v>25.5</v>
      </c>
      <c r="Z516" s="112">
        <v>26.600219178082192</v>
      </c>
      <c r="AA516" s="112">
        <v>27.184000000000001</v>
      </c>
      <c r="AB516" s="112">
        <v>26.955327868852457</v>
      </c>
      <c r="AC516" s="112">
        <v>28.372128995433791</v>
      </c>
      <c r="AD516" s="112">
        <v>27.640821917808218</v>
      </c>
      <c r="AE516" s="112">
        <v>28.583320000000001</v>
      </c>
      <c r="AF516" s="112">
        <v>29.531706239999998</v>
      </c>
      <c r="AG516" s="112">
        <v>30.476720839679999</v>
      </c>
      <c r="AH516" s="112">
        <f t="shared" ref="AH516:AY516" si="162">AVERAGE(AG517:AH517)</f>
        <v>31.411858771889932</v>
      </c>
      <c r="AI516" s="112">
        <f t="shared" si="162"/>
        <v>32.335624211554396</v>
      </c>
      <c r="AJ516" s="112">
        <f t="shared" si="162"/>
        <v>33.296263079869263</v>
      </c>
      <c r="AK516" s="112">
        <f t="shared" si="162"/>
        <v>34.29515097226534</v>
      </c>
      <c r="AL516" s="112">
        <f t="shared" si="162"/>
        <v>35.324005501433298</v>
      </c>
      <c r="AM516" s="112">
        <f t="shared" si="162"/>
        <v>36.383725666476295</v>
      </c>
      <c r="AN516" s="112">
        <f t="shared" si="162"/>
        <v>37.475237436470593</v>
      </c>
      <c r="AO516" s="112">
        <f t="shared" si="162"/>
        <v>38.599494559564704</v>
      </c>
      <c r="AP516" s="112">
        <f t="shared" si="162"/>
        <v>39.757479396351648</v>
      </c>
      <c r="AQ516" s="112">
        <f t="shared" si="162"/>
        <v>40.950203778242198</v>
      </c>
      <c r="AR516" s="112">
        <f t="shared" si="162"/>
        <v>42.178709891589463</v>
      </c>
      <c r="AS516" s="112">
        <f t="shared" si="162"/>
        <v>43.444071188337155</v>
      </c>
      <c r="AT516" s="112">
        <f t="shared" si="162"/>
        <v>44.747393323987268</v>
      </c>
      <c r="AU516" s="112">
        <f t="shared" si="162"/>
        <v>46.089815123706892</v>
      </c>
      <c r="AV516" s="112">
        <f t="shared" si="162"/>
        <v>47.472509577418101</v>
      </c>
      <c r="AW516" s="112">
        <f>AVERAGE(AV517:AW517)</f>
        <v>48.896684864740649</v>
      </c>
      <c r="AX516" s="112">
        <f t="shared" si="162"/>
        <v>50.363585410682866</v>
      </c>
      <c r="AY516" s="112">
        <f t="shared" si="162"/>
        <v>51.874492973003356</v>
      </c>
      <c r="AZ516" s="112">
        <f>AVERAGE(AY517:AZ517)</f>
        <v>53.430727762193456</v>
      </c>
      <c r="BA516" s="112">
        <f>AVERAGE(AZ517:BA517)</f>
        <v>55.033649595059259</v>
      </c>
      <c r="BB516" s="112">
        <f>AVERAGE(BA517:BB517)</f>
        <v>56.68465908291104</v>
      </c>
      <c r="BC516" s="112">
        <f t="shared" ref="BC516:BG516" si="163">AVERAGE(BB517:BC517)</f>
        <v>58.385198855398372</v>
      </c>
      <c r="BD516" s="112">
        <f t="shared" si="163"/>
        <v>60.136754821060322</v>
      </c>
      <c r="BE516" s="112">
        <f t="shared" si="163"/>
        <v>61.940857465692133</v>
      </c>
      <c r="BF516" s="112">
        <f t="shared" si="163"/>
        <v>63.799083189662909</v>
      </c>
      <c r="BG516" s="112">
        <f t="shared" si="163"/>
        <v>65.713055685352799</v>
      </c>
    </row>
    <row r="517" spans="1:59" ht="13.75" customHeight="1">
      <c r="A517" s="141" t="s">
        <v>166</v>
      </c>
      <c r="B517" s="142" t="s">
        <v>491</v>
      </c>
      <c r="C517" s="142" t="s">
        <v>505</v>
      </c>
      <c r="D517" s="142" t="s">
        <v>87</v>
      </c>
      <c r="F517" s="168" t="s">
        <v>507</v>
      </c>
      <c r="G517" s="109" t="s">
        <v>494</v>
      </c>
      <c r="I517" s="109" t="s">
        <v>496</v>
      </c>
      <c r="U517" s="112">
        <v>8</v>
      </c>
      <c r="V517" s="112">
        <v>8</v>
      </c>
      <c r="W517" s="112">
        <v>15.68</v>
      </c>
      <c r="X517" s="112">
        <v>23.95</v>
      </c>
      <c r="Y517" s="112">
        <v>27.19</v>
      </c>
      <c r="Z517" s="112">
        <v>28.0672</v>
      </c>
      <c r="AA517" s="112">
        <v>27.7</v>
      </c>
      <c r="AB517" s="112">
        <v>28.3</v>
      </c>
      <c r="AC517" s="112">
        <v>28.887500000000003</v>
      </c>
      <c r="AD517" s="112">
        <v>27.285</v>
      </c>
      <c r="AE517" s="112">
        <v>29.06664</v>
      </c>
      <c r="AF517" s="112">
        <v>29.996772480000001</v>
      </c>
      <c r="AG517" s="112">
        <v>30.95666919936</v>
      </c>
      <c r="AH517" s="112">
        <f>AG517*(1+AH518-AH$4)</f>
        <v>31.867048344419864</v>
      </c>
      <c r="AI517" s="112">
        <f t="shared" ref="AI517:AR517" si="164">AH517*(1+AI518-AI$4)</f>
        <v>32.804200078688929</v>
      </c>
      <c r="AJ517" s="112">
        <f t="shared" si="164"/>
        <v>33.788326081049597</v>
      </c>
      <c r="AK517" s="112">
        <f t="shared" si="164"/>
        <v>34.801975863481083</v>
      </c>
      <c r="AL517" s="112">
        <f t="shared" si="164"/>
        <v>35.846035139385513</v>
      </c>
      <c r="AM517" s="112">
        <f t="shared" si="164"/>
        <v>36.921416193567083</v>
      </c>
      <c r="AN517" s="112">
        <f t="shared" si="164"/>
        <v>38.029058679374096</v>
      </c>
      <c r="AO517" s="112">
        <f t="shared" si="164"/>
        <v>39.169930439755319</v>
      </c>
      <c r="AP517" s="112">
        <f t="shared" si="164"/>
        <v>40.345028352947978</v>
      </c>
      <c r="AQ517" s="112">
        <f t="shared" si="164"/>
        <v>41.555379203536418</v>
      </c>
      <c r="AR517" s="112">
        <f t="shared" si="164"/>
        <v>42.802040579642515</v>
      </c>
      <c r="AS517" s="112">
        <f>AR517*(1+AS518-AS$4)</f>
        <v>44.086101797031795</v>
      </c>
      <c r="AT517" s="112">
        <f t="shared" ref="AT517:BG517" si="165">AS517*(1+AT518-AT$4)</f>
        <v>45.408684850942748</v>
      </c>
      <c r="AU517" s="112">
        <f t="shared" si="165"/>
        <v>46.770945396471035</v>
      </c>
      <c r="AV517" s="112">
        <f t="shared" si="165"/>
        <v>48.174073758365168</v>
      </c>
      <c r="AW517" s="112">
        <f t="shared" si="165"/>
        <v>49.619295971116124</v>
      </c>
      <c r="AX517" s="112">
        <f t="shared" si="165"/>
        <v>51.107874850249608</v>
      </c>
      <c r="AY517" s="112">
        <f t="shared" si="165"/>
        <v>52.641111095757097</v>
      </c>
      <c r="AZ517" s="112">
        <f t="shared" si="165"/>
        <v>54.220344428629808</v>
      </c>
      <c r="BA517" s="112">
        <f t="shared" si="165"/>
        <v>55.846954761488703</v>
      </c>
      <c r="BB517" s="112">
        <f t="shared" si="165"/>
        <v>57.522363404333369</v>
      </c>
      <c r="BC517" s="112">
        <f t="shared" si="165"/>
        <v>59.248034306463374</v>
      </c>
      <c r="BD517" s="112">
        <f t="shared" si="165"/>
        <v>61.025475335657276</v>
      </c>
      <c r="BE517" s="112">
        <f t="shared" si="165"/>
        <v>62.856239595726997</v>
      </c>
      <c r="BF517" s="112">
        <f t="shared" si="165"/>
        <v>64.741926783598814</v>
      </c>
      <c r="BG517" s="112">
        <f t="shared" si="165"/>
        <v>66.684184587106785</v>
      </c>
    </row>
    <row r="518" spans="1:59" ht="13.75" customHeight="1">
      <c r="A518" s="141" t="s">
        <v>166</v>
      </c>
      <c r="B518" s="142" t="s">
        <v>491</v>
      </c>
      <c r="C518" s="142" t="s">
        <v>505</v>
      </c>
      <c r="D518" s="142" t="s">
        <v>87</v>
      </c>
      <c r="F518" s="168" t="s">
        <v>508</v>
      </c>
      <c r="G518" s="109" t="s">
        <v>3</v>
      </c>
      <c r="I518" s="109" t="s">
        <v>498</v>
      </c>
      <c r="U518" s="107">
        <v>6.0000000000000001E-3</v>
      </c>
      <c r="V518" s="107">
        <v>-3.0000000000000001E-3</v>
      </c>
      <c r="W518" s="107">
        <v>0.121</v>
      </c>
      <c r="X518" s="107">
        <v>0.48499999999999999</v>
      </c>
      <c r="Y518" s="107">
        <v>0.14899999999999999</v>
      </c>
      <c r="Z518" s="107">
        <v>0.14299999999999999</v>
      </c>
      <c r="AA518" s="107">
        <v>0.1101</v>
      </c>
      <c r="AB518" s="107">
        <v>2.7000000000000003E-2</v>
      </c>
      <c r="AC518" s="107">
        <v>7.2999999999999995E-2</v>
      </c>
      <c r="AD518" s="107">
        <v>9.3399999999999997E-2</v>
      </c>
      <c r="AE518" s="107">
        <v>6.3E-2</v>
      </c>
      <c r="AF518" s="107">
        <v>0.05</v>
      </c>
      <c r="AG518" s="107">
        <v>0.05</v>
      </c>
      <c r="AH518" s="107">
        <f t="shared" ref="AH518:BG518" si="166">AG518</f>
        <v>0.05</v>
      </c>
      <c r="AI518" s="107">
        <f t="shared" si="166"/>
        <v>0.05</v>
      </c>
      <c r="AJ518" s="107">
        <f t="shared" si="166"/>
        <v>0.05</v>
      </c>
      <c r="AK518" s="107">
        <f t="shared" si="166"/>
        <v>0.05</v>
      </c>
      <c r="AL518" s="107">
        <f t="shared" si="166"/>
        <v>0.05</v>
      </c>
      <c r="AM518" s="107">
        <f t="shared" si="166"/>
        <v>0.05</v>
      </c>
      <c r="AN518" s="107">
        <f t="shared" si="166"/>
        <v>0.05</v>
      </c>
      <c r="AO518" s="107">
        <f t="shared" si="166"/>
        <v>0.05</v>
      </c>
      <c r="AP518" s="107">
        <f t="shared" si="166"/>
        <v>0.05</v>
      </c>
      <c r="AQ518" s="107">
        <f t="shared" si="166"/>
        <v>0.05</v>
      </c>
      <c r="AR518" s="107">
        <f t="shared" si="166"/>
        <v>0.05</v>
      </c>
      <c r="AS518" s="107">
        <f t="shared" si="166"/>
        <v>0.05</v>
      </c>
      <c r="AT518" s="107">
        <f t="shared" si="166"/>
        <v>0.05</v>
      </c>
      <c r="AU518" s="107">
        <f t="shared" si="166"/>
        <v>0.05</v>
      </c>
      <c r="AV518" s="107">
        <f>AU518</f>
        <v>0.05</v>
      </c>
      <c r="AW518" s="107">
        <f t="shared" si="166"/>
        <v>0.05</v>
      </c>
      <c r="AX518" s="107">
        <f t="shared" si="166"/>
        <v>0.05</v>
      </c>
      <c r="AY518" s="107">
        <f t="shared" si="166"/>
        <v>0.05</v>
      </c>
      <c r="AZ518" s="107">
        <f t="shared" si="166"/>
        <v>0.05</v>
      </c>
      <c r="BA518" s="107">
        <f t="shared" si="166"/>
        <v>0.05</v>
      </c>
      <c r="BB518" s="107">
        <f t="shared" si="166"/>
        <v>0.05</v>
      </c>
      <c r="BC518" s="107">
        <f t="shared" si="166"/>
        <v>0.05</v>
      </c>
      <c r="BD518" s="107">
        <f t="shared" si="166"/>
        <v>0.05</v>
      </c>
      <c r="BE518" s="107">
        <f t="shared" si="166"/>
        <v>0.05</v>
      </c>
      <c r="BF518" s="107">
        <f t="shared" si="166"/>
        <v>0.05</v>
      </c>
      <c r="BG518" s="107">
        <f t="shared" si="166"/>
        <v>0.05</v>
      </c>
    </row>
    <row r="519" spans="1:59" ht="13.75" customHeight="1">
      <c r="A519" s="141" t="s">
        <v>166</v>
      </c>
      <c r="B519" s="142" t="s">
        <v>491</v>
      </c>
      <c r="C519" s="142" t="s">
        <v>505</v>
      </c>
      <c r="D519" s="142" t="s">
        <v>98</v>
      </c>
      <c r="F519" s="168" t="s">
        <v>509</v>
      </c>
      <c r="G519" s="109" t="s">
        <v>3</v>
      </c>
      <c r="I519" s="109" t="s">
        <v>498</v>
      </c>
      <c r="U519" s="107">
        <v>3.4000000000000002E-2</v>
      </c>
      <c r="V519" s="107">
        <v>1E-3</v>
      </c>
      <c r="W519" s="107">
        <v>0.17100000000000001</v>
      </c>
      <c r="X519" s="107">
        <v>0.36</v>
      </c>
      <c r="Y519" s="107">
        <v>0.20499999999999999</v>
      </c>
      <c r="Z519" s="107">
        <v>0.26400000000000001</v>
      </c>
      <c r="AA519" s="107">
        <v>0.17508299999999999</v>
      </c>
      <c r="AB519" s="107">
        <v>-7.400000000000001E-2</v>
      </c>
      <c r="AC519" s="107">
        <v>0.14499999999999999</v>
      </c>
      <c r="AD519" s="107">
        <v>0.622</v>
      </c>
      <c r="AE519" s="107">
        <f t="shared" ref="AE519:BG519" si="167">AE518</f>
        <v>6.3E-2</v>
      </c>
      <c r="AF519" s="107">
        <f t="shared" si="167"/>
        <v>0.05</v>
      </c>
      <c r="AG519" s="107">
        <f t="shared" si="167"/>
        <v>0.05</v>
      </c>
      <c r="AH519" s="107">
        <f t="shared" si="167"/>
        <v>0.05</v>
      </c>
      <c r="AI519" s="107">
        <f t="shared" si="167"/>
        <v>0.05</v>
      </c>
      <c r="AJ519" s="107">
        <f t="shared" si="167"/>
        <v>0.05</v>
      </c>
      <c r="AK519" s="107">
        <f t="shared" si="167"/>
        <v>0.05</v>
      </c>
      <c r="AL519" s="107">
        <f t="shared" si="167"/>
        <v>0.05</v>
      </c>
      <c r="AM519" s="107">
        <f t="shared" si="167"/>
        <v>0.05</v>
      </c>
      <c r="AN519" s="107">
        <f t="shared" si="167"/>
        <v>0.05</v>
      </c>
      <c r="AO519" s="107">
        <f t="shared" si="167"/>
        <v>0.05</v>
      </c>
      <c r="AP519" s="107">
        <f t="shared" si="167"/>
        <v>0.05</v>
      </c>
      <c r="AQ519" s="107">
        <f t="shared" si="167"/>
        <v>0.05</v>
      </c>
      <c r="AR519" s="107">
        <f t="shared" si="167"/>
        <v>0.05</v>
      </c>
      <c r="AS519" s="107">
        <f t="shared" si="167"/>
        <v>0.05</v>
      </c>
      <c r="AT519" s="107">
        <f t="shared" si="167"/>
        <v>0.05</v>
      </c>
      <c r="AU519" s="107">
        <f t="shared" si="167"/>
        <v>0.05</v>
      </c>
      <c r="AV519" s="107">
        <f t="shared" si="167"/>
        <v>0.05</v>
      </c>
      <c r="AW519" s="107">
        <f t="shared" si="167"/>
        <v>0.05</v>
      </c>
      <c r="AX519" s="107">
        <f>AX518</f>
        <v>0.05</v>
      </c>
      <c r="AY519" s="107">
        <f t="shared" si="167"/>
        <v>0.05</v>
      </c>
      <c r="AZ519" s="107">
        <f t="shared" si="167"/>
        <v>0.05</v>
      </c>
      <c r="BA519" s="107">
        <f t="shared" si="167"/>
        <v>0.05</v>
      </c>
      <c r="BB519" s="107">
        <f t="shared" si="167"/>
        <v>0.05</v>
      </c>
      <c r="BC519" s="107">
        <f t="shared" si="167"/>
        <v>0.05</v>
      </c>
      <c r="BD519" s="107">
        <f t="shared" si="167"/>
        <v>0.05</v>
      </c>
      <c r="BE519" s="107">
        <f t="shared" si="167"/>
        <v>0.05</v>
      </c>
      <c r="BF519" s="107">
        <f t="shared" si="167"/>
        <v>0.05</v>
      </c>
      <c r="BG519" s="107">
        <f t="shared" si="167"/>
        <v>0.05</v>
      </c>
    </row>
    <row r="520" spans="1:59" ht="13.75" customHeight="1">
      <c r="A520" s="141" t="s">
        <v>166</v>
      </c>
      <c r="B520" s="142" t="s">
        <v>491</v>
      </c>
      <c r="C520" s="142" t="s">
        <v>510</v>
      </c>
      <c r="D520" s="142" t="s">
        <v>87</v>
      </c>
      <c r="F520" s="168" t="s">
        <v>511</v>
      </c>
      <c r="G520" s="109" t="s">
        <v>494</v>
      </c>
      <c r="V520" s="111">
        <v>5.70308734939759</v>
      </c>
      <c r="W520" s="111">
        <v>5.7481650000000002</v>
      </c>
      <c r="X520" s="111">
        <v>6.8583040000000004</v>
      </c>
      <c r="Y520" s="111">
        <v>6.8059900000000004</v>
      </c>
      <c r="Z520" s="113">
        <v>6.623831</v>
      </c>
      <c r="AA520" s="111">
        <v>6.29</v>
      </c>
      <c r="AB520" s="109">
        <v>6.63</v>
      </c>
      <c r="AC520" s="109">
        <v>6.61</v>
      </c>
      <c r="AD520" s="140">
        <v>6.3347582386127783</v>
      </c>
      <c r="AE520" s="140">
        <v>6.4273504273504276</v>
      </c>
      <c r="AF520" s="140">
        <v>0.84745762711864414</v>
      </c>
      <c r="AG520" s="140">
        <v>0.84033613445378152</v>
      </c>
      <c r="AH520" s="111">
        <f>AVERAGE(AG521:AH521)</f>
        <v>0.83798662814892555</v>
      </c>
      <c r="AI520" s="111">
        <f t="shared" ref="AI520:AW520" si="168">AVERAGE(AH521:AI521)</f>
        <v>0.83330075356731981</v>
      </c>
      <c r="AJ520" s="111">
        <f t="shared" si="168"/>
        <v>0.82888697432734348</v>
      </c>
      <c r="AK520" s="111">
        <f t="shared" si="168"/>
        <v>0.82474253945570664</v>
      </c>
      <c r="AL520" s="111">
        <f t="shared" si="168"/>
        <v>0.82061882675842801</v>
      </c>
      <c r="AM520" s="111">
        <f t="shared" si="168"/>
        <v>0.81651573262463573</v>
      </c>
      <c r="AN520" s="111">
        <f t="shared" si="168"/>
        <v>0.81243315396151239</v>
      </c>
      <c r="AO520" s="111">
        <f t="shared" si="168"/>
        <v>0.80837098819170472</v>
      </c>
      <c r="AP520" s="111">
        <f t="shared" si="168"/>
        <v>0.80432913325074618</v>
      </c>
      <c r="AQ520" s="111">
        <f t="shared" si="168"/>
        <v>0.80030748758449244</v>
      </c>
      <c r="AR520" s="111">
        <f t="shared" si="168"/>
        <v>0.79630595014656991</v>
      </c>
      <c r="AS520" s="111">
        <f t="shared" si="168"/>
        <v>0.79232442039583695</v>
      </c>
      <c r="AT520" s="111">
        <f t="shared" si="168"/>
        <v>0.78836279829385769</v>
      </c>
      <c r="AU520" s="111">
        <f t="shared" si="168"/>
        <v>0.78442098430238838</v>
      </c>
      <c r="AV520" s="111">
        <f t="shared" si="168"/>
        <v>0.78049887938087625</v>
      </c>
      <c r="AW520" s="111">
        <f t="shared" si="168"/>
        <v>0.77659638498397188</v>
      </c>
      <c r="AX520" s="111">
        <f>AVERAGE(AW521:AX521)</f>
        <v>0.7727134030590519</v>
      </c>
      <c r="AY520" s="111">
        <f>AVERAGE(AX521:AY521)</f>
        <v>0.76884983604375656</v>
      </c>
      <c r="AZ520" s="111">
        <f>AVERAGE(AY521:AZ521)</f>
        <v>0.7650055868635377</v>
      </c>
      <c r="BA520" s="111">
        <f>AVERAGE(AZ521:BA521)</f>
        <v>0.76118055892921987</v>
      </c>
      <c r="BB520" s="111">
        <f>AVERAGE(BA521:BB521)</f>
        <v>0.75737465613457378</v>
      </c>
      <c r="BC520" s="111">
        <f t="shared" ref="BC520:BG520" si="169">AVERAGE(BB521:BC521)</f>
        <v>0.75358778285390082</v>
      </c>
      <c r="BD520" s="111">
        <f t="shared" si="169"/>
        <v>0.74981984393963119</v>
      </c>
      <c r="BE520" s="111">
        <f t="shared" si="169"/>
        <v>0.74607074471993295</v>
      </c>
      <c r="BF520" s="111">
        <f t="shared" si="169"/>
        <v>0.7423403909963332</v>
      </c>
      <c r="BG520" s="111">
        <f t="shared" si="169"/>
        <v>0.73862868904135148</v>
      </c>
    </row>
    <row r="521" spans="1:59" ht="13.75" customHeight="1">
      <c r="A521" s="141" t="s">
        <v>166</v>
      </c>
      <c r="B521" s="142" t="s">
        <v>491</v>
      </c>
      <c r="C521" s="142" t="s">
        <v>510</v>
      </c>
      <c r="D521" s="142" t="s">
        <v>87</v>
      </c>
      <c r="F521" s="168" t="s">
        <v>512</v>
      </c>
      <c r="G521" s="109" t="s">
        <v>494</v>
      </c>
      <c r="I521" s="109" t="s">
        <v>496</v>
      </c>
      <c r="V521" s="111">
        <v>5.5490000000000004</v>
      </c>
      <c r="W521" s="111">
        <v>6.3021070000000003</v>
      </c>
      <c r="X521" s="111">
        <v>6.9918009999999997</v>
      </c>
      <c r="Y521" s="111">
        <v>7.1685359999999996</v>
      </c>
      <c r="Z521" s="113">
        <v>6.2697329999999996</v>
      </c>
      <c r="AA521" s="111">
        <v>6.46</v>
      </c>
      <c r="AB521" s="109">
        <v>6.64</v>
      </c>
      <c r="AC521" s="109">
        <v>6.18</v>
      </c>
      <c r="AD521" s="140">
        <v>6.61</v>
      </c>
      <c r="AE521" s="140">
        <v>6.4273504273504276</v>
      </c>
      <c r="AF521" s="140">
        <v>0.84745762711864414</v>
      </c>
      <c r="AG521" s="140">
        <v>0.84033613445378152</v>
      </c>
      <c r="AH521" s="112">
        <f>AG521*(1+AH522-AH$4)</f>
        <v>0.83563712184406957</v>
      </c>
      <c r="AI521" s="112">
        <f t="shared" ref="AI521:AR521" si="170">AH521*(1+AI522-AI$4)</f>
        <v>0.83096438529056993</v>
      </c>
      <c r="AJ521" s="112">
        <f t="shared" si="170"/>
        <v>0.82680956336411693</v>
      </c>
      <c r="AK521" s="112">
        <f t="shared" si="170"/>
        <v>0.82267551554729623</v>
      </c>
      <c r="AL521" s="112">
        <f t="shared" si="170"/>
        <v>0.81856213796955968</v>
      </c>
      <c r="AM521" s="112">
        <f t="shared" si="170"/>
        <v>0.81446932727971177</v>
      </c>
      <c r="AN521" s="112">
        <f t="shared" si="170"/>
        <v>0.81039698064331311</v>
      </c>
      <c r="AO521" s="112">
        <f t="shared" si="170"/>
        <v>0.80634499574009644</v>
      </c>
      <c r="AP521" s="112">
        <f t="shared" si="170"/>
        <v>0.80231327076139591</v>
      </c>
      <c r="AQ521" s="112">
        <f t="shared" si="170"/>
        <v>0.79830170440758885</v>
      </c>
      <c r="AR521" s="112">
        <f t="shared" si="170"/>
        <v>0.79431019588555085</v>
      </c>
      <c r="AS521" s="112">
        <f>AR521*(1+AS522-AS$4)</f>
        <v>0.79033864490612304</v>
      </c>
      <c r="AT521" s="112">
        <f t="shared" ref="AT521:AW521" si="171">AS521*(1+AT522-AT$4)</f>
        <v>0.78638695168159234</v>
      </c>
      <c r="AU521" s="112">
        <f t="shared" si="171"/>
        <v>0.78245501692318431</v>
      </c>
      <c r="AV521" s="112">
        <f t="shared" si="171"/>
        <v>0.77854274183856831</v>
      </c>
      <c r="AW521" s="112">
        <f t="shared" si="171"/>
        <v>0.77465002812937533</v>
      </c>
      <c r="AX521" s="112">
        <f>AW521*(1+AX522-AX$4)</f>
        <v>0.77077677798872835</v>
      </c>
      <c r="AY521" s="112">
        <f>AX521*(1+AY522-AY$4)</f>
        <v>0.76692289409878467</v>
      </c>
      <c r="AZ521" s="112">
        <f>AY521*(1+AZ522-AZ$4)</f>
        <v>0.76308827962829062</v>
      </c>
      <c r="BA521" s="112">
        <f>AZ521*(1+BA522-BA$4)</f>
        <v>0.75927283823014913</v>
      </c>
      <c r="BB521" s="112">
        <f>BA521*(1+BB522-BB$4)</f>
        <v>0.75547647403899831</v>
      </c>
      <c r="BC521" s="112">
        <f t="shared" ref="BC521:BG521" si="172">BB521*(1+BC522-BC$4)</f>
        <v>0.75169909166880322</v>
      </c>
      <c r="BD521" s="112">
        <f t="shared" si="172"/>
        <v>0.74794059621045916</v>
      </c>
      <c r="BE521" s="112">
        <f t="shared" si="172"/>
        <v>0.74420089322940675</v>
      </c>
      <c r="BF521" s="112">
        <f t="shared" si="172"/>
        <v>0.74047988876325965</v>
      </c>
      <c r="BG521" s="112">
        <f t="shared" si="172"/>
        <v>0.73677748931944331</v>
      </c>
    </row>
    <row r="522" spans="1:59" ht="13.75" customHeight="1">
      <c r="A522" s="141" t="s">
        <v>166</v>
      </c>
      <c r="B522" s="142" t="s">
        <v>491</v>
      </c>
      <c r="C522" s="142" t="s">
        <v>510</v>
      </c>
      <c r="D522" s="142" t="s">
        <v>87</v>
      </c>
      <c r="F522" s="168" t="s">
        <v>513</v>
      </c>
      <c r="G522" s="109" t="s">
        <v>3</v>
      </c>
      <c r="I522" s="109" t="s">
        <v>498</v>
      </c>
      <c r="V522" s="107">
        <v>2.2000000000000002E-2</v>
      </c>
      <c r="W522" s="107">
        <v>-2E-3</v>
      </c>
      <c r="X522" s="107">
        <v>-5.0000000000000001E-3</v>
      </c>
      <c r="Y522" s="107">
        <v>-1.1000000000000001E-2</v>
      </c>
      <c r="Z522" s="107">
        <v>1.15E-2</v>
      </c>
      <c r="AA522" s="107">
        <v>1.49167E-2</v>
      </c>
      <c r="AB522" s="107">
        <v>1.4999999999999999E-2</v>
      </c>
      <c r="AC522" s="107">
        <v>3.0000000000000001E-3</v>
      </c>
      <c r="AD522" s="107">
        <v>2.5600000000000001E-2</v>
      </c>
      <c r="AE522" s="107">
        <v>1.8000000000000002E-2</v>
      </c>
      <c r="AF522" s="107">
        <v>1.4999999999999999E-2</v>
      </c>
      <c r="AG522" s="107">
        <v>1.4999999999999999E-2</v>
      </c>
      <c r="AH522" s="107">
        <f t="shared" ref="AH522:AY522" si="173">AG522</f>
        <v>1.4999999999999999E-2</v>
      </c>
      <c r="AI522" s="107">
        <f t="shared" si="173"/>
        <v>1.4999999999999999E-2</v>
      </c>
      <c r="AJ522" s="107">
        <f t="shared" si="173"/>
        <v>1.4999999999999999E-2</v>
      </c>
      <c r="AK522" s="107">
        <f t="shared" si="173"/>
        <v>1.4999999999999999E-2</v>
      </c>
      <c r="AL522" s="107">
        <f t="shared" si="173"/>
        <v>1.4999999999999999E-2</v>
      </c>
      <c r="AM522" s="107">
        <f t="shared" si="173"/>
        <v>1.4999999999999999E-2</v>
      </c>
      <c r="AN522" s="107">
        <f t="shared" si="173"/>
        <v>1.4999999999999999E-2</v>
      </c>
      <c r="AO522" s="107">
        <f t="shared" si="173"/>
        <v>1.4999999999999999E-2</v>
      </c>
      <c r="AP522" s="107">
        <f t="shared" si="173"/>
        <v>1.4999999999999999E-2</v>
      </c>
      <c r="AQ522" s="107">
        <f t="shared" si="173"/>
        <v>1.4999999999999999E-2</v>
      </c>
      <c r="AR522" s="107">
        <f t="shared" si="173"/>
        <v>1.4999999999999999E-2</v>
      </c>
      <c r="AS522" s="107">
        <f t="shared" si="173"/>
        <v>1.4999999999999999E-2</v>
      </c>
      <c r="AT522" s="107">
        <f t="shared" si="173"/>
        <v>1.4999999999999999E-2</v>
      </c>
      <c r="AU522" s="107">
        <f t="shared" si="173"/>
        <v>1.4999999999999999E-2</v>
      </c>
      <c r="AV522" s="107">
        <f t="shared" si="173"/>
        <v>1.4999999999999999E-2</v>
      </c>
      <c r="AW522" s="107">
        <f>AV522</f>
        <v>1.4999999999999999E-2</v>
      </c>
      <c r="AX522" s="107">
        <f>AW522</f>
        <v>1.4999999999999999E-2</v>
      </c>
      <c r="AY522" s="107">
        <f t="shared" si="173"/>
        <v>1.4999999999999999E-2</v>
      </c>
      <c r="AZ522" s="107">
        <f>AY522</f>
        <v>1.4999999999999999E-2</v>
      </c>
      <c r="BA522" s="107">
        <f>AZ522</f>
        <v>1.4999999999999999E-2</v>
      </c>
      <c r="BB522" s="107">
        <f>BA522</f>
        <v>1.4999999999999999E-2</v>
      </c>
      <c r="BC522" s="107">
        <f t="shared" ref="BC522:BG522" si="174">BB522</f>
        <v>1.4999999999999999E-2</v>
      </c>
      <c r="BD522" s="107">
        <f t="shared" si="174"/>
        <v>1.4999999999999999E-2</v>
      </c>
      <c r="BE522" s="107">
        <f t="shared" si="174"/>
        <v>1.4999999999999999E-2</v>
      </c>
      <c r="BF522" s="107">
        <f t="shared" si="174"/>
        <v>1.4999999999999999E-2</v>
      </c>
      <c r="BG522" s="107">
        <f t="shared" si="174"/>
        <v>1.4999999999999999E-2</v>
      </c>
    </row>
    <row r="523" spans="1:59" ht="13.75" customHeight="1">
      <c r="A523" s="141" t="s">
        <v>166</v>
      </c>
      <c r="B523" s="142" t="s">
        <v>491</v>
      </c>
      <c r="C523" s="142" t="s">
        <v>510</v>
      </c>
      <c r="D523" s="142" t="s">
        <v>98</v>
      </c>
      <c r="F523" s="168" t="s">
        <v>514</v>
      </c>
      <c r="G523" s="109" t="s">
        <v>3</v>
      </c>
      <c r="I523" s="109" t="s">
        <v>498</v>
      </c>
      <c r="W523" s="109"/>
      <c r="Z523" s="107">
        <v>1.15E-2</v>
      </c>
      <c r="AA523" s="107">
        <v>2.2000000000000002E-2</v>
      </c>
      <c r="AB523" s="107">
        <v>0.01</v>
      </c>
      <c r="AC523" s="107">
        <v>-2.58E-2</v>
      </c>
      <c r="AD523" s="107">
        <v>0.15820000000000001</v>
      </c>
      <c r="AE523" s="107">
        <f t="shared" ref="AE523:AW523" si="175">AE522</f>
        <v>1.8000000000000002E-2</v>
      </c>
      <c r="AF523" s="107">
        <f t="shared" si="175"/>
        <v>1.4999999999999999E-2</v>
      </c>
      <c r="AG523" s="107">
        <f t="shared" si="175"/>
        <v>1.4999999999999999E-2</v>
      </c>
      <c r="AH523" s="107">
        <f t="shared" si="175"/>
        <v>1.4999999999999999E-2</v>
      </c>
      <c r="AI523" s="107">
        <f t="shared" si="175"/>
        <v>1.4999999999999999E-2</v>
      </c>
      <c r="AJ523" s="107">
        <f t="shared" si="175"/>
        <v>1.4999999999999999E-2</v>
      </c>
      <c r="AK523" s="107">
        <f t="shared" si="175"/>
        <v>1.4999999999999999E-2</v>
      </c>
      <c r="AL523" s="107">
        <f t="shared" si="175"/>
        <v>1.4999999999999999E-2</v>
      </c>
      <c r="AM523" s="107">
        <f t="shared" si="175"/>
        <v>1.4999999999999999E-2</v>
      </c>
      <c r="AN523" s="107">
        <f t="shared" si="175"/>
        <v>1.4999999999999999E-2</v>
      </c>
      <c r="AO523" s="107">
        <f t="shared" si="175"/>
        <v>1.4999999999999999E-2</v>
      </c>
      <c r="AP523" s="107">
        <f t="shared" si="175"/>
        <v>1.4999999999999999E-2</v>
      </c>
      <c r="AQ523" s="107">
        <f t="shared" si="175"/>
        <v>1.4999999999999999E-2</v>
      </c>
      <c r="AR523" s="107">
        <f t="shared" si="175"/>
        <v>1.4999999999999999E-2</v>
      </c>
      <c r="AS523" s="107">
        <f t="shared" si="175"/>
        <v>1.4999999999999999E-2</v>
      </c>
      <c r="AT523" s="107">
        <f t="shared" si="175"/>
        <v>1.4999999999999999E-2</v>
      </c>
      <c r="AU523" s="107">
        <f t="shared" si="175"/>
        <v>1.4999999999999999E-2</v>
      </c>
      <c r="AV523" s="107">
        <f t="shared" si="175"/>
        <v>1.4999999999999999E-2</v>
      </c>
      <c r="AW523" s="107">
        <f t="shared" si="175"/>
        <v>1.4999999999999999E-2</v>
      </c>
      <c r="AX523" s="107">
        <f>AX522</f>
        <v>1.4999999999999999E-2</v>
      </c>
      <c r="AY523" s="107">
        <f>AY522</f>
        <v>1.4999999999999999E-2</v>
      </c>
      <c r="AZ523" s="107">
        <f>AZ522</f>
        <v>1.4999999999999999E-2</v>
      </c>
      <c r="BA523" s="107">
        <f>BA522</f>
        <v>1.4999999999999999E-2</v>
      </c>
      <c r="BB523" s="107">
        <f>BB522</f>
        <v>1.4999999999999999E-2</v>
      </c>
      <c r="BC523" s="107">
        <f t="shared" ref="BC523:BG523" si="176">BC522</f>
        <v>1.4999999999999999E-2</v>
      </c>
      <c r="BD523" s="107">
        <f t="shared" si="176"/>
        <v>1.4999999999999999E-2</v>
      </c>
      <c r="BE523" s="107">
        <f t="shared" si="176"/>
        <v>1.4999999999999999E-2</v>
      </c>
      <c r="BF523" s="107">
        <f t="shared" si="176"/>
        <v>1.4999999999999999E-2</v>
      </c>
      <c r="BG523" s="107">
        <f t="shared" si="176"/>
        <v>1.4999999999999999E-2</v>
      </c>
    </row>
    <row r="524" spans="1:59" ht="13.75" customHeight="1">
      <c r="A524" s="141" t="s">
        <v>166</v>
      </c>
      <c r="B524" s="142" t="s">
        <v>491</v>
      </c>
      <c r="C524" s="142" t="s">
        <v>515</v>
      </c>
      <c r="D524" s="142" t="s">
        <v>87</v>
      </c>
      <c r="F524" s="168" t="s">
        <v>516</v>
      </c>
      <c r="G524" s="109" t="s">
        <v>494</v>
      </c>
      <c r="W524" s="111">
        <v>88.4</v>
      </c>
      <c r="X524" s="111">
        <v>108.8</v>
      </c>
      <c r="Y524" s="111">
        <v>111.28371675774135</v>
      </c>
      <c r="Z524" s="112">
        <v>107.7589</v>
      </c>
      <c r="AA524" s="111">
        <v>100.17507500000001</v>
      </c>
      <c r="AB524" s="112">
        <v>105</v>
      </c>
      <c r="AC524" s="112">
        <v>103</v>
      </c>
      <c r="AD524" s="112">
        <v>99</v>
      </c>
      <c r="AE524" s="112">
        <v>100.51282051282051</v>
      </c>
      <c r="AF524" s="112">
        <v>99.66101694915254</v>
      </c>
      <c r="AG524" s="112">
        <v>98.82352941176471</v>
      </c>
      <c r="AH524" s="112">
        <f t="shared" ref="AH524:AX524" si="177">AVERAGE(AG525:AH525)</f>
        <v>99.090756882078367</v>
      </c>
      <c r="AI524" s="112">
        <f t="shared" si="177"/>
        <v>99.626657035628455</v>
      </c>
      <c r="AJ524" s="112">
        <f t="shared" si="177"/>
        <v>100.19501570802146</v>
      </c>
      <c r="AK524" s="112">
        <f t="shared" si="177"/>
        <v>100.79618580226959</v>
      </c>
      <c r="AL524" s="112">
        <f t="shared" si="177"/>
        <v>101.40096291708321</v>
      </c>
      <c r="AM524" s="112">
        <f t="shared" si="177"/>
        <v>102.0093686945857</v>
      </c>
      <c r="AN524" s="112">
        <f t="shared" si="177"/>
        <v>102.62142490675322</v>
      </c>
      <c r="AO524" s="112">
        <f t="shared" si="177"/>
        <v>103.23715345619374</v>
      </c>
      <c r="AP524" s="112">
        <f t="shared" si="177"/>
        <v>103.85657637693092</v>
      </c>
      <c r="AQ524" s="112">
        <f t="shared" si="177"/>
        <v>104.47971583519249</v>
      </c>
      <c r="AR524" s="112">
        <f t="shared" si="177"/>
        <v>105.10659413020365</v>
      </c>
      <c r="AS524" s="112">
        <f t="shared" si="177"/>
        <v>105.73723369498487</v>
      </c>
      <c r="AT524" s="112">
        <f t="shared" si="177"/>
        <v>106.37165709715478</v>
      </c>
      <c r="AU524" s="112">
        <f t="shared" si="177"/>
        <v>107.00988703973771</v>
      </c>
      <c r="AV524" s="112">
        <f t="shared" si="177"/>
        <v>107.65194636197614</v>
      </c>
      <c r="AW524" s="112">
        <f t="shared" si="177"/>
        <v>108.29785804014799</v>
      </c>
      <c r="AX524" s="112">
        <f t="shared" si="177"/>
        <v>108.94764518838888</v>
      </c>
      <c r="AY524" s="112">
        <f>AVERAGE(AX525:AY525)</f>
        <v>109.6013310595192</v>
      </c>
      <c r="AZ524" s="112">
        <f>AVERAGE(AY525:AZ525)</f>
        <v>110.25893904587632</v>
      </c>
      <c r="BA524" s="112">
        <f>AVERAGE(AZ525:BA525)</f>
        <v>110.92049268015157</v>
      </c>
      <c r="BB524" s="112">
        <f>AVERAGE(BA525:BB525)</f>
        <v>111.58601563623247</v>
      </c>
      <c r="BC524" s="112">
        <f t="shared" ref="BC524:BG524" si="178">AVERAGE(BB525:BC525)</f>
        <v>112.25553173004988</v>
      </c>
      <c r="BD524" s="112">
        <f t="shared" si="178"/>
        <v>112.92906492043016</v>
      </c>
      <c r="BE524" s="112">
        <f t="shared" si="178"/>
        <v>113.60663930995275</v>
      </c>
      <c r="BF524" s="112">
        <f t="shared" si="178"/>
        <v>114.28827914581248</v>
      </c>
      <c r="BG524" s="112">
        <f t="shared" si="178"/>
        <v>114.97400882068735</v>
      </c>
    </row>
    <row r="525" spans="1:59" ht="13.75" customHeight="1">
      <c r="A525" s="141" t="s">
        <v>166</v>
      </c>
      <c r="B525" s="142" t="s">
        <v>491</v>
      </c>
      <c r="C525" s="142" t="s">
        <v>515</v>
      </c>
      <c r="D525" s="142" t="s">
        <v>87</v>
      </c>
      <c r="F525" s="168" t="s">
        <v>517</v>
      </c>
      <c r="G525" s="109" t="s">
        <v>494</v>
      </c>
      <c r="I525" s="109" t="s">
        <v>496</v>
      </c>
      <c r="W525" s="111">
        <v>99.5</v>
      </c>
      <c r="X525" s="111">
        <v>111.2</v>
      </c>
      <c r="Y525" s="111">
        <v>117.1353</v>
      </c>
      <c r="Z525" s="112">
        <v>99.115499999999997</v>
      </c>
      <c r="AA525" s="111">
        <v>103.38930000000001</v>
      </c>
      <c r="AB525" s="112">
        <v>104.9</v>
      </c>
      <c r="AC525" s="112">
        <v>95.66</v>
      </c>
      <c r="AD525" s="112">
        <v>103.387</v>
      </c>
      <c r="AE525" s="112">
        <v>100.51282051282051</v>
      </c>
      <c r="AF525" s="112">
        <v>99.66101694915254</v>
      </c>
      <c r="AG525" s="112">
        <v>98.82352941176471</v>
      </c>
      <c r="AH525" s="112">
        <f>AG525*(1+AH526-AH$4)</f>
        <v>99.357984352392023</v>
      </c>
      <c r="AI525" s="112">
        <f t="shared" ref="AI525:AR525" si="179">AH525*(1+AI526-AI$4)</f>
        <v>99.895329718864872</v>
      </c>
      <c r="AJ525" s="112">
        <f t="shared" si="179"/>
        <v>100.49470169717806</v>
      </c>
      <c r="AK525" s="112">
        <f t="shared" si="179"/>
        <v>101.09766990736112</v>
      </c>
      <c r="AL525" s="112">
        <f t="shared" si="179"/>
        <v>101.70425592680529</v>
      </c>
      <c r="AM525" s="112">
        <f t="shared" si="179"/>
        <v>102.31448146236612</v>
      </c>
      <c r="AN525" s="112">
        <f t="shared" si="179"/>
        <v>102.92836835114032</v>
      </c>
      <c r="AO525" s="112">
        <f t="shared" si="179"/>
        <v>103.54593856124717</v>
      </c>
      <c r="AP525" s="112">
        <f t="shared" si="179"/>
        <v>104.16721419261465</v>
      </c>
      <c r="AQ525" s="112">
        <f t="shared" si="179"/>
        <v>104.79221747777034</v>
      </c>
      <c r="AR525" s="112">
        <f t="shared" si="179"/>
        <v>105.42097078263696</v>
      </c>
      <c r="AS525" s="112">
        <f>AR525*(1+AS526-AS$4)</f>
        <v>106.05349660733278</v>
      </c>
      <c r="AT525" s="112">
        <f t="shared" ref="AT525:AX525" si="180">AS525*(1+AT526-AT$4)</f>
        <v>106.68981758697677</v>
      </c>
      <c r="AU525" s="112">
        <f t="shared" si="180"/>
        <v>107.32995649249864</v>
      </c>
      <c r="AV525" s="112">
        <f t="shared" si="180"/>
        <v>107.97393623145364</v>
      </c>
      <c r="AW525" s="112">
        <f t="shared" si="180"/>
        <v>108.62177984884235</v>
      </c>
      <c r="AX525" s="112">
        <f t="shared" si="180"/>
        <v>109.2735105279354</v>
      </c>
      <c r="AY525" s="112">
        <f>AX525*(1+AY526-AY$4)</f>
        <v>109.92915159110301</v>
      </c>
      <c r="AZ525" s="112">
        <f>AY525*(1+AZ526-AZ$4)</f>
        <v>110.58872650064963</v>
      </c>
      <c r="BA525" s="112">
        <f>AZ525*(1+BA526-BA$4)</f>
        <v>111.25225885965352</v>
      </c>
      <c r="BB525" s="112">
        <f>BA525*(1+BB526-BB$4)</f>
        <v>111.91977241281144</v>
      </c>
      <c r="BC525" s="112">
        <f t="shared" ref="BC525:BG525" si="181">BB525*(1+BC526-BC$4)</f>
        <v>112.59129104728831</v>
      </c>
      <c r="BD525" s="112">
        <f t="shared" si="181"/>
        <v>113.26683879357203</v>
      </c>
      <c r="BE525" s="112">
        <f t="shared" si="181"/>
        <v>113.94643982633347</v>
      </c>
      <c r="BF525" s="112">
        <f t="shared" si="181"/>
        <v>114.63011846529147</v>
      </c>
      <c r="BG525" s="112">
        <f t="shared" si="181"/>
        <v>115.31789917608323</v>
      </c>
    </row>
    <row r="526" spans="1:59" ht="13.75" customHeight="1">
      <c r="A526" s="141" t="s">
        <v>166</v>
      </c>
      <c r="B526" s="142" t="s">
        <v>491</v>
      </c>
      <c r="C526" s="142" t="s">
        <v>515</v>
      </c>
      <c r="D526" s="142" t="s">
        <v>87</v>
      </c>
      <c r="F526" s="168" t="s">
        <v>518</v>
      </c>
      <c r="G526" s="109" t="s">
        <v>3</v>
      </c>
      <c r="I526" s="109" t="s">
        <v>498</v>
      </c>
      <c r="W526" s="107">
        <v>2.1000000000000001E-2</v>
      </c>
      <c r="X526" s="107">
        <v>1.3999999999999999E-2</v>
      </c>
      <c r="Y526" s="107">
        <v>1.125E-2</v>
      </c>
      <c r="Z526" s="107">
        <v>3.15E-2</v>
      </c>
      <c r="AA526" s="107">
        <v>1.9599999999999999E-2</v>
      </c>
      <c r="AB526" s="107">
        <v>1.9E-2</v>
      </c>
      <c r="AC526" s="107">
        <v>1.6E-2</v>
      </c>
      <c r="AD526" s="107">
        <v>7.9000000000000001E-2</v>
      </c>
      <c r="AE526" s="107">
        <v>2.4E-2</v>
      </c>
      <c r="AF526" s="107">
        <v>2.4E-2</v>
      </c>
      <c r="AG526" s="107">
        <v>2.6000000000000002E-2</v>
      </c>
      <c r="AH526" s="107">
        <f t="shared" ref="AH526:AX526" si="182">AG526</f>
        <v>2.6000000000000002E-2</v>
      </c>
      <c r="AI526" s="107">
        <f t="shared" si="182"/>
        <v>2.6000000000000002E-2</v>
      </c>
      <c r="AJ526" s="107">
        <f t="shared" si="182"/>
        <v>2.6000000000000002E-2</v>
      </c>
      <c r="AK526" s="107">
        <f t="shared" si="182"/>
        <v>2.6000000000000002E-2</v>
      </c>
      <c r="AL526" s="107">
        <f t="shared" si="182"/>
        <v>2.6000000000000002E-2</v>
      </c>
      <c r="AM526" s="107">
        <f t="shared" si="182"/>
        <v>2.6000000000000002E-2</v>
      </c>
      <c r="AN526" s="107">
        <f t="shared" si="182"/>
        <v>2.6000000000000002E-2</v>
      </c>
      <c r="AO526" s="107">
        <f t="shared" si="182"/>
        <v>2.6000000000000002E-2</v>
      </c>
      <c r="AP526" s="107">
        <f t="shared" si="182"/>
        <v>2.6000000000000002E-2</v>
      </c>
      <c r="AQ526" s="107">
        <f t="shared" si="182"/>
        <v>2.6000000000000002E-2</v>
      </c>
      <c r="AR526" s="107">
        <f t="shared" si="182"/>
        <v>2.6000000000000002E-2</v>
      </c>
      <c r="AS526" s="107">
        <f t="shared" si="182"/>
        <v>2.6000000000000002E-2</v>
      </c>
      <c r="AT526" s="107">
        <f t="shared" si="182"/>
        <v>2.6000000000000002E-2</v>
      </c>
      <c r="AU526" s="107">
        <f t="shared" si="182"/>
        <v>2.6000000000000002E-2</v>
      </c>
      <c r="AV526" s="107">
        <f t="shared" si="182"/>
        <v>2.6000000000000002E-2</v>
      </c>
      <c r="AW526" s="107">
        <f t="shared" si="182"/>
        <v>2.6000000000000002E-2</v>
      </c>
      <c r="AX526" s="107">
        <f t="shared" si="182"/>
        <v>2.6000000000000002E-2</v>
      </c>
      <c r="AY526" s="107">
        <f>AX526</f>
        <v>2.6000000000000002E-2</v>
      </c>
      <c r="AZ526" s="107">
        <f>AY526</f>
        <v>2.6000000000000002E-2</v>
      </c>
      <c r="BA526" s="107">
        <f>AZ526</f>
        <v>2.6000000000000002E-2</v>
      </c>
      <c r="BB526" s="107">
        <f>BA526</f>
        <v>2.6000000000000002E-2</v>
      </c>
      <c r="BC526" s="107">
        <f t="shared" ref="BC526:BG526" si="183">BB526</f>
        <v>2.6000000000000002E-2</v>
      </c>
      <c r="BD526" s="107">
        <f t="shared" si="183"/>
        <v>2.6000000000000002E-2</v>
      </c>
      <c r="BE526" s="107">
        <f t="shared" si="183"/>
        <v>2.6000000000000002E-2</v>
      </c>
      <c r="BF526" s="107">
        <f t="shared" si="183"/>
        <v>2.6000000000000002E-2</v>
      </c>
      <c r="BG526" s="107">
        <f t="shared" si="183"/>
        <v>2.6000000000000002E-2</v>
      </c>
    </row>
    <row r="527" spans="1:59" ht="13.75" customHeight="1">
      <c r="A527" s="141" t="s">
        <v>166</v>
      </c>
      <c r="B527" s="142" t="s">
        <v>491</v>
      </c>
      <c r="C527" s="142" t="s">
        <v>515</v>
      </c>
      <c r="D527" s="142" t="s">
        <v>98</v>
      </c>
      <c r="F527" s="168" t="s">
        <v>519</v>
      </c>
      <c r="G527" s="109" t="s">
        <v>3</v>
      </c>
      <c r="I527" s="109" t="s">
        <v>498</v>
      </c>
      <c r="W527" s="109"/>
      <c r="Y527" s="107">
        <v>1.125E-2</v>
      </c>
      <c r="Z527" s="107">
        <v>3.15E-2</v>
      </c>
      <c r="AA527" s="107">
        <v>1.9599999999999999E-2</v>
      </c>
      <c r="AB527" s="107">
        <v>4.4999999999999998E-2</v>
      </c>
      <c r="AC527" s="107">
        <v>4.4999999999999998E-2</v>
      </c>
      <c r="AD527" s="107">
        <v>4.4999999999999998E-2</v>
      </c>
      <c r="AE527" s="107">
        <f t="shared" ref="AE527:AX527" si="184">AE526</f>
        <v>2.4E-2</v>
      </c>
      <c r="AF527" s="107">
        <f t="shared" si="184"/>
        <v>2.4E-2</v>
      </c>
      <c r="AG527" s="107">
        <f t="shared" si="184"/>
        <v>2.6000000000000002E-2</v>
      </c>
      <c r="AH527" s="107">
        <f t="shared" si="184"/>
        <v>2.6000000000000002E-2</v>
      </c>
      <c r="AI527" s="107">
        <f t="shared" si="184"/>
        <v>2.6000000000000002E-2</v>
      </c>
      <c r="AJ527" s="107">
        <f t="shared" si="184"/>
        <v>2.6000000000000002E-2</v>
      </c>
      <c r="AK527" s="107">
        <f t="shared" si="184"/>
        <v>2.6000000000000002E-2</v>
      </c>
      <c r="AL527" s="107">
        <f t="shared" si="184"/>
        <v>2.6000000000000002E-2</v>
      </c>
      <c r="AM527" s="107">
        <f t="shared" si="184"/>
        <v>2.6000000000000002E-2</v>
      </c>
      <c r="AN527" s="107">
        <f t="shared" si="184"/>
        <v>2.6000000000000002E-2</v>
      </c>
      <c r="AO527" s="107">
        <f t="shared" si="184"/>
        <v>2.6000000000000002E-2</v>
      </c>
      <c r="AP527" s="107">
        <f t="shared" si="184"/>
        <v>2.6000000000000002E-2</v>
      </c>
      <c r="AQ527" s="107">
        <f t="shared" si="184"/>
        <v>2.6000000000000002E-2</v>
      </c>
      <c r="AR527" s="107">
        <f t="shared" si="184"/>
        <v>2.6000000000000002E-2</v>
      </c>
      <c r="AS527" s="107">
        <f t="shared" si="184"/>
        <v>2.6000000000000002E-2</v>
      </c>
      <c r="AT527" s="107">
        <f t="shared" si="184"/>
        <v>2.6000000000000002E-2</v>
      </c>
      <c r="AU527" s="107">
        <f t="shared" si="184"/>
        <v>2.6000000000000002E-2</v>
      </c>
      <c r="AV527" s="107">
        <f t="shared" si="184"/>
        <v>2.6000000000000002E-2</v>
      </c>
      <c r="AW527" s="107">
        <f t="shared" si="184"/>
        <v>2.6000000000000002E-2</v>
      </c>
      <c r="AX527" s="107">
        <f t="shared" si="184"/>
        <v>2.6000000000000002E-2</v>
      </c>
      <c r="AY527" s="107">
        <f>AY526</f>
        <v>2.6000000000000002E-2</v>
      </c>
      <c r="AZ527" s="107">
        <f>AZ526</f>
        <v>2.6000000000000002E-2</v>
      </c>
      <c r="BA527" s="107">
        <f>BA526</f>
        <v>2.6000000000000002E-2</v>
      </c>
      <c r="BB527" s="107">
        <f>BB526</f>
        <v>2.6000000000000002E-2</v>
      </c>
      <c r="BC527" s="107">
        <f t="shared" ref="BC527:BG527" si="185">BC526</f>
        <v>2.6000000000000002E-2</v>
      </c>
      <c r="BD527" s="107">
        <f t="shared" si="185"/>
        <v>2.6000000000000002E-2</v>
      </c>
      <c r="BE527" s="107">
        <f t="shared" si="185"/>
        <v>2.6000000000000002E-2</v>
      </c>
      <c r="BF527" s="107">
        <f t="shared" si="185"/>
        <v>2.6000000000000002E-2</v>
      </c>
      <c r="BG527" s="107">
        <f t="shared" si="185"/>
        <v>2.6000000000000002E-2</v>
      </c>
    </row>
    <row r="528" spans="1:59" ht="13.75" customHeight="1">
      <c r="A528" s="141" t="s">
        <v>166</v>
      </c>
      <c r="B528" s="142" t="s">
        <v>491</v>
      </c>
      <c r="C528" s="142" t="s">
        <v>520</v>
      </c>
      <c r="D528" s="142" t="s">
        <v>87</v>
      </c>
      <c r="F528" s="168" t="s">
        <v>521</v>
      </c>
      <c r="G528" s="109" t="s">
        <v>494</v>
      </c>
      <c r="V528" s="111">
        <v>0.75301204819277101</v>
      </c>
      <c r="W528" s="111">
        <v>0.75757575757575757</v>
      </c>
      <c r="X528" s="111">
        <v>0.90102680916158218</v>
      </c>
      <c r="Y528" s="111">
        <v>0.90290869916509553</v>
      </c>
      <c r="Z528" s="111">
        <v>0.88481656490336635</v>
      </c>
      <c r="AA528" s="111">
        <v>0.84695910881422631</v>
      </c>
      <c r="AB528" s="111">
        <v>0.89336164525314177</v>
      </c>
      <c r="AC528" s="111">
        <v>0.87719298245614041</v>
      </c>
      <c r="AD528" s="111">
        <v>0.84033613445378152</v>
      </c>
      <c r="AE528" s="111">
        <f>1/AE35</f>
        <v>0.95088866070413236</v>
      </c>
      <c r="AF528" s="111">
        <f t="shared" ref="AF528:AX529" si="186">1/AF35</f>
        <v>0.92758467148997403</v>
      </c>
      <c r="AG528" s="111">
        <f t="shared" si="186"/>
        <v>0.93023255813953476</v>
      </c>
      <c r="AH528" s="111">
        <f t="shared" si="186"/>
        <v>0.92592592592592582</v>
      </c>
      <c r="AI528" s="111">
        <f t="shared" si="186"/>
        <v>0.92592592592592582</v>
      </c>
      <c r="AJ528" s="111">
        <f t="shared" si="186"/>
        <v>0.92592592592592582</v>
      </c>
      <c r="AK528" s="111">
        <f t="shared" si="186"/>
        <v>0.92592592592592582</v>
      </c>
      <c r="AL528" s="111">
        <f t="shared" si="186"/>
        <v>0.92592592592592582</v>
      </c>
      <c r="AM528" s="111">
        <f t="shared" si="186"/>
        <v>0.92592592592592582</v>
      </c>
      <c r="AN528" s="111">
        <f t="shared" si="186"/>
        <v>0.92592592592592582</v>
      </c>
      <c r="AO528" s="111">
        <f t="shared" si="186"/>
        <v>0.92592592592592582</v>
      </c>
      <c r="AP528" s="111">
        <f t="shared" si="186"/>
        <v>0.92592592592592582</v>
      </c>
      <c r="AQ528" s="111">
        <f t="shared" si="186"/>
        <v>0.92592592592592582</v>
      </c>
      <c r="AR528" s="111">
        <f t="shared" si="186"/>
        <v>0.92592592592592582</v>
      </c>
      <c r="AS528" s="111">
        <f t="shared" si="186"/>
        <v>0.92592592592592582</v>
      </c>
      <c r="AT528" s="111">
        <f t="shared" si="186"/>
        <v>0.92592592592592582</v>
      </c>
      <c r="AU528" s="111">
        <f t="shared" si="186"/>
        <v>0.92592592592592582</v>
      </c>
      <c r="AV528" s="111">
        <f t="shared" si="186"/>
        <v>0.92592592592592582</v>
      </c>
      <c r="AW528" s="111">
        <f t="shared" si="186"/>
        <v>0.92592592592592582</v>
      </c>
      <c r="AX528" s="111">
        <f t="shared" si="186"/>
        <v>0.92592592592592582</v>
      </c>
      <c r="AY528" s="111">
        <f>1/AY35</f>
        <v>0.92592592592592582</v>
      </c>
      <c r="AZ528" s="111">
        <f>1/AZ35</f>
        <v>0.92592592592592582</v>
      </c>
      <c r="BA528" s="111">
        <f>1/BA35</f>
        <v>0.92592592592592582</v>
      </c>
      <c r="BB528" s="111">
        <f>1/BB35</f>
        <v>0.92592592592592582</v>
      </c>
      <c r="BC528" s="111">
        <f t="shared" ref="BC528:BG529" si="187">1/BC35</f>
        <v>0.92592592592592582</v>
      </c>
      <c r="BD528" s="111">
        <f t="shared" si="187"/>
        <v>0.92592592592592582</v>
      </c>
      <c r="BE528" s="111">
        <f t="shared" si="187"/>
        <v>0.92592592592592582</v>
      </c>
      <c r="BF528" s="111">
        <f t="shared" si="187"/>
        <v>0.92592592592592582</v>
      </c>
      <c r="BG528" s="111">
        <f t="shared" si="187"/>
        <v>0.92592592592592582</v>
      </c>
    </row>
    <row r="529" spans="1:59" ht="13.75" customHeight="1">
      <c r="A529" s="141" t="s">
        <v>166</v>
      </c>
      <c r="B529" s="142" t="s">
        <v>491</v>
      </c>
      <c r="C529" s="142" t="s">
        <v>520</v>
      </c>
      <c r="D529" s="142" t="s">
        <v>87</v>
      </c>
      <c r="F529" s="168" t="s">
        <v>522</v>
      </c>
      <c r="G529" s="109" t="s">
        <v>494</v>
      </c>
      <c r="I529" s="109" t="s">
        <v>496</v>
      </c>
      <c r="V529" s="111">
        <v>0.72727272727272729</v>
      </c>
      <c r="W529" s="111">
        <v>0.82644628099173556</v>
      </c>
      <c r="X529" s="116">
        <v>0.91743119266054995</v>
      </c>
      <c r="Y529" s="111">
        <v>0.95093191327500948</v>
      </c>
      <c r="Z529" s="111">
        <v>0.8337502084375521</v>
      </c>
      <c r="AA529" s="111">
        <v>0.87290502793296088</v>
      </c>
      <c r="AB529" s="111">
        <v>0.89190153407063855</v>
      </c>
      <c r="AC529" s="111">
        <v>0.81300813008130079</v>
      </c>
      <c r="AD529" s="111">
        <v>0.87950747581354438</v>
      </c>
      <c r="AE529" s="111">
        <f>1/AE36</f>
        <v>0.95088866070413236</v>
      </c>
      <c r="AF529" s="111">
        <f t="shared" si="186"/>
        <v>0.92758467148997403</v>
      </c>
      <c r="AG529" s="111">
        <f t="shared" si="186"/>
        <v>0.93023255813953476</v>
      </c>
      <c r="AH529" s="111">
        <f t="shared" si="186"/>
        <v>0.92592592592592582</v>
      </c>
      <c r="AI529" s="111">
        <f t="shared" si="186"/>
        <v>0.92592592592592582</v>
      </c>
      <c r="AJ529" s="111">
        <f t="shared" si="186"/>
        <v>0.92592592592592582</v>
      </c>
      <c r="AK529" s="111">
        <f t="shared" si="186"/>
        <v>0.92592592592592582</v>
      </c>
      <c r="AL529" s="111">
        <f t="shared" si="186"/>
        <v>0.92592592592592582</v>
      </c>
      <c r="AM529" s="111">
        <f t="shared" si="186"/>
        <v>0.92592592592592582</v>
      </c>
      <c r="AN529" s="111">
        <f t="shared" si="186"/>
        <v>0.92592592592592582</v>
      </c>
      <c r="AO529" s="111">
        <f t="shared" si="186"/>
        <v>0.92592592592592582</v>
      </c>
      <c r="AP529" s="111">
        <f t="shared" si="186"/>
        <v>0.92592592592592582</v>
      </c>
      <c r="AQ529" s="111">
        <f t="shared" si="186"/>
        <v>0.92592592592592582</v>
      </c>
      <c r="AR529" s="111">
        <f t="shared" si="186"/>
        <v>0.92592592592592582</v>
      </c>
      <c r="AS529" s="111">
        <f t="shared" si="186"/>
        <v>0.92592592592592582</v>
      </c>
      <c r="AT529" s="111">
        <f t="shared" si="186"/>
        <v>0.92592592592592582</v>
      </c>
      <c r="AU529" s="111">
        <f t="shared" si="186"/>
        <v>0.92592592592592582</v>
      </c>
      <c r="AV529" s="111">
        <f t="shared" si="186"/>
        <v>0.92592592592592582</v>
      </c>
      <c r="AW529" s="111">
        <f t="shared" si="186"/>
        <v>0.92592592592592582</v>
      </c>
      <c r="AX529" s="111">
        <f>1/AX36</f>
        <v>0.92592592592592582</v>
      </c>
      <c r="AY529" s="111">
        <f>1/AY36</f>
        <v>0.92592592592592582</v>
      </c>
      <c r="AZ529" s="111">
        <f>1/AZ36</f>
        <v>0.92592592592592582</v>
      </c>
      <c r="BA529" s="111">
        <f>1/BA36</f>
        <v>0.92592592592592582</v>
      </c>
      <c r="BB529" s="111">
        <f t="shared" ref="BB529" si="188">1/BB36</f>
        <v>0.92592592592592582</v>
      </c>
      <c r="BC529" s="111">
        <f t="shared" si="187"/>
        <v>0.92592592592592582</v>
      </c>
      <c r="BD529" s="111">
        <f t="shared" si="187"/>
        <v>0.92592592592592582</v>
      </c>
      <c r="BE529" s="111">
        <f t="shared" si="187"/>
        <v>0.92592592592592582</v>
      </c>
      <c r="BF529" s="111">
        <f t="shared" si="187"/>
        <v>0.92592592592592582</v>
      </c>
      <c r="BG529" s="111">
        <f t="shared" si="187"/>
        <v>0.92592592592592582</v>
      </c>
    </row>
    <row r="530" spans="1:59" ht="13.75" customHeight="1">
      <c r="A530" s="141" t="s">
        <v>166</v>
      </c>
      <c r="B530" s="142" t="s">
        <v>491</v>
      </c>
      <c r="C530" s="142" t="s">
        <v>520</v>
      </c>
      <c r="D530" s="142" t="s">
        <v>87</v>
      </c>
      <c r="F530" s="168" t="s">
        <v>523</v>
      </c>
      <c r="G530" s="109" t="s">
        <v>3</v>
      </c>
      <c r="I530" s="109" t="s">
        <v>498</v>
      </c>
      <c r="V530" s="107">
        <v>1.9E-2</v>
      </c>
      <c r="W530" s="107">
        <v>4.0000000000000001E-3</v>
      </c>
      <c r="X530" s="107">
        <v>-8.0000000000000002E-3</v>
      </c>
      <c r="Y530" s="107">
        <v>-1E-3</v>
      </c>
      <c r="Z530" s="107">
        <v>1.3999999999999999E-2</v>
      </c>
      <c r="AA530" s="107">
        <v>1.7000000000000001E-2</v>
      </c>
      <c r="AB530" s="107">
        <v>1.6E-2</v>
      </c>
      <c r="AC530" s="107">
        <v>-2.9999999999999997E-4</v>
      </c>
      <c r="AD530" s="107">
        <v>4.9000000000000002E-2</v>
      </c>
      <c r="AE530" s="107">
        <v>1.7000000000000001E-2</v>
      </c>
      <c r="AF530" s="107">
        <v>1.8000000000000002E-2</v>
      </c>
      <c r="AG530" s="107">
        <v>1.8000000000000002E-2</v>
      </c>
      <c r="AH530" s="107">
        <f>AG530</f>
        <v>1.8000000000000002E-2</v>
      </c>
      <c r="AI530" s="107">
        <f t="shared" ref="AI530:AX530" si="189">AH530</f>
        <v>1.8000000000000002E-2</v>
      </c>
      <c r="AJ530" s="107">
        <f t="shared" si="189"/>
        <v>1.8000000000000002E-2</v>
      </c>
      <c r="AK530" s="107">
        <f t="shared" si="189"/>
        <v>1.8000000000000002E-2</v>
      </c>
      <c r="AL530" s="107">
        <f t="shared" si="189"/>
        <v>1.8000000000000002E-2</v>
      </c>
      <c r="AM530" s="107">
        <f t="shared" si="189"/>
        <v>1.8000000000000002E-2</v>
      </c>
      <c r="AN530" s="107">
        <f t="shared" si="189"/>
        <v>1.8000000000000002E-2</v>
      </c>
      <c r="AO530" s="107">
        <f t="shared" si="189"/>
        <v>1.8000000000000002E-2</v>
      </c>
      <c r="AP530" s="107">
        <f t="shared" si="189"/>
        <v>1.8000000000000002E-2</v>
      </c>
      <c r="AQ530" s="107">
        <f t="shared" si="189"/>
        <v>1.8000000000000002E-2</v>
      </c>
      <c r="AR530" s="107">
        <f t="shared" si="189"/>
        <v>1.8000000000000002E-2</v>
      </c>
      <c r="AS530" s="107">
        <f t="shared" si="189"/>
        <v>1.8000000000000002E-2</v>
      </c>
      <c r="AT530" s="107">
        <f t="shared" si="189"/>
        <v>1.8000000000000002E-2</v>
      </c>
      <c r="AU530" s="107">
        <f t="shared" si="189"/>
        <v>1.8000000000000002E-2</v>
      </c>
      <c r="AV530" s="107">
        <f t="shared" si="189"/>
        <v>1.8000000000000002E-2</v>
      </c>
      <c r="AW530" s="107">
        <f t="shared" si="189"/>
        <v>1.8000000000000002E-2</v>
      </c>
      <c r="AX530" s="107">
        <f t="shared" si="189"/>
        <v>1.8000000000000002E-2</v>
      </c>
      <c r="AY530" s="107">
        <f>AX530</f>
        <v>1.8000000000000002E-2</v>
      </c>
      <c r="AZ530" s="107">
        <f>AY530</f>
        <v>1.8000000000000002E-2</v>
      </c>
      <c r="BA530" s="107">
        <f>AZ530</f>
        <v>1.8000000000000002E-2</v>
      </c>
      <c r="BB530" s="107">
        <f>BA530</f>
        <v>1.8000000000000002E-2</v>
      </c>
      <c r="BC530" s="107">
        <f t="shared" ref="BC530:BG530" si="190">BB530</f>
        <v>1.8000000000000002E-2</v>
      </c>
      <c r="BD530" s="107">
        <f t="shared" si="190"/>
        <v>1.8000000000000002E-2</v>
      </c>
      <c r="BE530" s="107">
        <f t="shared" si="190"/>
        <v>1.8000000000000002E-2</v>
      </c>
      <c r="BF530" s="107">
        <f t="shared" si="190"/>
        <v>1.8000000000000002E-2</v>
      </c>
      <c r="BG530" s="107">
        <f t="shared" si="190"/>
        <v>1.8000000000000002E-2</v>
      </c>
    </row>
    <row r="531" spans="1:59" ht="13.75" customHeight="1">
      <c r="A531" s="141" t="s">
        <v>166</v>
      </c>
      <c r="B531" s="142" t="s">
        <v>491</v>
      </c>
      <c r="C531" s="142" t="s">
        <v>520</v>
      </c>
      <c r="D531" s="142" t="s">
        <v>98</v>
      </c>
      <c r="F531" s="168" t="s">
        <v>524</v>
      </c>
      <c r="G531" s="109" t="s">
        <v>3</v>
      </c>
      <c r="I531" s="109" t="s">
        <v>498</v>
      </c>
      <c r="W531" s="109"/>
      <c r="Z531" s="107">
        <v>1.5599999999999999E-2</v>
      </c>
      <c r="AA531" s="107">
        <v>2.0667000000000001E-2</v>
      </c>
      <c r="AB531" s="107">
        <v>5.0000000000000001E-3</v>
      </c>
      <c r="AC531" s="107">
        <v>-2E-3</v>
      </c>
      <c r="AD531" s="107">
        <v>0.106</v>
      </c>
      <c r="AE531" s="107">
        <f t="shared" ref="AE531:AX531" si="191">AE530</f>
        <v>1.7000000000000001E-2</v>
      </c>
      <c r="AF531" s="107">
        <f t="shared" si="191"/>
        <v>1.8000000000000002E-2</v>
      </c>
      <c r="AG531" s="107">
        <f t="shared" si="191"/>
        <v>1.8000000000000002E-2</v>
      </c>
      <c r="AH531" s="107">
        <f t="shared" si="191"/>
        <v>1.8000000000000002E-2</v>
      </c>
      <c r="AI531" s="107">
        <f t="shared" si="191"/>
        <v>1.8000000000000002E-2</v>
      </c>
      <c r="AJ531" s="107">
        <f t="shared" si="191"/>
        <v>1.8000000000000002E-2</v>
      </c>
      <c r="AK531" s="107">
        <f t="shared" si="191"/>
        <v>1.8000000000000002E-2</v>
      </c>
      <c r="AL531" s="107">
        <f t="shared" si="191"/>
        <v>1.8000000000000002E-2</v>
      </c>
      <c r="AM531" s="107">
        <f t="shared" si="191"/>
        <v>1.8000000000000002E-2</v>
      </c>
      <c r="AN531" s="107">
        <f t="shared" si="191"/>
        <v>1.8000000000000002E-2</v>
      </c>
      <c r="AO531" s="107">
        <f t="shared" si="191"/>
        <v>1.8000000000000002E-2</v>
      </c>
      <c r="AP531" s="107">
        <f t="shared" si="191"/>
        <v>1.8000000000000002E-2</v>
      </c>
      <c r="AQ531" s="107">
        <f t="shared" si="191"/>
        <v>1.8000000000000002E-2</v>
      </c>
      <c r="AR531" s="107">
        <f t="shared" si="191"/>
        <v>1.8000000000000002E-2</v>
      </c>
      <c r="AS531" s="107">
        <f t="shared" si="191"/>
        <v>1.8000000000000002E-2</v>
      </c>
      <c r="AT531" s="107">
        <f t="shared" si="191"/>
        <v>1.8000000000000002E-2</v>
      </c>
      <c r="AU531" s="107">
        <f t="shared" si="191"/>
        <v>1.8000000000000002E-2</v>
      </c>
      <c r="AV531" s="107">
        <f t="shared" si="191"/>
        <v>1.8000000000000002E-2</v>
      </c>
      <c r="AW531" s="107">
        <f t="shared" si="191"/>
        <v>1.8000000000000002E-2</v>
      </c>
      <c r="AX531" s="107">
        <f t="shared" si="191"/>
        <v>1.8000000000000002E-2</v>
      </c>
      <c r="AY531" s="107">
        <f>AY530</f>
        <v>1.8000000000000002E-2</v>
      </c>
      <c r="AZ531" s="107">
        <f>AZ530</f>
        <v>1.8000000000000002E-2</v>
      </c>
      <c r="BA531" s="107">
        <f>BA530</f>
        <v>1.8000000000000002E-2</v>
      </c>
      <c r="BB531" s="107">
        <f>BB530</f>
        <v>1.8000000000000002E-2</v>
      </c>
      <c r="BC531" s="107">
        <f t="shared" ref="BC531:BG531" si="192">BC530</f>
        <v>1.8000000000000002E-2</v>
      </c>
      <c r="BD531" s="107">
        <f t="shared" si="192"/>
        <v>1.8000000000000002E-2</v>
      </c>
      <c r="BE531" s="107">
        <f t="shared" si="192"/>
        <v>1.8000000000000002E-2</v>
      </c>
      <c r="BF531" s="107">
        <f t="shared" si="192"/>
        <v>1.8000000000000002E-2</v>
      </c>
      <c r="BG531" s="107">
        <f t="shared" si="192"/>
        <v>1.8000000000000002E-2</v>
      </c>
    </row>
    <row r="532" spans="1:59" ht="13.75" customHeight="1">
      <c r="A532" s="141" t="s">
        <v>166</v>
      </c>
      <c r="B532" s="142" t="s">
        <v>491</v>
      </c>
      <c r="C532" s="142" t="s">
        <v>525</v>
      </c>
      <c r="D532" s="142" t="s">
        <v>87</v>
      </c>
      <c r="F532" s="168" t="s">
        <v>526</v>
      </c>
      <c r="G532" s="109" t="s">
        <v>494</v>
      </c>
      <c r="U532" s="109">
        <v>1.5225</v>
      </c>
      <c r="V532" s="111">
        <v>1.4727409638554216</v>
      </c>
      <c r="W532" s="111">
        <v>1.4716328066215201</v>
      </c>
      <c r="X532" s="116">
        <v>1.7619819819819817</v>
      </c>
      <c r="Y532" s="111">
        <v>1.7676462696066966</v>
      </c>
      <c r="Z532" s="111">
        <v>1.7282999999999999</v>
      </c>
      <c r="AA532" s="111">
        <v>1.65</v>
      </c>
      <c r="AB532" s="111">
        <v>1.75</v>
      </c>
      <c r="AC532" s="111">
        <v>1.6050684043594996</v>
      </c>
      <c r="AD532" s="111">
        <v>1.6388335233995801</v>
      </c>
      <c r="AE532" s="111">
        <v>1.6504641350210969</v>
      </c>
      <c r="AF532" s="111">
        <v>1.6366527196652723</v>
      </c>
      <c r="AG532" s="111">
        <v>1.623070539419087</v>
      </c>
      <c r="AH532" s="111">
        <f>AVERAGE(AG533:AH533)</f>
        <v>1.6130566977909635</v>
      </c>
      <c r="AI532" s="111">
        <f>AVERAGE(AH533:AI533)</f>
        <v>1.6064563520595607</v>
      </c>
      <c r="AJ532" s="111">
        <f t="shared" ref="AJ532:AX532" si="193">AVERAGE(AI533:AJ533)</f>
        <v>1.6003574097472546</v>
      </c>
      <c r="AK532" s="111">
        <f t="shared" si="193"/>
        <v>1.5947561588131391</v>
      </c>
      <c r="AL532" s="111">
        <f t="shared" si="193"/>
        <v>1.5891745122572931</v>
      </c>
      <c r="AM532" s="111">
        <f t="shared" si="193"/>
        <v>1.5836124014643924</v>
      </c>
      <c r="AN532" s="111">
        <f t="shared" si="193"/>
        <v>1.5780697580592671</v>
      </c>
      <c r="AO532" s="111">
        <f t="shared" si="193"/>
        <v>1.5725465139060595</v>
      </c>
      <c r="AP532" s="111">
        <f t="shared" si="193"/>
        <v>1.5670426011073884</v>
      </c>
      <c r="AQ532" s="111">
        <f t="shared" si="193"/>
        <v>1.5615579520035126</v>
      </c>
      <c r="AR532" s="111">
        <f t="shared" si="193"/>
        <v>1.5560924991715002</v>
      </c>
      <c r="AS532" s="111">
        <f t="shared" si="193"/>
        <v>1.5506461754243996</v>
      </c>
      <c r="AT532" s="111">
        <f t="shared" si="193"/>
        <v>1.5452189138104142</v>
      </c>
      <c r="AU532" s="111">
        <f t="shared" si="193"/>
        <v>1.5398106476120774</v>
      </c>
      <c r="AV532" s="111">
        <f t="shared" si="193"/>
        <v>1.5344213103454352</v>
      </c>
      <c r="AW532" s="111">
        <f t="shared" si="193"/>
        <v>1.5290508357592261</v>
      </c>
      <c r="AX532" s="111">
        <f t="shared" si="193"/>
        <v>1.5236991578340686</v>
      </c>
      <c r="AY532" s="111">
        <f>AVERAGE(AX533:AY533)</f>
        <v>1.5183662107816494</v>
      </c>
      <c r="AZ532" s="111">
        <f>AVERAGE(AY533:AZ533)</f>
        <v>1.5130519290439137</v>
      </c>
      <c r="BA532" s="111">
        <f>AVERAGE(AZ533:BA533)</f>
        <v>1.5077562472922597</v>
      </c>
      <c r="BB532" s="111">
        <f>AVERAGE(BA533:BB533)</f>
        <v>1.5024791004267368</v>
      </c>
      <c r="BC532" s="111">
        <f t="shared" ref="BC532:BG532" si="194">AVERAGE(BB533:BC533)</f>
        <v>1.4972204235752429</v>
      </c>
      <c r="BD532" s="111">
        <f t="shared" si="194"/>
        <v>1.4919801520927294</v>
      </c>
      <c r="BE532" s="111">
        <f t="shared" si="194"/>
        <v>1.4867582215604047</v>
      </c>
      <c r="BF532" s="111">
        <f t="shared" si="194"/>
        <v>1.4815545677849433</v>
      </c>
      <c r="BG532" s="111">
        <f t="shared" si="194"/>
        <v>1.4763691267976959</v>
      </c>
    </row>
    <row r="533" spans="1:59" ht="13.75" customHeight="1">
      <c r="A533" s="141" t="s">
        <v>166</v>
      </c>
      <c r="B533" s="142" t="s">
        <v>491</v>
      </c>
      <c r="C533" s="142" t="s">
        <v>525</v>
      </c>
      <c r="D533" s="142" t="s">
        <v>87</v>
      </c>
      <c r="F533" s="168" t="s">
        <v>527</v>
      </c>
      <c r="G533" s="109" t="s">
        <v>494</v>
      </c>
      <c r="I533" s="109" t="s">
        <v>496</v>
      </c>
      <c r="U533" s="109">
        <v>1.48</v>
      </c>
      <c r="V533" s="111">
        <v>1.4223999999999999</v>
      </c>
      <c r="W533" s="111">
        <v>1.6163636363636364</v>
      </c>
      <c r="X533" s="116">
        <v>1.7943119266055045</v>
      </c>
      <c r="Y533" s="111">
        <v>1.8603633596499574</v>
      </c>
      <c r="Z533" s="111">
        <v>1.6301000000000001</v>
      </c>
      <c r="AA533" s="111">
        <v>1.71</v>
      </c>
      <c r="AB533" s="111">
        <v>1.74</v>
      </c>
      <c r="AC533" s="111">
        <v>1.6031147540983606</v>
      </c>
      <c r="AD533" s="111">
        <v>1.7261</v>
      </c>
      <c r="AE533" s="111">
        <v>1.6435294117647059</v>
      </c>
      <c r="AF533" s="111">
        <v>1.6298333333333335</v>
      </c>
      <c r="AG533" s="111">
        <v>1.6163636363636364</v>
      </c>
      <c r="AH533" s="112">
        <f>AG533*(1+AH534-AH$4)</f>
        <v>1.6097497592182903</v>
      </c>
      <c r="AI533" s="112">
        <f t="shared" ref="AI533:AR533" si="195">AH533*(1+AI534-AI$4)</f>
        <v>1.6031629449008311</v>
      </c>
      <c r="AJ533" s="112">
        <f t="shared" si="195"/>
        <v>1.5975518745936781</v>
      </c>
      <c r="AK533" s="112">
        <f t="shared" si="195"/>
        <v>1.5919604430326002</v>
      </c>
      <c r="AL533" s="112">
        <f t="shared" si="195"/>
        <v>1.586388581481986</v>
      </c>
      <c r="AM533" s="112">
        <f t="shared" si="195"/>
        <v>1.580836221446799</v>
      </c>
      <c r="AN533" s="112">
        <f t="shared" si="195"/>
        <v>1.5753032946717351</v>
      </c>
      <c r="AO533" s="112">
        <f t="shared" si="195"/>
        <v>1.5697897331403841</v>
      </c>
      <c r="AP533" s="112">
        <f t="shared" si="195"/>
        <v>1.5642954690743927</v>
      </c>
      <c r="AQ533" s="112">
        <f t="shared" si="195"/>
        <v>1.5588204349326322</v>
      </c>
      <c r="AR533" s="112">
        <f t="shared" si="195"/>
        <v>1.5533645634103679</v>
      </c>
      <c r="AS533" s="112">
        <f>AR533*(1+AS534-AS$4)</f>
        <v>1.5479277874384314</v>
      </c>
      <c r="AT533" s="112">
        <f t="shared" ref="AT533:AX533" si="196">AS533*(1+AT534-AT$4)</f>
        <v>1.5425100401823968</v>
      </c>
      <c r="AU533" s="112">
        <f t="shared" si="196"/>
        <v>1.5371112550417583</v>
      </c>
      <c r="AV533" s="112">
        <f t="shared" si="196"/>
        <v>1.5317313656491121</v>
      </c>
      <c r="AW533" s="112">
        <f t="shared" si="196"/>
        <v>1.5263703058693401</v>
      </c>
      <c r="AX533" s="112">
        <f t="shared" si="196"/>
        <v>1.5210280097987974</v>
      </c>
      <c r="AY533" s="112">
        <f>AX533*(1+AY534-AY$4)</f>
        <v>1.5157044117645015</v>
      </c>
      <c r="AZ533" s="112">
        <f>AY533*(1+AZ534-AZ$4)</f>
        <v>1.5103994463233257</v>
      </c>
      <c r="BA533" s="112">
        <f>AZ533*(1+BA534-BA$4)</f>
        <v>1.5051130482611939</v>
      </c>
      <c r="BB533" s="112">
        <f>BA533*(1+BB534-BB$4)</f>
        <v>1.4998451525922796</v>
      </c>
      <c r="BC533" s="112">
        <f t="shared" ref="BC533:BG533" si="197">BB533*(1+BC534-BC$4)</f>
        <v>1.4945956945582064</v>
      </c>
      <c r="BD533" s="112">
        <f t="shared" si="197"/>
        <v>1.4893646096272526</v>
      </c>
      <c r="BE533" s="112">
        <f t="shared" si="197"/>
        <v>1.4841518334935571</v>
      </c>
      <c r="BF533" s="112">
        <f t="shared" si="197"/>
        <v>1.4789573020763296</v>
      </c>
      <c r="BG533" s="112">
        <f t="shared" si="197"/>
        <v>1.4737809515190623</v>
      </c>
    </row>
    <row r="534" spans="1:59" ht="13.75" customHeight="1">
      <c r="A534" s="141" t="s">
        <v>166</v>
      </c>
      <c r="B534" s="142" t="s">
        <v>491</v>
      </c>
      <c r="C534" s="142" t="s">
        <v>525</v>
      </c>
      <c r="D534" s="142" t="s">
        <v>87</v>
      </c>
      <c r="F534" s="168" t="s">
        <v>528</v>
      </c>
      <c r="G534" s="109" t="s">
        <v>3</v>
      </c>
      <c r="I534" s="109" t="s">
        <v>498</v>
      </c>
      <c r="U534" s="107">
        <v>2.1000000000000001E-2</v>
      </c>
      <c r="V534" s="107">
        <v>-1E-3</v>
      </c>
      <c r="W534" s="107">
        <v>-9.0000000000000011E-3</v>
      </c>
      <c r="X534" s="107">
        <v>-0.01</v>
      </c>
      <c r="Y534" s="107">
        <v>-1.0749999999999999E-2</v>
      </c>
      <c r="Z534" s="107">
        <v>1.7000000000000001E-2</v>
      </c>
      <c r="AA534" s="107">
        <v>1.3999999999999999E-2</v>
      </c>
      <c r="AB534" s="107">
        <v>5.5000000000000005E-3</v>
      </c>
      <c r="AC534" s="107">
        <v>-0.01</v>
      </c>
      <c r="AD534" s="107">
        <v>1.8189999999999998E-2</v>
      </c>
      <c r="AE534" s="107">
        <v>1.2E-2</v>
      </c>
      <c r="AF534" s="107">
        <v>1.325E-2</v>
      </c>
      <c r="AG534" s="107">
        <v>1.6500000000000001E-2</v>
      </c>
      <c r="AH534" s="107">
        <f t="shared" ref="AH534:AX534" si="198">AG534</f>
        <v>1.6500000000000001E-2</v>
      </c>
      <c r="AI534" s="107">
        <f t="shared" si="198"/>
        <v>1.6500000000000001E-2</v>
      </c>
      <c r="AJ534" s="107">
        <f t="shared" si="198"/>
        <v>1.6500000000000001E-2</v>
      </c>
      <c r="AK534" s="107">
        <f t="shared" si="198"/>
        <v>1.6500000000000001E-2</v>
      </c>
      <c r="AL534" s="107">
        <f t="shared" si="198"/>
        <v>1.6500000000000001E-2</v>
      </c>
      <c r="AM534" s="107">
        <f t="shared" si="198"/>
        <v>1.6500000000000001E-2</v>
      </c>
      <c r="AN534" s="107">
        <f t="shared" si="198"/>
        <v>1.6500000000000001E-2</v>
      </c>
      <c r="AO534" s="107">
        <f t="shared" si="198"/>
        <v>1.6500000000000001E-2</v>
      </c>
      <c r="AP534" s="107">
        <f t="shared" si="198"/>
        <v>1.6500000000000001E-2</v>
      </c>
      <c r="AQ534" s="107">
        <f t="shared" si="198"/>
        <v>1.6500000000000001E-2</v>
      </c>
      <c r="AR534" s="107">
        <f t="shared" si="198"/>
        <v>1.6500000000000001E-2</v>
      </c>
      <c r="AS534" s="107">
        <f t="shared" si="198"/>
        <v>1.6500000000000001E-2</v>
      </c>
      <c r="AT534" s="107">
        <f t="shared" si="198"/>
        <v>1.6500000000000001E-2</v>
      </c>
      <c r="AU534" s="107">
        <f t="shared" si="198"/>
        <v>1.6500000000000001E-2</v>
      </c>
      <c r="AV534" s="107">
        <f t="shared" si="198"/>
        <v>1.6500000000000001E-2</v>
      </c>
      <c r="AW534" s="107">
        <f t="shared" si="198"/>
        <v>1.6500000000000001E-2</v>
      </c>
      <c r="AX534" s="107">
        <f t="shared" si="198"/>
        <v>1.6500000000000001E-2</v>
      </c>
      <c r="AY534" s="107">
        <f>AX534</f>
        <v>1.6500000000000001E-2</v>
      </c>
      <c r="AZ534" s="107">
        <f>AY534</f>
        <v>1.6500000000000001E-2</v>
      </c>
      <c r="BA534" s="107">
        <f>AZ534</f>
        <v>1.6500000000000001E-2</v>
      </c>
      <c r="BB534" s="107">
        <f>BA534</f>
        <v>1.6500000000000001E-2</v>
      </c>
      <c r="BC534" s="107">
        <f t="shared" ref="BC534:BG534" si="199">BB534</f>
        <v>1.6500000000000001E-2</v>
      </c>
      <c r="BD534" s="107">
        <f t="shared" si="199"/>
        <v>1.6500000000000001E-2</v>
      </c>
      <c r="BE534" s="107">
        <f t="shared" si="199"/>
        <v>1.6500000000000001E-2</v>
      </c>
      <c r="BF534" s="107">
        <f t="shared" si="199"/>
        <v>1.6500000000000001E-2</v>
      </c>
      <c r="BG534" s="107">
        <f t="shared" si="199"/>
        <v>1.6500000000000001E-2</v>
      </c>
    </row>
    <row r="535" spans="1:59" ht="13.75" customHeight="1">
      <c r="A535" s="141" t="s">
        <v>166</v>
      </c>
      <c r="B535" s="142" t="s">
        <v>491</v>
      </c>
      <c r="C535" s="142" t="s">
        <v>525</v>
      </c>
      <c r="D535" s="142" t="s">
        <v>98</v>
      </c>
      <c r="F535" s="168" t="s">
        <v>529</v>
      </c>
      <c r="G535" s="109" t="s">
        <v>3</v>
      </c>
      <c r="I535" s="109" t="s">
        <v>498</v>
      </c>
      <c r="W535" s="109"/>
      <c r="Z535" s="107">
        <v>1.7000000000000001E-2</v>
      </c>
      <c r="AA535" s="107">
        <v>1.3999999999999999E-2</v>
      </c>
      <c r="AB535" s="107">
        <v>1.942E-2</v>
      </c>
      <c r="AC535" s="107">
        <v>-0.01</v>
      </c>
      <c r="AD535" s="107">
        <v>1.8189999999999998E-2</v>
      </c>
      <c r="AE535" s="107">
        <f t="shared" ref="AE535:AX535" si="200">AE534</f>
        <v>1.2E-2</v>
      </c>
      <c r="AF535" s="107">
        <f t="shared" si="200"/>
        <v>1.325E-2</v>
      </c>
      <c r="AG535" s="107">
        <f t="shared" si="200"/>
        <v>1.6500000000000001E-2</v>
      </c>
      <c r="AH535" s="107">
        <f t="shared" si="200"/>
        <v>1.6500000000000001E-2</v>
      </c>
      <c r="AI535" s="107">
        <f t="shared" si="200"/>
        <v>1.6500000000000001E-2</v>
      </c>
      <c r="AJ535" s="107">
        <f t="shared" si="200"/>
        <v>1.6500000000000001E-2</v>
      </c>
      <c r="AK535" s="107">
        <f t="shared" si="200"/>
        <v>1.6500000000000001E-2</v>
      </c>
      <c r="AL535" s="107">
        <f t="shared" si="200"/>
        <v>1.6500000000000001E-2</v>
      </c>
      <c r="AM535" s="107">
        <f t="shared" si="200"/>
        <v>1.6500000000000001E-2</v>
      </c>
      <c r="AN535" s="107">
        <f t="shared" si="200"/>
        <v>1.6500000000000001E-2</v>
      </c>
      <c r="AO535" s="107">
        <f t="shared" si="200"/>
        <v>1.6500000000000001E-2</v>
      </c>
      <c r="AP535" s="107">
        <f t="shared" si="200"/>
        <v>1.6500000000000001E-2</v>
      </c>
      <c r="AQ535" s="107">
        <f t="shared" si="200"/>
        <v>1.6500000000000001E-2</v>
      </c>
      <c r="AR535" s="107">
        <f t="shared" si="200"/>
        <v>1.6500000000000001E-2</v>
      </c>
      <c r="AS535" s="107">
        <f t="shared" si="200"/>
        <v>1.6500000000000001E-2</v>
      </c>
      <c r="AT535" s="107">
        <f t="shared" si="200"/>
        <v>1.6500000000000001E-2</v>
      </c>
      <c r="AU535" s="107">
        <f t="shared" si="200"/>
        <v>1.6500000000000001E-2</v>
      </c>
      <c r="AV535" s="107">
        <f t="shared" si="200"/>
        <v>1.6500000000000001E-2</v>
      </c>
      <c r="AW535" s="107">
        <f t="shared" si="200"/>
        <v>1.6500000000000001E-2</v>
      </c>
      <c r="AX535" s="107">
        <f t="shared" si="200"/>
        <v>1.6500000000000001E-2</v>
      </c>
      <c r="AY535" s="107">
        <f>AY534</f>
        <v>1.6500000000000001E-2</v>
      </c>
      <c r="AZ535" s="107">
        <f>AZ534</f>
        <v>1.6500000000000001E-2</v>
      </c>
      <c r="BA535" s="107">
        <f>BA534</f>
        <v>1.6500000000000001E-2</v>
      </c>
      <c r="BB535" s="107">
        <f>BB534</f>
        <v>1.6500000000000001E-2</v>
      </c>
      <c r="BC535" s="107">
        <f t="shared" ref="BC535:BG535" si="201">BC534</f>
        <v>1.6500000000000001E-2</v>
      </c>
      <c r="BD535" s="107">
        <f t="shared" si="201"/>
        <v>1.6500000000000001E-2</v>
      </c>
      <c r="BE535" s="107">
        <f t="shared" si="201"/>
        <v>1.6500000000000001E-2</v>
      </c>
      <c r="BF535" s="107">
        <f t="shared" si="201"/>
        <v>1.6500000000000001E-2</v>
      </c>
      <c r="BG535" s="107">
        <f t="shared" si="201"/>
        <v>1.6500000000000001E-2</v>
      </c>
    </row>
    <row r="536" spans="1:59" ht="13.75" customHeight="1" outlineLevel="1">
      <c r="F536" s="168"/>
      <c r="W536" s="109"/>
    </row>
    <row r="537" spans="1:59" ht="13.75" customHeight="1" outlineLevel="1">
      <c r="F537" s="168"/>
      <c r="W537" s="109"/>
    </row>
    <row r="538" spans="1:59" ht="13.75" customHeight="1" outlineLevel="1">
      <c r="F538" s="168"/>
      <c r="W538" s="109"/>
    </row>
    <row r="539" spans="1:59" ht="13.75" customHeight="1" outlineLevel="1">
      <c r="F539" s="168"/>
      <c r="W539" s="109"/>
    </row>
    <row r="540" spans="1:59" ht="13.75" customHeight="1" outlineLevel="1">
      <c r="F540" s="168"/>
      <c r="W540" s="109"/>
    </row>
    <row r="541" spans="1:59" ht="13.75" customHeight="1" outlineLevel="1">
      <c r="F541" s="168"/>
      <c r="W541" s="109"/>
    </row>
    <row r="542" spans="1:59" ht="13.75" customHeight="1" outlineLevel="1">
      <c r="F542" s="168"/>
      <c r="W542" s="109"/>
    </row>
    <row r="543" spans="1:59" ht="13.75" customHeight="1" outlineLevel="1">
      <c r="F543" s="168"/>
      <c r="I543" s="109">
        <v>100</v>
      </c>
      <c r="W543" s="109"/>
    </row>
    <row r="544" spans="1:59" ht="13.75" customHeight="1" outlineLevel="1">
      <c r="F544" s="168"/>
      <c r="W544" s="109"/>
    </row>
    <row r="545" spans="1:59" ht="13.75" customHeight="1">
      <c r="A545" s="141" t="s">
        <v>166</v>
      </c>
      <c r="B545" s="142" t="s">
        <v>530</v>
      </c>
      <c r="D545" s="142" t="s">
        <v>87</v>
      </c>
      <c r="E545" s="174">
        <v>42108</v>
      </c>
      <c r="F545" s="168" t="s">
        <v>531</v>
      </c>
      <c r="G545" s="109" t="s">
        <v>532</v>
      </c>
      <c r="W545" s="123">
        <v>2.7E-2</v>
      </c>
      <c r="X545" s="107">
        <v>-9.9999999999999978E-2</v>
      </c>
      <c r="Y545" s="107">
        <v>-4.599999999999993E-2</v>
      </c>
      <c r="Z545" s="107">
        <v>1.2999999999999901E-2</v>
      </c>
      <c r="AA545" s="107">
        <v>2.8250000000000001E-2</v>
      </c>
      <c r="AB545" s="107">
        <v>1.8666666666666672E-2</v>
      </c>
      <c r="AC545" s="107">
        <v>-3.2000000000000008E-2</v>
      </c>
      <c r="AD545" s="107">
        <v>8.7666666666666657E-2</v>
      </c>
      <c r="AE545" s="107">
        <v>-6.008333333333335E-2</v>
      </c>
      <c r="AF545" s="107">
        <v>5.7851669572795653E-2</v>
      </c>
      <c r="AG545" s="107">
        <v>1.2268001932753186E-2</v>
      </c>
      <c r="AH545" s="107">
        <v>6.0962243242017149E-3</v>
      </c>
      <c r="AI545" s="107">
        <v>1.4868392646515832E-2</v>
      </c>
      <c r="AJ545" s="107">
        <f t="shared" ref="AJ545:AX545" si="202">AJ2</f>
        <v>1.4999999999999999E-2</v>
      </c>
      <c r="AK545" s="107">
        <f t="shared" si="202"/>
        <v>1.4999999999999999E-2</v>
      </c>
      <c r="AL545" s="107">
        <f t="shared" si="202"/>
        <v>1.4999999999999999E-2</v>
      </c>
      <c r="AM545" s="107">
        <f t="shared" si="202"/>
        <v>1.4999999999999999E-2</v>
      </c>
      <c r="AN545" s="107">
        <f t="shared" si="202"/>
        <v>1.4999999999999999E-2</v>
      </c>
      <c r="AO545" s="107">
        <f t="shared" si="202"/>
        <v>1.4999999999999999E-2</v>
      </c>
      <c r="AP545" s="107">
        <f t="shared" si="202"/>
        <v>1.4999999999999999E-2</v>
      </c>
      <c r="AQ545" s="107">
        <f t="shared" si="202"/>
        <v>1.4999999999999999E-2</v>
      </c>
      <c r="AR545" s="107">
        <f t="shared" si="202"/>
        <v>1.4999999999999999E-2</v>
      </c>
      <c r="AS545" s="107">
        <f t="shared" si="202"/>
        <v>1.4999999999999999E-2</v>
      </c>
      <c r="AT545" s="107">
        <f t="shared" si="202"/>
        <v>1.4999999999999999E-2</v>
      </c>
      <c r="AU545" s="107">
        <f t="shared" si="202"/>
        <v>1.4999999999999999E-2</v>
      </c>
      <c r="AV545" s="107">
        <f t="shared" si="202"/>
        <v>1.4999999999999999E-2</v>
      </c>
      <c r="AW545" s="107">
        <f t="shared" si="202"/>
        <v>1.4999999999999999E-2</v>
      </c>
      <c r="AX545" s="107">
        <f t="shared" si="202"/>
        <v>1.4999999999999999E-2</v>
      </c>
      <c r="AY545" s="107">
        <f>AY2</f>
        <v>1.4999999999999999E-2</v>
      </c>
      <c r="AZ545" s="107">
        <f>AZ2</f>
        <v>1.4999999999999999E-2</v>
      </c>
      <c r="BA545" s="107">
        <f t="shared" ref="BA545:BG545" si="203">BA2</f>
        <v>1.4999999999999999E-2</v>
      </c>
      <c r="BB545" s="107">
        <f t="shared" si="203"/>
        <v>1.4999999999999999E-2</v>
      </c>
      <c r="BC545" s="107">
        <f t="shared" si="203"/>
        <v>1.4999999999999999E-2</v>
      </c>
      <c r="BD545" s="107">
        <f t="shared" si="203"/>
        <v>1.4999999999999999E-2</v>
      </c>
      <c r="BE545" s="107">
        <f t="shared" si="203"/>
        <v>1.4999999999999999E-2</v>
      </c>
      <c r="BF545" s="107">
        <f t="shared" si="203"/>
        <v>1.4999999999999999E-2</v>
      </c>
      <c r="BG545" s="107">
        <f t="shared" si="203"/>
        <v>1.4999999999999999E-2</v>
      </c>
    </row>
    <row r="546" spans="1:59" ht="13.75" customHeight="1">
      <c r="A546" s="141" t="s">
        <v>166</v>
      </c>
      <c r="B546" s="142" t="s">
        <v>530</v>
      </c>
      <c r="D546" s="142" t="s">
        <v>87</v>
      </c>
      <c r="E546" s="174">
        <v>42108</v>
      </c>
      <c r="F546" s="168" t="s">
        <v>533</v>
      </c>
      <c r="G546" s="109" t="s">
        <v>3</v>
      </c>
      <c r="I546" s="175" t="s">
        <v>534</v>
      </c>
      <c r="W546" s="107">
        <v>-1.2000000000000028E-2</v>
      </c>
      <c r="X546" s="107">
        <v>-2.4000000000000056E-2</v>
      </c>
      <c r="Y546" s="107">
        <v>-4.4999999999999998E-2</v>
      </c>
      <c r="Z546" s="107">
        <v>-5.0000000000000001E-3</v>
      </c>
      <c r="AA546" s="107">
        <v>7.9999999999998291E-4</v>
      </c>
      <c r="AB546" s="107">
        <v>9.0250000000000347E-3</v>
      </c>
      <c r="AC546" s="107">
        <v>-2.7749999999999986E-2</v>
      </c>
      <c r="AD546" s="107">
        <v>3.7814280447421314E-2</v>
      </c>
      <c r="AE546" s="107">
        <f t="shared" ref="AE546:BG546" si="204">AE9</f>
        <v>-9.4520199691621159E-3</v>
      </c>
      <c r="AF546" s="107">
        <f t="shared" si="204"/>
        <v>4.4452944161055614E-2</v>
      </c>
      <c r="AG546" s="107">
        <f t="shared" si="204"/>
        <v>6.2427696191460959E-3</v>
      </c>
      <c r="AH546" s="107">
        <f t="shared" si="204"/>
        <v>9.4875358147902579E-3</v>
      </c>
      <c r="AI546" s="107">
        <f t="shared" si="204"/>
        <v>1.2054108080999673E-2</v>
      </c>
      <c r="AJ546" s="107">
        <f t="shared" si="204"/>
        <v>1.2054108080999673E-2</v>
      </c>
      <c r="AK546" s="107">
        <f t="shared" si="204"/>
        <v>1.2054108080999673E-2</v>
      </c>
      <c r="AL546" s="107">
        <f t="shared" si="204"/>
        <v>1.2054108080999673E-2</v>
      </c>
      <c r="AM546" s="107">
        <f t="shared" si="204"/>
        <v>1.2054108080999673E-2</v>
      </c>
      <c r="AN546" s="107">
        <f t="shared" si="204"/>
        <v>1.2054108080999673E-2</v>
      </c>
      <c r="AO546" s="107">
        <f t="shared" si="204"/>
        <v>1.2054108080999673E-2</v>
      </c>
      <c r="AP546" s="107">
        <f t="shared" si="204"/>
        <v>1.2054108080999673E-2</v>
      </c>
      <c r="AQ546" s="107">
        <f t="shared" si="204"/>
        <v>1.2054108080999673E-2</v>
      </c>
      <c r="AR546" s="107">
        <f t="shared" si="204"/>
        <v>1.2054108080999673E-2</v>
      </c>
      <c r="AS546" s="107">
        <f t="shared" si="204"/>
        <v>1.2054108080999673E-2</v>
      </c>
      <c r="AT546" s="107">
        <f t="shared" si="204"/>
        <v>1.2054108080999673E-2</v>
      </c>
      <c r="AU546" s="107">
        <f t="shared" si="204"/>
        <v>1.2054108080999673E-2</v>
      </c>
      <c r="AV546" s="107">
        <f t="shared" si="204"/>
        <v>1.2054108080999673E-2</v>
      </c>
      <c r="AW546" s="107">
        <f t="shared" si="204"/>
        <v>1.2054108080999673E-2</v>
      </c>
      <c r="AX546" s="107">
        <f>AX9</f>
        <v>1.2054108080999673E-2</v>
      </c>
      <c r="AY546" s="107">
        <f t="shared" si="204"/>
        <v>1.2054108080999673E-2</v>
      </c>
      <c r="AZ546" s="107">
        <f t="shared" si="204"/>
        <v>1.2054108080999673E-2</v>
      </c>
      <c r="BA546" s="107">
        <f t="shared" si="204"/>
        <v>1.2054108080999673E-2</v>
      </c>
      <c r="BB546" s="107">
        <f t="shared" si="204"/>
        <v>1.2054108080999673E-2</v>
      </c>
      <c r="BC546" s="107">
        <f t="shared" si="204"/>
        <v>1.2054108080999673E-2</v>
      </c>
      <c r="BD546" s="107">
        <f t="shared" si="204"/>
        <v>1.2054108080999673E-2</v>
      </c>
      <c r="BE546" s="107">
        <f t="shared" si="204"/>
        <v>1.2054108080999673E-2</v>
      </c>
      <c r="BF546" s="107">
        <f t="shared" si="204"/>
        <v>1.2054108080999673E-2</v>
      </c>
      <c r="BG546" s="107">
        <f t="shared" si="204"/>
        <v>1.2054108080999673E-2</v>
      </c>
    </row>
    <row r="547" spans="1:59" ht="13.75" customHeight="1">
      <c r="A547" s="141" t="s">
        <v>166</v>
      </c>
      <c r="B547" s="142" t="s">
        <v>530</v>
      </c>
      <c r="D547" s="142" t="s">
        <v>87</v>
      </c>
      <c r="E547" s="174">
        <v>42108</v>
      </c>
      <c r="F547" s="168" t="s">
        <v>535</v>
      </c>
      <c r="G547" s="109" t="s">
        <v>3</v>
      </c>
      <c r="W547" s="123">
        <v>1.6E-2</v>
      </c>
      <c r="X547" s="107">
        <v>-6.0000000000000001E-3</v>
      </c>
      <c r="Y547" s="107">
        <v>1.325E-2</v>
      </c>
      <c r="Z547" s="107">
        <v>2.1000000000000001E-2</v>
      </c>
      <c r="AA547" s="107">
        <v>3.5083333333333334E-2</v>
      </c>
      <c r="AB547" s="107">
        <v>3.3916666666666678E-2</v>
      </c>
      <c r="AC547" s="107">
        <v>-2.0666666666666677E-2</v>
      </c>
      <c r="AD547" s="107">
        <v>6.5964206019097388E-2</v>
      </c>
      <c r="AE547" s="107">
        <v>6.9677409349179235E-3</v>
      </c>
      <c r="AF547" s="107">
        <v>3.500739907380887E-2</v>
      </c>
      <c r="AG547" s="107">
        <v>2.4365262888400668E-2</v>
      </c>
      <c r="AH547" s="107">
        <v>1.981760359063145E-2</v>
      </c>
      <c r="AI547" s="107">
        <v>1.606032768761867E-2</v>
      </c>
      <c r="AJ547" s="107">
        <f>AJ$2</f>
        <v>1.4999999999999999E-2</v>
      </c>
      <c r="AK547" s="107">
        <f t="shared" ref="AK547:BG547" si="205">AK$2</f>
        <v>1.4999999999999999E-2</v>
      </c>
      <c r="AL547" s="107">
        <f t="shared" si="205"/>
        <v>1.4999999999999999E-2</v>
      </c>
      <c r="AM547" s="107">
        <f t="shared" si="205"/>
        <v>1.4999999999999999E-2</v>
      </c>
      <c r="AN547" s="107">
        <f t="shared" si="205"/>
        <v>1.4999999999999999E-2</v>
      </c>
      <c r="AO547" s="107">
        <f t="shared" si="205"/>
        <v>1.4999999999999999E-2</v>
      </c>
      <c r="AP547" s="107">
        <f t="shared" si="205"/>
        <v>1.4999999999999999E-2</v>
      </c>
      <c r="AQ547" s="107">
        <f t="shared" si="205"/>
        <v>1.4999999999999999E-2</v>
      </c>
      <c r="AR547" s="107">
        <f t="shared" si="205"/>
        <v>1.4999999999999999E-2</v>
      </c>
      <c r="AS547" s="107">
        <f t="shared" si="205"/>
        <v>1.4999999999999999E-2</v>
      </c>
      <c r="AT547" s="107">
        <f t="shared" si="205"/>
        <v>1.4999999999999999E-2</v>
      </c>
      <c r="AU547" s="107">
        <f t="shared" si="205"/>
        <v>1.4999999999999999E-2</v>
      </c>
      <c r="AV547" s="107">
        <f t="shared" si="205"/>
        <v>1.4999999999999999E-2</v>
      </c>
      <c r="AW547" s="107">
        <f t="shared" si="205"/>
        <v>1.4999999999999999E-2</v>
      </c>
      <c r="AX547" s="107">
        <f t="shared" si="205"/>
        <v>1.4999999999999999E-2</v>
      </c>
      <c r="AY547" s="107">
        <f t="shared" si="205"/>
        <v>1.4999999999999999E-2</v>
      </c>
      <c r="AZ547" s="107">
        <f t="shared" si="205"/>
        <v>1.4999999999999999E-2</v>
      </c>
      <c r="BA547" s="107">
        <f t="shared" si="205"/>
        <v>1.4999999999999999E-2</v>
      </c>
      <c r="BB547" s="107">
        <f t="shared" si="205"/>
        <v>1.4999999999999999E-2</v>
      </c>
      <c r="BC547" s="107">
        <f t="shared" si="205"/>
        <v>1.4999999999999999E-2</v>
      </c>
      <c r="BD547" s="107">
        <f t="shared" si="205"/>
        <v>1.4999999999999999E-2</v>
      </c>
      <c r="BE547" s="107">
        <f t="shared" si="205"/>
        <v>1.4999999999999999E-2</v>
      </c>
      <c r="BF547" s="107">
        <f t="shared" si="205"/>
        <v>1.4999999999999999E-2</v>
      </c>
      <c r="BG547" s="107">
        <f t="shared" si="205"/>
        <v>1.4999999999999999E-2</v>
      </c>
    </row>
    <row r="548" spans="1:59" ht="13.75" customHeight="1">
      <c r="A548" s="141" t="s">
        <v>166</v>
      </c>
      <c r="B548" s="142" t="s">
        <v>530</v>
      </c>
      <c r="D548" s="142" t="s">
        <v>87</v>
      </c>
      <c r="E548" s="174">
        <v>42108</v>
      </c>
      <c r="F548" s="168" t="s">
        <v>536</v>
      </c>
      <c r="G548" s="109" t="s">
        <v>3</v>
      </c>
      <c r="W548" s="123">
        <v>5.1999999999999998E-2</v>
      </c>
      <c r="X548" s="107">
        <v>5.6000000000000008E-2</v>
      </c>
      <c r="Y548" s="107">
        <v>5.525E-2</v>
      </c>
      <c r="Z548" s="107">
        <v>5.1999999999999998E-2</v>
      </c>
      <c r="AA548" s="107">
        <v>4.7963292941278955E-2</v>
      </c>
      <c r="AB548" s="107">
        <v>4.5902612031517458E-2</v>
      </c>
      <c r="AC548" s="107">
        <v>5.7743860180995581E-2</v>
      </c>
      <c r="AD548" s="107">
        <v>4.8178062363303908E-2</v>
      </c>
      <c r="AE548" s="107">
        <v>3.9411367738333335E-2</v>
      </c>
      <c r="AF548" s="107">
        <v>3.2238222596666671E-2</v>
      </c>
      <c r="AG548" s="107">
        <v>3.1E-2</v>
      </c>
      <c r="AH548" s="107">
        <v>3.1E-2</v>
      </c>
      <c r="AI548" s="107">
        <v>3.1E-2</v>
      </c>
      <c r="AJ548" s="107">
        <f t="shared" ref="AJ548:AX548" si="206">AI548</f>
        <v>3.1E-2</v>
      </c>
      <c r="AK548" s="107">
        <f t="shared" si="206"/>
        <v>3.1E-2</v>
      </c>
      <c r="AL548" s="107">
        <f t="shared" si="206"/>
        <v>3.1E-2</v>
      </c>
      <c r="AM548" s="107">
        <f t="shared" si="206"/>
        <v>3.1E-2</v>
      </c>
      <c r="AN548" s="107">
        <f t="shared" si="206"/>
        <v>3.1E-2</v>
      </c>
      <c r="AO548" s="107">
        <f t="shared" si="206"/>
        <v>3.1E-2</v>
      </c>
      <c r="AP548" s="107">
        <f t="shared" si="206"/>
        <v>3.1E-2</v>
      </c>
      <c r="AQ548" s="107">
        <f t="shared" si="206"/>
        <v>3.1E-2</v>
      </c>
      <c r="AR548" s="107">
        <f t="shared" si="206"/>
        <v>3.1E-2</v>
      </c>
      <c r="AS548" s="107">
        <f t="shared" si="206"/>
        <v>3.1E-2</v>
      </c>
      <c r="AT548" s="107">
        <f t="shared" si="206"/>
        <v>3.1E-2</v>
      </c>
      <c r="AU548" s="107">
        <f t="shared" si="206"/>
        <v>3.1E-2</v>
      </c>
      <c r="AV548" s="107">
        <f t="shared" si="206"/>
        <v>3.1E-2</v>
      </c>
      <c r="AW548" s="107">
        <f t="shared" si="206"/>
        <v>3.1E-2</v>
      </c>
      <c r="AX548" s="107">
        <f t="shared" si="206"/>
        <v>3.1E-2</v>
      </c>
      <c r="AY548" s="107">
        <f>AX548</f>
        <v>3.1E-2</v>
      </c>
      <c r="AZ548" s="107">
        <f>AY548</f>
        <v>3.1E-2</v>
      </c>
      <c r="BA548" s="107">
        <f>AZ548</f>
        <v>3.1E-2</v>
      </c>
      <c r="BB548" s="107">
        <f>BA548</f>
        <v>3.1E-2</v>
      </c>
      <c r="BC548" s="107">
        <f t="shared" ref="BC548:BG548" si="207">BB548</f>
        <v>3.1E-2</v>
      </c>
      <c r="BD548" s="107">
        <f t="shared" si="207"/>
        <v>3.1E-2</v>
      </c>
      <c r="BE548" s="107">
        <f t="shared" si="207"/>
        <v>3.1E-2</v>
      </c>
      <c r="BF548" s="107">
        <f t="shared" si="207"/>
        <v>3.1E-2</v>
      </c>
      <c r="BG548" s="107">
        <f t="shared" si="207"/>
        <v>3.1E-2</v>
      </c>
    </row>
    <row r="549" spans="1:59" ht="13.75" customHeight="1">
      <c r="A549" s="141" t="s">
        <v>166</v>
      </c>
      <c r="B549" s="142" t="s">
        <v>530</v>
      </c>
      <c r="C549" s="170" t="s">
        <v>537</v>
      </c>
      <c r="D549" s="165" t="s">
        <v>168</v>
      </c>
      <c r="E549" s="174">
        <v>42170</v>
      </c>
      <c r="F549" s="168" t="s">
        <v>538</v>
      </c>
      <c r="G549" s="109" t="s">
        <v>539</v>
      </c>
      <c r="I549" s="109" t="s">
        <v>540</v>
      </c>
      <c r="V549" s="128">
        <v>21251</v>
      </c>
      <c r="W549" s="128">
        <v>24096</v>
      </c>
      <c r="X549" s="128">
        <v>18657</v>
      </c>
      <c r="Y549" s="128">
        <v>34602</v>
      </c>
      <c r="Z549" s="128">
        <v>51298</v>
      </c>
      <c r="AA549" s="128">
        <v>77855</v>
      </c>
      <c r="AB549" s="128">
        <v>74937</v>
      </c>
      <c r="AC549" s="128">
        <v>79216.4677379481</v>
      </c>
      <c r="AD549" s="128">
        <v>102593.93310830084</v>
      </c>
      <c r="AE549" s="128">
        <v>86963.829162308641</v>
      </c>
      <c r="AF549" s="128">
        <v>106257.06676976765</v>
      </c>
      <c r="AG549" s="128">
        <v>91717.802551736429</v>
      </c>
      <c r="AH549" s="128">
        <v>93237.497882963376</v>
      </c>
      <c r="AI549" s="128">
        <v>96767.04816584877</v>
      </c>
      <c r="AJ549" s="128">
        <v>99360.391607698999</v>
      </c>
      <c r="AK549" s="128">
        <v>101779.0498255595</v>
      </c>
      <c r="AL549" s="128">
        <v>104147.12055514388</v>
      </c>
      <c r="AM549" s="128">
        <v>106463.22301037316</v>
      </c>
      <c r="AN549" s="128">
        <v>108726.16706232722</v>
      </c>
      <c r="AO549" s="128">
        <v>110934.95016906214</v>
      </c>
      <c r="AP549" s="128">
        <v>113088.75317806234</v>
      </c>
      <c r="AQ549" s="128">
        <v>115186.93511359957</v>
      </c>
      <c r="AR549" s="128">
        <v>117229.02706578511</v>
      </c>
      <c r="AS549" s="128">
        <v>119214.72530036117</v>
      </c>
      <c r="AT549" s="128">
        <v>121143.88370844907</v>
      </c>
      <c r="AU549" s="128">
        <v>123016.50571375845</v>
      </c>
      <c r="AV549" s="128">
        <v>124832.73575138516</v>
      </c>
      <c r="AW549" s="128">
        <v>126592.85042752489</v>
      </c>
      <c r="AX549" s="128">
        <v>128297.24946344947</v>
      </c>
      <c r="AY549" s="128">
        <v>129946.44652016771</v>
      </c>
      <c r="AZ549" s="128">
        <v>131616.84318126767</v>
      </c>
      <c r="BA549" s="128">
        <v>133308.71195707438</v>
      </c>
      <c r="BB549" s="128">
        <v>135022.32886089696</v>
      </c>
      <c r="BC549" s="128">
        <v>136517.24216682898</v>
      </c>
      <c r="BD549" s="128">
        <v>138228.17651740881</v>
      </c>
      <c r="BE549" s="128">
        <v>139960.55355394926</v>
      </c>
      <c r="BF549" s="128">
        <v>141714.64201194042</v>
      </c>
      <c r="BG549" s="128">
        <v>143490.71399486292</v>
      </c>
    </row>
    <row r="550" spans="1:59" ht="13.75" customHeight="1">
      <c r="A550" s="141" t="s">
        <v>166</v>
      </c>
      <c r="B550" s="142" t="s">
        <v>530</v>
      </c>
      <c r="C550" s="170" t="s">
        <v>537</v>
      </c>
      <c r="D550" s="165" t="s">
        <v>377</v>
      </c>
      <c r="E550" s="174">
        <v>42170</v>
      </c>
      <c r="F550" s="168" t="s">
        <v>541</v>
      </c>
      <c r="G550" s="109" t="s">
        <v>3</v>
      </c>
      <c r="I550" s="109" t="s">
        <v>542</v>
      </c>
      <c r="X550" s="107">
        <v>-0.1</v>
      </c>
      <c r="Y550" s="107">
        <v>-0.05</v>
      </c>
      <c r="Z550" s="107">
        <v>-1.2027357856432386E-2</v>
      </c>
      <c r="AA550" s="107">
        <v>5.8743262987340561E-2</v>
      </c>
      <c r="AB550" s="107">
        <v>0.16248794340150852</v>
      </c>
      <c r="AC550" s="107">
        <v>0.22457006049217587</v>
      </c>
      <c r="AD550" s="107">
        <v>0.26220347263749333</v>
      </c>
      <c r="AE550" s="107">
        <v>6.9578874458237072E-2</v>
      </c>
      <c r="AF550" s="107">
        <v>2.4543335073936579E-3</v>
      </c>
      <c r="AG550" s="107">
        <v>-2.2381709787562265E-3</v>
      </c>
      <c r="AH550" s="107">
        <v>9.6304088714938008E-3</v>
      </c>
      <c r="AI550" s="107">
        <v>3.4577427900722491E-2</v>
      </c>
      <c r="AJ550" s="107">
        <v>3.8084153587815583E-2</v>
      </c>
      <c r="AK550" s="107">
        <v>3.6522288528353375E-2</v>
      </c>
      <c r="AL550" s="107">
        <v>3.7069558569094774E-2</v>
      </c>
      <c r="AM550" s="107">
        <v>3.7605174170934674E-2</v>
      </c>
      <c r="AN550" s="107">
        <v>3.8128836436503555E-2</v>
      </c>
      <c r="AO550" s="107">
        <v>3.864028972267719E-2</v>
      </c>
      <c r="AP550" s="107">
        <v>3.9139320843250447E-2</v>
      </c>
      <c r="AQ550" s="107">
        <v>3.962575802369539E-2</v>
      </c>
      <c r="AR550" s="107">
        <v>4.0099469634055085E-2</v>
      </c>
      <c r="AS550" s="107">
        <v>4.0560362726864696E-2</v>
      </c>
      <c r="AT550" s="107">
        <v>4.1008381407330541E-2</v>
      </c>
      <c r="AU550" s="107">
        <v>4.1443505062860098E-2</v>
      </c>
      <c r="AV550" s="107">
        <v>4.186574647851482E-2</v>
      </c>
      <c r="AW550" s="107">
        <v>4.2275149864049899E-2</v>
      </c>
      <c r="AX550" s="107">
        <v>4.2671788817007394E-2</v>
      </c>
      <c r="AY550" s="107">
        <v>4.305576424488522E-2</v>
      </c>
      <c r="AZ550" s="107">
        <v>4.305576424488522E-2</v>
      </c>
      <c r="BA550" s="107">
        <v>4.305576424488522E-2</v>
      </c>
      <c r="BB550" s="107">
        <v>4.305576424488522E-2</v>
      </c>
      <c r="BC550" s="107">
        <v>4.3339044053402276E-2</v>
      </c>
      <c r="BD550" s="107">
        <v>4.3339044053402276E-2</v>
      </c>
      <c r="BE550" s="107">
        <v>4.3339044053402276E-2</v>
      </c>
      <c r="BF550" s="107">
        <v>4.3339044053402276E-2</v>
      </c>
      <c r="BG550" s="107">
        <v>4.3339044053402276E-2</v>
      </c>
    </row>
    <row r="551" spans="1:59" ht="13.75" customHeight="1">
      <c r="A551" s="141" t="s">
        <v>166</v>
      </c>
      <c r="B551" s="142" t="s">
        <v>530</v>
      </c>
      <c r="C551" s="170" t="s">
        <v>543</v>
      </c>
      <c r="D551" s="142" t="s">
        <v>168</v>
      </c>
      <c r="F551" s="168" t="s">
        <v>544</v>
      </c>
      <c r="G551" s="109" t="s">
        <v>3</v>
      </c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  <c r="AU551" s="116"/>
      <c r="AV551" s="116"/>
      <c r="AW551" s="116"/>
      <c r="AX551" s="116"/>
      <c r="AY551" s="116"/>
      <c r="AZ551" s="116"/>
      <c r="BA551" s="116"/>
      <c r="BB551" s="116"/>
      <c r="BC551" s="116"/>
      <c r="BD551" s="116"/>
      <c r="BE551" s="116"/>
      <c r="BF551" s="116"/>
      <c r="BG551" s="116"/>
    </row>
    <row r="552" spans="1:59" ht="13.75" customHeight="1">
      <c r="A552" s="141" t="s">
        <v>166</v>
      </c>
      <c r="B552" s="142" t="s">
        <v>530</v>
      </c>
      <c r="C552" s="170" t="s">
        <v>543</v>
      </c>
      <c r="D552" s="142" t="s">
        <v>377</v>
      </c>
      <c r="F552" s="168" t="s">
        <v>545</v>
      </c>
      <c r="G552" s="109" t="s">
        <v>3</v>
      </c>
      <c r="X552" s="110"/>
      <c r="Y552" s="110"/>
      <c r="Z552" s="110">
        <v>0.09</v>
      </c>
      <c r="AA552" s="110">
        <v>0.09</v>
      </c>
      <c r="AB552" s="110">
        <v>0.09</v>
      </c>
      <c r="AC552" s="110">
        <v>0.09</v>
      </c>
      <c r="AD552" s="110">
        <v>0.09</v>
      </c>
      <c r="AE552" s="110">
        <v>9.2499999999999999E-2</v>
      </c>
      <c r="AF552" s="110">
        <v>9.0000000000000011E-2</v>
      </c>
      <c r="AG552" s="110">
        <v>8.5000000000000006E-2</v>
      </c>
      <c r="AH552" s="110">
        <v>8.0000000000000016E-2</v>
      </c>
      <c r="AI552" s="110">
        <v>8.0000000000000016E-2</v>
      </c>
      <c r="AJ552" s="110">
        <v>8.0000000000000016E-2</v>
      </c>
      <c r="AK552" s="110">
        <v>8.0000000000000016E-2</v>
      </c>
      <c r="AL552" s="110">
        <v>8.0000000000000016E-2</v>
      </c>
      <c r="AM552" s="110">
        <v>8.0000000000000016E-2</v>
      </c>
      <c r="AN552" s="110">
        <v>8.0000000000000016E-2</v>
      </c>
      <c r="AO552" s="110">
        <v>8.0000000000000016E-2</v>
      </c>
      <c r="AP552" s="110">
        <v>8.0000000000000016E-2</v>
      </c>
      <c r="AQ552" s="110">
        <v>8.0000000000000016E-2</v>
      </c>
      <c r="AR552" s="110">
        <v>8.0000000000000016E-2</v>
      </c>
      <c r="AS552" s="110">
        <v>8.0000000000000016E-2</v>
      </c>
      <c r="AT552" s="110">
        <v>8.0000000000000016E-2</v>
      </c>
      <c r="AU552" s="110">
        <v>8.0000000000000016E-2</v>
      </c>
      <c r="AV552" s="110">
        <v>8.0000000000000016E-2</v>
      </c>
      <c r="AW552" s="110">
        <v>8.0000000000000016E-2</v>
      </c>
      <c r="AX552" s="110">
        <v>8.0000000000000016E-2</v>
      </c>
      <c r="AY552" s="110">
        <v>8.0000000000000016E-2</v>
      </c>
      <c r="AZ552" s="110">
        <v>8.0000000000000016E-2</v>
      </c>
      <c r="BA552" s="110">
        <v>8.0000000000000016E-2</v>
      </c>
      <c r="BB552" s="110">
        <v>8.0000000000000016E-2</v>
      </c>
      <c r="BC552" s="110">
        <f t="shared" ref="BC552:BG599" si="208">BB552*(1+((BB552-BA552)/BA552))</f>
        <v>8.0000000000000016E-2</v>
      </c>
      <c r="BD552" s="110">
        <f t="shared" si="208"/>
        <v>8.0000000000000016E-2</v>
      </c>
      <c r="BE552" s="110">
        <f t="shared" si="208"/>
        <v>8.0000000000000016E-2</v>
      </c>
      <c r="BF552" s="110">
        <f t="shared" si="208"/>
        <v>8.0000000000000016E-2</v>
      </c>
      <c r="BG552" s="110">
        <f t="shared" si="208"/>
        <v>8.0000000000000016E-2</v>
      </c>
    </row>
    <row r="553" spans="1:59" ht="13.75" customHeight="1">
      <c r="A553" s="141" t="s">
        <v>166</v>
      </c>
      <c r="B553" s="142" t="s">
        <v>530</v>
      </c>
      <c r="C553" s="170" t="s">
        <v>543</v>
      </c>
      <c r="D553" s="142" t="s">
        <v>377</v>
      </c>
      <c r="F553" s="168" t="s">
        <v>546</v>
      </c>
      <c r="G553" s="109" t="s">
        <v>3</v>
      </c>
      <c r="X553" s="110"/>
      <c r="Y553" s="110"/>
      <c r="Z553" s="110">
        <v>0.12</v>
      </c>
      <c r="AA553" s="110">
        <v>0.12</v>
      </c>
      <c r="AB553" s="110">
        <v>0.10249999999999999</v>
      </c>
      <c r="AC553" s="110">
        <v>0.1075</v>
      </c>
      <c r="AD553" s="110">
        <v>0.1075</v>
      </c>
      <c r="AE553" s="110">
        <v>0.10750000000000001</v>
      </c>
      <c r="AF553" s="110">
        <v>0.10750000000000001</v>
      </c>
      <c r="AG553" s="110">
        <v>0.10250000000000001</v>
      </c>
      <c r="AH553" s="110">
        <v>9.7500000000000003E-2</v>
      </c>
      <c r="AI553" s="110">
        <v>9.7500000000000003E-2</v>
      </c>
      <c r="AJ553" s="110">
        <v>9.7500000000000003E-2</v>
      </c>
      <c r="AK553" s="110">
        <v>9.7500000000000003E-2</v>
      </c>
      <c r="AL553" s="110">
        <v>9.7500000000000003E-2</v>
      </c>
      <c r="AM553" s="110">
        <v>9.7500000000000003E-2</v>
      </c>
      <c r="AN553" s="110">
        <v>9.7500000000000003E-2</v>
      </c>
      <c r="AO553" s="110">
        <v>9.7500000000000003E-2</v>
      </c>
      <c r="AP553" s="110">
        <v>9.7500000000000003E-2</v>
      </c>
      <c r="AQ553" s="110">
        <v>9.7500000000000003E-2</v>
      </c>
      <c r="AR553" s="110">
        <v>9.7500000000000003E-2</v>
      </c>
      <c r="AS553" s="110">
        <v>9.7500000000000003E-2</v>
      </c>
      <c r="AT553" s="110">
        <v>9.7500000000000003E-2</v>
      </c>
      <c r="AU553" s="110">
        <v>9.7500000000000003E-2</v>
      </c>
      <c r="AV553" s="110">
        <v>9.7500000000000003E-2</v>
      </c>
      <c r="AW553" s="110">
        <v>9.7500000000000003E-2</v>
      </c>
      <c r="AX553" s="110">
        <v>9.7500000000000003E-2</v>
      </c>
      <c r="AY553" s="110">
        <v>9.7500000000000003E-2</v>
      </c>
      <c r="AZ553" s="110">
        <v>9.7500000000000003E-2</v>
      </c>
      <c r="BA553" s="110">
        <v>9.7500000000000003E-2</v>
      </c>
      <c r="BB553" s="110">
        <v>9.7500000000000003E-2</v>
      </c>
      <c r="BC553" s="110">
        <f t="shared" si="208"/>
        <v>9.7500000000000003E-2</v>
      </c>
      <c r="BD553" s="110">
        <f t="shared" si="208"/>
        <v>9.7500000000000003E-2</v>
      </c>
      <c r="BE553" s="110">
        <f t="shared" si="208"/>
        <v>9.7500000000000003E-2</v>
      </c>
      <c r="BF553" s="110">
        <f t="shared" si="208"/>
        <v>9.7500000000000003E-2</v>
      </c>
      <c r="BG553" s="110">
        <f t="shared" si="208"/>
        <v>9.7500000000000003E-2</v>
      </c>
    </row>
    <row r="554" spans="1:59" ht="13.75" customHeight="1">
      <c r="A554" s="141" t="s">
        <v>166</v>
      </c>
      <c r="B554" s="142" t="s">
        <v>530</v>
      </c>
      <c r="C554" s="142" t="s">
        <v>547</v>
      </c>
      <c r="D554" s="142" t="s">
        <v>377</v>
      </c>
      <c r="F554" s="168" t="s">
        <v>548</v>
      </c>
      <c r="G554" s="142" t="s">
        <v>3</v>
      </c>
      <c r="H554" s="142"/>
      <c r="I554" s="142" t="s">
        <v>549</v>
      </c>
      <c r="X554" s="110"/>
      <c r="Y554" s="110"/>
      <c r="Z554" s="110">
        <v>9.5000000000000001E-2</v>
      </c>
      <c r="AA554" s="110">
        <v>9.5000000000000001E-2</v>
      </c>
      <c r="AB554" s="110">
        <v>0.09</v>
      </c>
      <c r="AC554" s="110">
        <v>8.7499999999999994E-2</v>
      </c>
      <c r="AD554" s="110">
        <v>8.7499999999999994E-2</v>
      </c>
      <c r="AE554" s="110">
        <v>9.5000000000000001E-2</v>
      </c>
      <c r="AF554" s="110">
        <v>9.5000000000000001E-2</v>
      </c>
      <c r="AG554" s="110">
        <v>0.09</v>
      </c>
      <c r="AH554" s="110">
        <v>8.5000000000000006E-2</v>
      </c>
      <c r="AI554" s="110">
        <v>8.5000000000000006E-2</v>
      </c>
      <c r="AJ554" s="110">
        <v>8.5000000000000006E-2</v>
      </c>
      <c r="AK554" s="110">
        <v>8.5000000000000006E-2</v>
      </c>
      <c r="AL554" s="110">
        <v>8.5000000000000006E-2</v>
      </c>
      <c r="AM554" s="110">
        <v>8.5000000000000006E-2</v>
      </c>
      <c r="AN554" s="110">
        <v>8.5000000000000006E-2</v>
      </c>
      <c r="AO554" s="110">
        <v>8.5000000000000006E-2</v>
      </c>
      <c r="AP554" s="110">
        <v>8.5000000000000006E-2</v>
      </c>
      <c r="AQ554" s="110">
        <v>8.5000000000000006E-2</v>
      </c>
      <c r="AR554" s="110">
        <v>8.5000000000000006E-2</v>
      </c>
      <c r="AS554" s="110">
        <v>8.5000000000000006E-2</v>
      </c>
      <c r="AT554" s="110">
        <v>8.5000000000000006E-2</v>
      </c>
      <c r="AU554" s="110">
        <v>8.5000000000000006E-2</v>
      </c>
      <c r="AV554" s="110">
        <v>8.5000000000000006E-2</v>
      </c>
      <c r="AW554" s="110">
        <v>8.5000000000000006E-2</v>
      </c>
      <c r="AX554" s="110">
        <v>8.5000000000000006E-2</v>
      </c>
      <c r="AY554" s="110">
        <v>8.5000000000000006E-2</v>
      </c>
      <c r="AZ554" s="110">
        <v>8.5000000000000006E-2</v>
      </c>
      <c r="BA554" s="110">
        <v>8.5000000000000006E-2</v>
      </c>
      <c r="BB554" s="110">
        <v>8.5000000000000006E-2</v>
      </c>
      <c r="BC554" s="110">
        <f t="shared" si="208"/>
        <v>8.5000000000000006E-2</v>
      </c>
      <c r="BD554" s="110">
        <f t="shared" si="208"/>
        <v>8.5000000000000006E-2</v>
      </c>
      <c r="BE554" s="110">
        <f t="shared" si="208"/>
        <v>8.5000000000000006E-2</v>
      </c>
      <c r="BF554" s="110">
        <f t="shared" si="208"/>
        <v>8.5000000000000006E-2</v>
      </c>
      <c r="BG554" s="110">
        <f t="shared" si="208"/>
        <v>8.5000000000000006E-2</v>
      </c>
    </row>
    <row r="555" spans="1:59" ht="13.75" customHeight="1">
      <c r="A555" s="141" t="s">
        <v>166</v>
      </c>
      <c r="B555" s="142" t="s">
        <v>530</v>
      </c>
      <c r="C555" s="142" t="s">
        <v>547</v>
      </c>
      <c r="D555" s="142" t="s">
        <v>377</v>
      </c>
      <c r="F555" s="168" t="s">
        <v>550</v>
      </c>
      <c r="G555" s="142" t="s">
        <v>3</v>
      </c>
      <c r="H555" s="142"/>
      <c r="I555" s="142" t="s">
        <v>549</v>
      </c>
      <c r="X555" s="110"/>
      <c r="Y555" s="110"/>
      <c r="Z555" s="110">
        <v>0.11749999999999999</v>
      </c>
      <c r="AA555" s="110">
        <v>0.11749999999999999</v>
      </c>
      <c r="AB555" s="110">
        <v>0.115</v>
      </c>
      <c r="AC555" s="110">
        <v>0.1125</v>
      </c>
      <c r="AD555" s="110">
        <v>0.1125</v>
      </c>
      <c r="AE555" s="110">
        <v>0.11750000000000001</v>
      </c>
      <c r="AF555" s="110">
        <v>0.11750000000000001</v>
      </c>
      <c r="AG555" s="110">
        <v>0.1125</v>
      </c>
      <c r="AH555" s="110">
        <v>0.10750000000000001</v>
      </c>
      <c r="AI555" s="110">
        <v>0.10750000000000001</v>
      </c>
      <c r="AJ555" s="110">
        <v>0.10750000000000001</v>
      </c>
      <c r="AK555" s="110">
        <v>0.10750000000000001</v>
      </c>
      <c r="AL555" s="110">
        <v>0.10750000000000001</v>
      </c>
      <c r="AM555" s="110">
        <v>0.10750000000000001</v>
      </c>
      <c r="AN555" s="110">
        <v>0.10750000000000001</v>
      </c>
      <c r="AO555" s="110">
        <v>0.10750000000000001</v>
      </c>
      <c r="AP555" s="110">
        <v>0.10750000000000001</v>
      </c>
      <c r="AQ555" s="110">
        <v>0.10750000000000001</v>
      </c>
      <c r="AR555" s="110">
        <v>0.10750000000000001</v>
      </c>
      <c r="AS555" s="110">
        <v>0.10750000000000001</v>
      </c>
      <c r="AT555" s="110">
        <v>0.10750000000000001</v>
      </c>
      <c r="AU555" s="110">
        <v>0.10750000000000001</v>
      </c>
      <c r="AV555" s="110">
        <v>0.10750000000000001</v>
      </c>
      <c r="AW555" s="110">
        <v>0.10750000000000001</v>
      </c>
      <c r="AX555" s="110">
        <v>0.10750000000000001</v>
      </c>
      <c r="AY555" s="110">
        <v>0.10750000000000001</v>
      </c>
      <c r="AZ555" s="110">
        <v>0.10750000000000001</v>
      </c>
      <c r="BA555" s="110">
        <v>0.10750000000000001</v>
      </c>
      <c r="BB555" s="110">
        <v>0.10750000000000001</v>
      </c>
      <c r="BC555" s="110">
        <f t="shared" si="208"/>
        <v>0.10750000000000001</v>
      </c>
      <c r="BD555" s="110">
        <f t="shared" si="208"/>
        <v>0.10750000000000001</v>
      </c>
      <c r="BE555" s="110">
        <f t="shared" si="208"/>
        <v>0.10750000000000001</v>
      </c>
      <c r="BF555" s="110">
        <f t="shared" si="208"/>
        <v>0.10750000000000001</v>
      </c>
      <c r="BG555" s="110">
        <f t="shared" si="208"/>
        <v>0.10750000000000001</v>
      </c>
    </row>
    <row r="556" spans="1:59" ht="13.75" customHeight="1">
      <c r="A556" s="141" t="s">
        <v>166</v>
      </c>
      <c r="B556" s="142" t="s">
        <v>530</v>
      </c>
      <c r="C556" s="142" t="s">
        <v>551</v>
      </c>
      <c r="D556" s="142" t="s">
        <v>377</v>
      </c>
      <c r="F556" s="168" t="s">
        <v>552</v>
      </c>
      <c r="G556" s="142" t="s">
        <v>3</v>
      </c>
      <c r="H556" s="142"/>
      <c r="I556" s="142" t="s">
        <v>549</v>
      </c>
      <c r="X556" s="110"/>
      <c r="Y556" s="110"/>
      <c r="Z556" s="110">
        <v>0.11499999999999999</v>
      </c>
      <c r="AA556" s="110">
        <v>0.11499999999999999</v>
      </c>
      <c r="AB556" s="110">
        <v>0.11</v>
      </c>
      <c r="AC556" s="110">
        <v>0.105</v>
      </c>
      <c r="AD556" s="110">
        <v>0.10249999999999999</v>
      </c>
      <c r="AE556" s="110">
        <v>0.1075</v>
      </c>
      <c r="AF556" s="110">
        <v>0.1075</v>
      </c>
      <c r="AG556" s="110">
        <v>0.10249999999999999</v>
      </c>
      <c r="AH556" s="110">
        <v>9.7500000000000003E-2</v>
      </c>
      <c r="AI556" s="110">
        <v>9.7500000000000003E-2</v>
      </c>
      <c r="AJ556" s="110">
        <v>9.7500000000000003E-2</v>
      </c>
      <c r="AK556" s="110">
        <v>9.7500000000000003E-2</v>
      </c>
      <c r="AL556" s="110">
        <v>9.7500000000000003E-2</v>
      </c>
      <c r="AM556" s="110">
        <v>9.7500000000000003E-2</v>
      </c>
      <c r="AN556" s="110">
        <v>9.7500000000000003E-2</v>
      </c>
      <c r="AO556" s="110">
        <v>9.7500000000000003E-2</v>
      </c>
      <c r="AP556" s="110">
        <v>9.7500000000000003E-2</v>
      </c>
      <c r="AQ556" s="110">
        <v>9.7500000000000003E-2</v>
      </c>
      <c r="AR556" s="110">
        <v>9.7500000000000003E-2</v>
      </c>
      <c r="AS556" s="110">
        <v>9.7500000000000003E-2</v>
      </c>
      <c r="AT556" s="110">
        <v>9.7500000000000003E-2</v>
      </c>
      <c r="AU556" s="110">
        <v>9.7500000000000003E-2</v>
      </c>
      <c r="AV556" s="110">
        <v>9.7500000000000003E-2</v>
      </c>
      <c r="AW556" s="110">
        <v>9.7500000000000003E-2</v>
      </c>
      <c r="AX556" s="110">
        <v>9.7500000000000003E-2</v>
      </c>
      <c r="AY556" s="110">
        <v>9.7500000000000003E-2</v>
      </c>
      <c r="AZ556" s="110">
        <v>9.7500000000000003E-2</v>
      </c>
      <c r="BA556" s="110">
        <v>9.7500000000000003E-2</v>
      </c>
      <c r="BB556" s="110">
        <v>9.7500000000000003E-2</v>
      </c>
      <c r="BC556" s="110">
        <f t="shared" si="208"/>
        <v>9.7500000000000003E-2</v>
      </c>
      <c r="BD556" s="110">
        <f t="shared" si="208"/>
        <v>9.7500000000000003E-2</v>
      </c>
      <c r="BE556" s="110">
        <f t="shared" si="208"/>
        <v>9.7500000000000003E-2</v>
      </c>
      <c r="BF556" s="110">
        <f t="shared" si="208"/>
        <v>9.7500000000000003E-2</v>
      </c>
      <c r="BG556" s="110">
        <f t="shared" si="208"/>
        <v>9.7500000000000003E-2</v>
      </c>
    </row>
    <row r="557" spans="1:59" ht="13.75" customHeight="1">
      <c r="A557" s="141" t="s">
        <v>166</v>
      </c>
      <c r="B557" s="142" t="s">
        <v>530</v>
      </c>
      <c r="C557" s="142" t="s">
        <v>551</v>
      </c>
      <c r="D557" s="142" t="s">
        <v>377</v>
      </c>
      <c r="F557" s="168" t="s">
        <v>553</v>
      </c>
      <c r="G557" s="142" t="s">
        <v>3</v>
      </c>
      <c r="H557" s="142"/>
      <c r="I557" s="142" t="s">
        <v>549</v>
      </c>
      <c r="X557" s="110"/>
      <c r="Y557" s="110"/>
      <c r="Z557" s="110">
        <v>0.13500000000000001</v>
      </c>
      <c r="AA557" s="110">
        <v>0.13500000000000001</v>
      </c>
      <c r="AB557" s="110">
        <v>0.13250000000000001</v>
      </c>
      <c r="AC557" s="110">
        <v>0.1275</v>
      </c>
      <c r="AD557" s="110">
        <v>0.125</v>
      </c>
      <c r="AE557" s="110">
        <v>0.13</v>
      </c>
      <c r="AF557" s="110">
        <v>0.13</v>
      </c>
      <c r="AG557" s="110">
        <v>0.125</v>
      </c>
      <c r="AH557" s="110">
        <v>0.12000000000000001</v>
      </c>
      <c r="AI557" s="110">
        <v>0.12000000000000001</v>
      </c>
      <c r="AJ557" s="110">
        <v>0.12000000000000001</v>
      </c>
      <c r="AK557" s="110">
        <v>0.12000000000000001</v>
      </c>
      <c r="AL557" s="110">
        <v>0.12000000000000001</v>
      </c>
      <c r="AM557" s="110">
        <v>0.12000000000000001</v>
      </c>
      <c r="AN557" s="110">
        <v>0.12000000000000001</v>
      </c>
      <c r="AO557" s="110">
        <v>0.12000000000000001</v>
      </c>
      <c r="AP557" s="110">
        <v>0.12000000000000001</v>
      </c>
      <c r="AQ557" s="110">
        <v>0.12000000000000001</v>
      </c>
      <c r="AR557" s="110">
        <v>0.12000000000000001</v>
      </c>
      <c r="AS557" s="110">
        <v>0.12000000000000001</v>
      </c>
      <c r="AT557" s="110">
        <v>0.12000000000000001</v>
      </c>
      <c r="AU557" s="110">
        <v>0.12000000000000001</v>
      </c>
      <c r="AV557" s="110">
        <v>0.12000000000000001</v>
      </c>
      <c r="AW557" s="110">
        <v>0.12000000000000001</v>
      </c>
      <c r="AX557" s="110">
        <v>0.12000000000000001</v>
      </c>
      <c r="AY557" s="110">
        <v>0.12000000000000001</v>
      </c>
      <c r="AZ557" s="110">
        <v>0.12000000000000001</v>
      </c>
      <c r="BA557" s="110">
        <v>0.12000000000000001</v>
      </c>
      <c r="BB557" s="110">
        <v>0.12000000000000001</v>
      </c>
      <c r="BC557" s="110">
        <f t="shared" si="208"/>
        <v>0.12000000000000001</v>
      </c>
      <c r="BD557" s="110">
        <f t="shared" si="208"/>
        <v>0.12000000000000001</v>
      </c>
      <c r="BE557" s="110">
        <f t="shared" si="208"/>
        <v>0.12000000000000001</v>
      </c>
      <c r="BF557" s="110">
        <f t="shared" si="208"/>
        <v>0.12000000000000001</v>
      </c>
      <c r="BG557" s="110">
        <f t="shared" si="208"/>
        <v>0.12000000000000001</v>
      </c>
    </row>
    <row r="558" spans="1:59" ht="13.75" customHeight="1">
      <c r="A558" s="141" t="s">
        <v>166</v>
      </c>
      <c r="B558" s="142" t="s">
        <v>530</v>
      </c>
      <c r="C558" s="170" t="s">
        <v>554</v>
      </c>
      <c r="D558" s="142" t="s">
        <v>377</v>
      </c>
      <c r="F558" s="168" t="s">
        <v>555</v>
      </c>
      <c r="G558" s="109" t="s">
        <v>3</v>
      </c>
      <c r="X558" s="110"/>
      <c r="Y558" s="110">
        <v>0.1</v>
      </c>
      <c r="Z558" s="110">
        <v>9.5000000000000001E-2</v>
      </c>
      <c r="AA558" s="110">
        <v>9.5000000000000001E-2</v>
      </c>
      <c r="AB558" s="110">
        <v>9.2499999999999999E-2</v>
      </c>
      <c r="AC558" s="110">
        <v>0.09</v>
      </c>
      <c r="AD558" s="110">
        <v>0.09</v>
      </c>
      <c r="AE558" s="110">
        <v>9.5000000000000001E-2</v>
      </c>
      <c r="AF558" s="110">
        <v>9.5000000000000001E-2</v>
      </c>
      <c r="AG558" s="110">
        <v>0.09</v>
      </c>
      <c r="AH558" s="110">
        <v>8.5000000000000006E-2</v>
      </c>
      <c r="AI558" s="110">
        <v>8.5000000000000006E-2</v>
      </c>
      <c r="AJ558" s="110">
        <v>8.5000000000000006E-2</v>
      </c>
      <c r="AK558" s="110">
        <v>8.5000000000000006E-2</v>
      </c>
      <c r="AL558" s="110">
        <v>8.5000000000000006E-2</v>
      </c>
      <c r="AM558" s="110">
        <v>8.5000000000000006E-2</v>
      </c>
      <c r="AN558" s="110">
        <v>8.5000000000000006E-2</v>
      </c>
      <c r="AO558" s="110">
        <v>8.5000000000000006E-2</v>
      </c>
      <c r="AP558" s="110">
        <v>8.5000000000000006E-2</v>
      </c>
      <c r="AQ558" s="110">
        <v>8.5000000000000006E-2</v>
      </c>
      <c r="AR558" s="110">
        <v>8.5000000000000006E-2</v>
      </c>
      <c r="AS558" s="110">
        <v>8.5000000000000006E-2</v>
      </c>
      <c r="AT558" s="110">
        <v>8.5000000000000006E-2</v>
      </c>
      <c r="AU558" s="110">
        <v>8.5000000000000006E-2</v>
      </c>
      <c r="AV558" s="110">
        <v>8.5000000000000006E-2</v>
      </c>
      <c r="AW558" s="110">
        <v>8.5000000000000006E-2</v>
      </c>
      <c r="AX558" s="110">
        <v>8.5000000000000006E-2</v>
      </c>
      <c r="AY558" s="110">
        <v>8.5000000000000006E-2</v>
      </c>
      <c r="AZ558" s="110">
        <v>8.5000000000000006E-2</v>
      </c>
      <c r="BA558" s="110">
        <v>8.5000000000000006E-2</v>
      </c>
      <c r="BB558" s="110">
        <v>8.5000000000000006E-2</v>
      </c>
      <c r="BC558" s="110">
        <f t="shared" si="208"/>
        <v>8.5000000000000006E-2</v>
      </c>
      <c r="BD558" s="110">
        <f t="shared" si="208"/>
        <v>8.5000000000000006E-2</v>
      </c>
      <c r="BE558" s="110">
        <f t="shared" si="208"/>
        <v>8.5000000000000006E-2</v>
      </c>
      <c r="BF558" s="110">
        <f t="shared" si="208"/>
        <v>8.5000000000000006E-2</v>
      </c>
      <c r="BG558" s="110">
        <f t="shared" si="208"/>
        <v>8.5000000000000006E-2</v>
      </c>
    </row>
    <row r="559" spans="1:59" ht="13.75" customHeight="1">
      <c r="A559" s="141" t="s">
        <v>166</v>
      </c>
      <c r="B559" s="142" t="s">
        <v>530</v>
      </c>
      <c r="C559" s="170" t="s">
        <v>554</v>
      </c>
      <c r="D559" s="142" t="s">
        <v>377</v>
      </c>
      <c r="F559" s="168" t="s">
        <v>556</v>
      </c>
      <c r="G559" s="109" t="s">
        <v>3</v>
      </c>
      <c r="X559" s="110"/>
      <c r="Y559" s="110">
        <v>0.125</v>
      </c>
      <c r="Z559" s="110">
        <v>0.11</v>
      </c>
      <c r="AA559" s="110">
        <v>0.11</v>
      </c>
      <c r="AB559" s="110">
        <v>0.1075</v>
      </c>
      <c r="AC559" s="110">
        <v>0.105</v>
      </c>
      <c r="AD559" s="110">
        <v>0.105</v>
      </c>
      <c r="AE559" s="110">
        <v>0.11</v>
      </c>
      <c r="AF559" s="110">
        <v>0.11</v>
      </c>
      <c r="AG559" s="110">
        <v>0.105</v>
      </c>
      <c r="AH559" s="110">
        <v>0.1</v>
      </c>
      <c r="AI559" s="110">
        <v>0.1</v>
      </c>
      <c r="AJ559" s="110">
        <v>0.1</v>
      </c>
      <c r="AK559" s="110">
        <v>0.1</v>
      </c>
      <c r="AL559" s="110">
        <v>0.1</v>
      </c>
      <c r="AM559" s="110">
        <v>0.1</v>
      </c>
      <c r="AN559" s="110">
        <v>0.1</v>
      </c>
      <c r="AO559" s="110">
        <v>0.1</v>
      </c>
      <c r="AP559" s="110">
        <v>0.1</v>
      </c>
      <c r="AQ559" s="110">
        <v>0.1</v>
      </c>
      <c r="AR559" s="110">
        <v>0.1</v>
      </c>
      <c r="AS559" s="110">
        <v>0.1</v>
      </c>
      <c r="AT559" s="110">
        <v>0.1</v>
      </c>
      <c r="AU559" s="110">
        <v>0.1</v>
      </c>
      <c r="AV559" s="110">
        <v>0.1</v>
      </c>
      <c r="AW559" s="110">
        <v>0.1</v>
      </c>
      <c r="AX559" s="110">
        <v>0.1</v>
      </c>
      <c r="AY559" s="110">
        <v>0.1</v>
      </c>
      <c r="AZ559" s="110">
        <v>0.1</v>
      </c>
      <c r="BA559" s="110">
        <v>0.1</v>
      </c>
      <c r="BB559" s="110">
        <v>0.1</v>
      </c>
      <c r="BC559" s="110">
        <f t="shared" si="208"/>
        <v>0.1</v>
      </c>
      <c r="BD559" s="110">
        <f t="shared" si="208"/>
        <v>0.1</v>
      </c>
      <c r="BE559" s="110">
        <f t="shared" si="208"/>
        <v>0.1</v>
      </c>
      <c r="BF559" s="110">
        <f t="shared" si="208"/>
        <v>0.1</v>
      </c>
      <c r="BG559" s="110">
        <f t="shared" si="208"/>
        <v>0.1</v>
      </c>
    </row>
    <row r="560" spans="1:59" ht="13.75" customHeight="1">
      <c r="A560" s="141" t="s">
        <v>166</v>
      </c>
      <c r="B560" s="142" t="s">
        <v>530</v>
      </c>
      <c r="C560" s="170" t="s">
        <v>543</v>
      </c>
      <c r="D560" s="142" t="s">
        <v>377</v>
      </c>
      <c r="F560" s="168" t="s">
        <v>557</v>
      </c>
      <c r="G560" s="109" t="s">
        <v>3</v>
      </c>
      <c r="X560" s="107"/>
      <c r="Y560" s="107"/>
      <c r="Z560" s="107">
        <v>0.29166666666666663</v>
      </c>
      <c r="AA560" s="107">
        <v>0.2340000000000001</v>
      </c>
      <c r="AB560" s="107">
        <v>0.21799999999999997</v>
      </c>
      <c r="AC560" s="107">
        <v>0.61499999999999999</v>
      </c>
      <c r="AD560" s="107">
        <v>0.39500000000000002</v>
      </c>
      <c r="AE560" s="107">
        <v>0.43299999999999994</v>
      </c>
      <c r="AF560" s="107">
        <v>0.42299999999999993</v>
      </c>
      <c r="AG560" s="107">
        <v>0.34299999999999992</v>
      </c>
      <c r="AH560" s="107">
        <v>0.2629999999999999</v>
      </c>
      <c r="AI560" s="107">
        <v>0.2629999999999999</v>
      </c>
      <c r="AJ560" s="107">
        <v>0.2629999999999999</v>
      </c>
      <c r="AK560" s="107">
        <v>0.2629999999999999</v>
      </c>
      <c r="AL560" s="107">
        <v>0.2629999999999999</v>
      </c>
      <c r="AM560" s="107">
        <v>0.2629999999999999</v>
      </c>
      <c r="AN560" s="107">
        <v>0.2629999999999999</v>
      </c>
      <c r="AO560" s="107">
        <v>0.2629999999999999</v>
      </c>
      <c r="AP560" s="107">
        <v>0.2629999999999999</v>
      </c>
      <c r="AQ560" s="107">
        <v>0.2629999999999999</v>
      </c>
      <c r="AR560" s="107">
        <v>0.2629999999999999</v>
      </c>
      <c r="AS560" s="107">
        <v>0.2629999999999999</v>
      </c>
      <c r="AT560" s="107">
        <v>0.2629999999999999</v>
      </c>
      <c r="AU560" s="107">
        <v>0.2629999999999999</v>
      </c>
      <c r="AV560" s="107">
        <v>0.2629999999999999</v>
      </c>
      <c r="AW560" s="107">
        <v>0.2629999999999999</v>
      </c>
      <c r="AX560" s="107">
        <v>0.2629999999999999</v>
      </c>
      <c r="AY560" s="107">
        <v>0.2629999999999999</v>
      </c>
      <c r="AZ560" s="107">
        <v>0.2629999999999999</v>
      </c>
      <c r="BA560" s="107">
        <v>0.2629999999999999</v>
      </c>
      <c r="BB560" s="107">
        <v>0.2629999999999999</v>
      </c>
      <c r="BC560" s="107">
        <f t="shared" si="208"/>
        <v>0.2629999999999999</v>
      </c>
      <c r="BD560" s="107">
        <f t="shared" si="208"/>
        <v>0.2629999999999999</v>
      </c>
      <c r="BE560" s="107">
        <f t="shared" si="208"/>
        <v>0.2629999999999999</v>
      </c>
      <c r="BF560" s="107">
        <f t="shared" si="208"/>
        <v>0.2629999999999999</v>
      </c>
      <c r="BG560" s="107">
        <f t="shared" si="208"/>
        <v>0.2629999999999999</v>
      </c>
    </row>
    <row r="561" spans="1:59" ht="13.75" customHeight="1">
      <c r="A561" s="141" t="s">
        <v>166</v>
      </c>
      <c r="B561" s="142" t="s">
        <v>530</v>
      </c>
      <c r="C561" s="142" t="s">
        <v>547</v>
      </c>
      <c r="D561" s="142" t="s">
        <v>377</v>
      </c>
      <c r="F561" s="168" t="s">
        <v>558</v>
      </c>
      <c r="G561" s="142" t="s">
        <v>3</v>
      </c>
      <c r="H561" s="142"/>
      <c r="I561" s="142" t="s">
        <v>549</v>
      </c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10">
        <v>0.105045</v>
      </c>
      <c r="AA561" s="110">
        <v>8.7044999999999997E-2</v>
      </c>
      <c r="AB561" s="110">
        <v>8.1192500000000001E-2</v>
      </c>
      <c r="AC561" s="110">
        <v>0.11863294520547944</v>
      </c>
      <c r="AD561" s="110">
        <v>0.11444731598029825</v>
      </c>
      <c r="AE561" s="110">
        <v>0.1082</v>
      </c>
      <c r="AF561" s="110">
        <v>0.1039787118816598</v>
      </c>
      <c r="AG561" s="110">
        <v>0.10217105880345681</v>
      </c>
      <c r="AH561" s="110">
        <v>9.3152117215962171E-2</v>
      </c>
      <c r="AI561" s="110">
        <v>8.5896264166686859E-2</v>
      </c>
      <c r="AJ561" s="110">
        <v>8.1481067956620842E-2</v>
      </c>
      <c r="AK561" s="110">
        <v>8.0927140896523267E-2</v>
      </c>
      <c r="AL561" s="110">
        <v>8.1135195925419734E-2</v>
      </c>
      <c r="AM561" s="110">
        <v>8.1112463695690334E-2</v>
      </c>
      <c r="AN561" s="110">
        <v>8.1112463695690334E-2</v>
      </c>
      <c r="AO561" s="110">
        <v>8.1112463695690334E-2</v>
      </c>
      <c r="AP561" s="110">
        <v>8.1112463695690334E-2</v>
      </c>
      <c r="AQ561" s="110">
        <v>8.1112463695690334E-2</v>
      </c>
      <c r="AR561" s="110">
        <v>8.1112463695690334E-2</v>
      </c>
      <c r="AS561" s="110">
        <v>8.1112463695690334E-2</v>
      </c>
      <c r="AT561" s="110">
        <v>8.1112463695690334E-2</v>
      </c>
      <c r="AU561" s="110">
        <v>8.1112463695690334E-2</v>
      </c>
      <c r="AV561" s="110">
        <v>8.1112463695690334E-2</v>
      </c>
      <c r="AW561" s="110">
        <v>8.1112463695690334E-2</v>
      </c>
      <c r="AX561" s="110">
        <v>8.1112463695690334E-2</v>
      </c>
      <c r="AY561" s="110">
        <v>8.1112463695690334E-2</v>
      </c>
      <c r="AZ561" s="110">
        <v>8.1112463695690334E-2</v>
      </c>
      <c r="BA561" s="110">
        <v>8.1112463695690334E-2</v>
      </c>
      <c r="BB561" s="110">
        <v>8.1112463695690334E-2</v>
      </c>
      <c r="BC561" s="110">
        <f t="shared" si="208"/>
        <v>8.1112463695690334E-2</v>
      </c>
      <c r="BD561" s="110">
        <f t="shared" si="208"/>
        <v>8.1112463695690334E-2</v>
      </c>
      <c r="BE561" s="110">
        <f t="shared" si="208"/>
        <v>8.1112463695690334E-2</v>
      </c>
      <c r="BF561" s="110">
        <f t="shared" si="208"/>
        <v>8.1112463695690334E-2</v>
      </c>
      <c r="BG561" s="110">
        <f t="shared" si="208"/>
        <v>8.1112463695690334E-2</v>
      </c>
    </row>
    <row r="562" spans="1:59" ht="13.75" customHeight="1">
      <c r="A562" s="141" t="s">
        <v>166</v>
      </c>
      <c r="B562" s="142" t="s">
        <v>530</v>
      </c>
      <c r="C562" s="142" t="s">
        <v>551</v>
      </c>
      <c r="D562" s="142" t="s">
        <v>377</v>
      </c>
      <c r="F562" s="168" t="s">
        <v>559</v>
      </c>
      <c r="G562" s="142" t="s">
        <v>3</v>
      </c>
      <c r="H562" s="142"/>
      <c r="I562" s="142" t="s">
        <v>549</v>
      </c>
      <c r="X562" s="107"/>
      <c r="Y562" s="107"/>
      <c r="Z562" s="110">
        <v>7.9000000000000001E-2</v>
      </c>
      <c r="AA562" s="110">
        <v>6.2E-2</v>
      </c>
      <c r="AB562" s="110">
        <v>3.6999999999999998E-2</v>
      </c>
      <c r="AC562" s="110">
        <v>3.4999999999999996E-2</v>
      </c>
      <c r="AD562" s="110">
        <v>0.01</v>
      </c>
      <c r="AE562" s="110">
        <v>1.7999999999999999E-2</v>
      </c>
      <c r="AF562" s="110">
        <v>3.0264701918325171E-2</v>
      </c>
      <c r="AG562" s="110">
        <v>4.3636216377509689E-2</v>
      </c>
      <c r="AH562" s="110">
        <v>4.5940635348951306E-2</v>
      </c>
      <c r="AI562" s="110">
        <v>4.5996363492628159E-2</v>
      </c>
      <c r="AJ562" s="110">
        <v>4.6048509889437234E-2</v>
      </c>
      <c r="AK562" s="110">
        <v>4.6048509889437234E-2</v>
      </c>
      <c r="AL562" s="110">
        <v>4.6048509889437234E-2</v>
      </c>
      <c r="AM562" s="110">
        <v>4.6048509889437234E-2</v>
      </c>
      <c r="AN562" s="110">
        <v>4.6048509889437234E-2</v>
      </c>
      <c r="AO562" s="110">
        <v>4.6048509889437234E-2</v>
      </c>
      <c r="AP562" s="110">
        <v>4.6048509889437234E-2</v>
      </c>
      <c r="AQ562" s="110">
        <v>4.6048509889437234E-2</v>
      </c>
      <c r="AR562" s="110">
        <v>4.6048509889437234E-2</v>
      </c>
      <c r="AS562" s="110">
        <v>4.6048509889437234E-2</v>
      </c>
      <c r="AT562" s="110">
        <v>4.6048509889437234E-2</v>
      </c>
      <c r="AU562" s="110">
        <v>4.6048509889437234E-2</v>
      </c>
      <c r="AV562" s="110">
        <v>4.6048509889437234E-2</v>
      </c>
      <c r="AW562" s="110">
        <v>4.6048509889437234E-2</v>
      </c>
      <c r="AX562" s="110">
        <v>4.6048509889437234E-2</v>
      </c>
      <c r="AY562" s="110">
        <v>4.6048509889437234E-2</v>
      </c>
      <c r="AZ562" s="110">
        <v>4.6048509889437234E-2</v>
      </c>
      <c r="BA562" s="110">
        <v>4.6048509889437234E-2</v>
      </c>
      <c r="BB562" s="110">
        <v>4.6048509889437234E-2</v>
      </c>
      <c r="BC562" s="110">
        <f t="shared" si="208"/>
        <v>4.6048509889437234E-2</v>
      </c>
      <c r="BD562" s="110">
        <f t="shared" si="208"/>
        <v>4.6048509889437234E-2</v>
      </c>
      <c r="BE562" s="110">
        <f t="shared" si="208"/>
        <v>4.6048509889437234E-2</v>
      </c>
      <c r="BF562" s="110">
        <f t="shared" si="208"/>
        <v>4.6048509889437234E-2</v>
      </c>
      <c r="BG562" s="110">
        <f t="shared" si="208"/>
        <v>4.6048509889437234E-2</v>
      </c>
    </row>
    <row r="563" spans="1:59" ht="13.75" customHeight="1">
      <c r="A563" s="141" t="s">
        <v>166</v>
      </c>
      <c r="B563" s="142" t="s">
        <v>530</v>
      </c>
      <c r="C563" s="170" t="s">
        <v>554</v>
      </c>
      <c r="D563" s="142" t="s">
        <v>377</v>
      </c>
      <c r="F563" s="168" t="s">
        <v>560</v>
      </c>
      <c r="G563" s="109" t="s">
        <v>3</v>
      </c>
      <c r="L563" s="107">
        <v>1.6E-2</v>
      </c>
      <c r="M563" s="107">
        <v>1.2999999999999999E-2</v>
      </c>
      <c r="N563" s="107">
        <v>7.0000000000000001E-3</v>
      </c>
      <c r="O563" s="107">
        <v>7.0000000000000001E-3</v>
      </c>
      <c r="P563" s="107">
        <v>0.01</v>
      </c>
      <c r="Q563" s="107">
        <v>0.03</v>
      </c>
      <c r="R563" s="107">
        <v>0.06</v>
      </c>
      <c r="S563" s="107">
        <v>0.05</v>
      </c>
      <c r="T563" s="107">
        <v>0.03</v>
      </c>
      <c r="U563" s="107">
        <v>0.02</v>
      </c>
      <c r="V563" s="107">
        <v>2.8000000000000001E-2</v>
      </c>
      <c r="W563" s="107">
        <v>0.06</v>
      </c>
      <c r="X563" s="107">
        <v>0.08</v>
      </c>
      <c r="Y563" s="107">
        <v>0.11</v>
      </c>
      <c r="Z563" s="107">
        <v>0.10100000000000001</v>
      </c>
      <c r="AA563" s="107">
        <v>8.5999999999999993E-2</v>
      </c>
      <c r="AB563" s="107">
        <v>9.0999999999999998E-2</v>
      </c>
      <c r="AC563" s="107">
        <v>0.107</v>
      </c>
      <c r="AD563" s="107">
        <v>0.115</v>
      </c>
      <c r="AE563" s="107">
        <v>0.14899999999999999</v>
      </c>
      <c r="AF563" s="107">
        <v>0.1349251546518038</v>
      </c>
      <c r="AG563" s="107">
        <v>0.1151402553397471</v>
      </c>
      <c r="AH563" s="107">
        <v>0.10120181850597257</v>
      </c>
      <c r="AI563" s="107">
        <v>8.7751678636071723E-2</v>
      </c>
      <c r="AJ563" s="107">
        <v>8.5262551767175371E-2</v>
      </c>
      <c r="AK563" s="107">
        <v>8.3416386392457423E-2</v>
      </c>
      <c r="AL563" s="107">
        <v>8.3146276168549568E-2</v>
      </c>
      <c r="AM563" s="107">
        <v>8.3368336193894013E-2</v>
      </c>
      <c r="AN563" s="107">
        <v>8.3368336193894013E-2</v>
      </c>
      <c r="AO563" s="107">
        <v>8.3368336193894013E-2</v>
      </c>
      <c r="AP563" s="107">
        <v>8.3368336193894013E-2</v>
      </c>
      <c r="AQ563" s="107">
        <v>8.3368336193894013E-2</v>
      </c>
      <c r="AR563" s="107">
        <v>8.3368336193894013E-2</v>
      </c>
      <c r="AS563" s="107">
        <v>8.3368336193894013E-2</v>
      </c>
      <c r="AT563" s="107">
        <v>8.3368336193894013E-2</v>
      </c>
      <c r="AU563" s="107">
        <v>8.3368336193894013E-2</v>
      </c>
      <c r="AV563" s="107">
        <v>8.3368336193894013E-2</v>
      </c>
      <c r="AW563" s="107">
        <v>8.3368336193894013E-2</v>
      </c>
      <c r="AX563" s="107">
        <v>8.3368336193894013E-2</v>
      </c>
      <c r="AY563" s="107">
        <v>8.3368336193894013E-2</v>
      </c>
      <c r="AZ563" s="107">
        <v>8.3368336193894013E-2</v>
      </c>
      <c r="BA563" s="107">
        <v>8.3368336193894013E-2</v>
      </c>
      <c r="BB563" s="107">
        <v>8.3368336193894013E-2</v>
      </c>
      <c r="BC563" s="107">
        <f t="shared" si="208"/>
        <v>8.3368336193894013E-2</v>
      </c>
      <c r="BD563" s="107">
        <f t="shared" si="208"/>
        <v>8.3368336193894013E-2</v>
      </c>
      <c r="BE563" s="107">
        <f t="shared" si="208"/>
        <v>8.3368336193894013E-2</v>
      </c>
      <c r="BF563" s="107">
        <f t="shared" si="208"/>
        <v>8.3368336193894013E-2</v>
      </c>
      <c r="BG563" s="107">
        <f t="shared" si="208"/>
        <v>8.3368336193894013E-2</v>
      </c>
    </row>
    <row r="564" spans="1:59" ht="13.75" customHeight="1">
      <c r="A564" s="141" t="s">
        <v>166</v>
      </c>
      <c r="B564" s="142" t="s">
        <v>530</v>
      </c>
      <c r="C564" s="170" t="s">
        <v>547</v>
      </c>
      <c r="D564" s="142" t="s">
        <v>377</v>
      </c>
      <c r="F564" s="168" t="s">
        <v>561</v>
      </c>
      <c r="G564" s="109" t="s">
        <v>3</v>
      </c>
      <c r="K564" s="107">
        <v>3.9912762829645843E-3</v>
      </c>
      <c r="L564" s="107">
        <v>-1.6236345590277201E-2</v>
      </c>
      <c r="M564" s="107">
        <v>7.9434971955183453E-2</v>
      </c>
      <c r="N564" s="107">
        <v>3.3884496513613804E-2</v>
      </c>
      <c r="O564" s="107">
        <v>9.3034814507108043E-2</v>
      </c>
      <c r="P564" s="107">
        <v>0.1357363168061263</v>
      </c>
      <c r="Q564" s="107">
        <v>0.22483711565783127</v>
      </c>
      <c r="R564" s="107">
        <v>-0.36156967974364462</v>
      </c>
      <c r="S564" s="107">
        <v>-3.2156469509323493E-3</v>
      </c>
      <c r="T564" s="107">
        <v>2.5428474290161152E-2</v>
      </c>
      <c r="U564" s="107">
        <v>0.14825567168483622</v>
      </c>
      <c r="V564" s="107">
        <v>0.10912804589846958</v>
      </c>
      <c r="W564" s="107">
        <v>-6.226708243569079E-2</v>
      </c>
      <c r="X564" s="107">
        <v>9.1848319743374374E-2</v>
      </c>
      <c r="Y564" s="107">
        <v>-9.3389758904701581E-2</v>
      </c>
      <c r="Z564" s="107">
        <v>-1.8338295531031057E-2</v>
      </c>
      <c r="AA564" s="107">
        <v>7.9562799246192473E-2</v>
      </c>
      <c r="AB564" s="107">
        <v>4.3439390574297992E-2</v>
      </c>
      <c r="AC564" s="107">
        <v>1.2999999999999999E-2</v>
      </c>
      <c r="AD564" s="107">
        <v>3.3212445123115053E-2</v>
      </c>
      <c r="AE564" s="107">
        <v>-0.05</v>
      </c>
      <c r="AF564" s="107">
        <v>0</v>
      </c>
      <c r="AG564" s="107">
        <v>1.6175610918050216E-2</v>
      </c>
      <c r="AH564" s="107">
        <v>5.0120479833897454E-2</v>
      </c>
      <c r="AI564" s="107">
        <v>5.9850707845984015E-2</v>
      </c>
      <c r="AJ564" s="107">
        <v>5.6375705297608825E-2</v>
      </c>
      <c r="AK564" s="107">
        <v>3.9488565225437533E-2</v>
      </c>
      <c r="AL564" s="107">
        <v>3.9529623831911609E-2</v>
      </c>
      <c r="AM564" s="107">
        <v>4.0518953178002803E-2</v>
      </c>
      <c r="AN564" s="107">
        <v>4.0518953178002803E-2</v>
      </c>
      <c r="AO564" s="107">
        <v>4.0518953178002803E-2</v>
      </c>
      <c r="AP564" s="107">
        <v>4.0518953178002803E-2</v>
      </c>
      <c r="AQ564" s="107">
        <v>4.0518953178002803E-2</v>
      </c>
      <c r="AR564" s="107">
        <v>4.0518953178002803E-2</v>
      </c>
      <c r="AS564" s="107">
        <v>4.0518953178002803E-2</v>
      </c>
      <c r="AT564" s="107">
        <v>4.0518953178002803E-2</v>
      </c>
      <c r="AU564" s="107">
        <v>4.0518953178002803E-2</v>
      </c>
      <c r="AV564" s="107">
        <v>4.0518953178002803E-2</v>
      </c>
      <c r="AW564" s="107">
        <v>4.0518953178002803E-2</v>
      </c>
      <c r="AX564" s="107">
        <v>4.0518953178002803E-2</v>
      </c>
      <c r="AY564" s="107">
        <v>4.0518953178002803E-2</v>
      </c>
      <c r="AZ564" s="107">
        <v>4.0518953178002803E-2</v>
      </c>
      <c r="BA564" s="107">
        <v>4.0518953178002803E-2</v>
      </c>
      <c r="BB564" s="107">
        <v>4.0518953178002803E-2</v>
      </c>
      <c r="BC564" s="107">
        <f t="shared" si="208"/>
        <v>4.0518953178002803E-2</v>
      </c>
      <c r="BD564" s="107">
        <f t="shared" si="208"/>
        <v>4.0518953178002803E-2</v>
      </c>
      <c r="BE564" s="107">
        <f t="shared" si="208"/>
        <v>4.0518953178002803E-2</v>
      </c>
      <c r="BF564" s="107">
        <f t="shared" si="208"/>
        <v>4.0518953178002803E-2</v>
      </c>
      <c r="BG564" s="107">
        <f t="shared" si="208"/>
        <v>4.0518953178002803E-2</v>
      </c>
    </row>
    <row r="565" spans="1:59" ht="13.75" customHeight="1">
      <c r="A565" s="141" t="s">
        <v>166</v>
      </c>
      <c r="B565" s="142" t="s">
        <v>530</v>
      </c>
      <c r="C565" s="170" t="s">
        <v>551</v>
      </c>
      <c r="D565" s="142" t="s">
        <v>377</v>
      </c>
      <c r="F565" s="168" t="s">
        <v>562</v>
      </c>
      <c r="G565" s="109" t="s">
        <v>3</v>
      </c>
      <c r="K565" s="107">
        <v>0.18436140886486641</v>
      </c>
      <c r="L565" s="107">
        <v>0.15875134903481358</v>
      </c>
      <c r="M565" s="107">
        <v>3.7879122856574243E-2</v>
      </c>
      <c r="N565" s="107">
        <v>-4.6577196215583427E-2</v>
      </c>
      <c r="O565" s="107">
        <v>-9.3842391275719139E-3</v>
      </c>
      <c r="P565" s="107">
        <v>-8.723978634740337E-2</v>
      </c>
      <c r="Q565" s="107">
        <v>7.2181893334628544E-2</v>
      </c>
      <c r="R565" s="107">
        <v>-0.10451875792389653</v>
      </c>
      <c r="S565" s="107">
        <v>6.1520691116587756E-2</v>
      </c>
      <c r="T565" s="107">
        <v>0.17531098096333575</v>
      </c>
      <c r="U565" s="107">
        <v>7.2582762430523085E-2</v>
      </c>
      <c r="V565" s="107">
        <v>2.6669640717010612E-2</v>
      </c>
      <c r="W565" s="107">
        <v>1.3155296347179268E-2</v>
      </c>
      <c r="X565" s="107">
        <v>-6.6761320365148813E-2</v>
      </c>
      <c r="Y565" s="107">
        <v>-4.148350807071044E-2</v>
      </c>
      <c r="Z565" s="107">
        <v>-6.2559708389305579E-2</v>
      </c>
      <c r="AA565" s="107">
        <v>2.7804678561840657E-2</v>
      </c>
      <c r="AB565" s="107">
        <v>7.1428571428571397E-2</v>
      </c>
      <c r="AC565" s="107">
        <v>5.3333333333333233E-2</v>
      </c>
      <c r="AD565" s="107">
        <v>0.31645569620253156</v>
      </c>
      <c r="AE565" s="107">
        <v>0</v>
      </c>
      <c r="AF565" s="107">
        <v>0.05</v>
      </c>
      <c r="AG565" s="107">
        <v>1.0345857480878698E-2</v>
      </c>
      <c r="AH565" s="107">
        <v>4.7949047881981281E-2</v>
      </c>
      <c r="AI565" s="107">
        <v>4.0330619888631736E-2</v>
      </c>
      <c r="AJ565" s="107">
        <v>3.9943152991659403E-2</v>
      </c>
      <c r="AK565" s="107">
        <v>4.0000000000000036E-2</v>
      </c>
      <c r="AL565" s="107">
        <v>4.0000000000000036E-2</v>
      </c>
      <c r="AM565" s="107">
        <v>4.0000000000000036E-2</v>
      </c>
      <c r="AN565" s="107">
        <v>4.0000000000000036E-2</v>
      </c>
      <c r="AO565" s="107">
        <v>4.0000000000000036E-2</v>
      </c>
      <c r="AP565" s="107">
        <v>4.0000000000000036E-2</v>
      </c>
      <c r="AQ565" s="107">
        <v>4.0000000000000036E-2</v>
      </c>
      <c r="AR565" s="107">
        <v>4.0000000000000036E-2</v>
      </c>
      <c r="AS565" s="107">
        <v>4.0000000000000036E-2</v>
      </c>
      <c r="AT565" s="107">
        <v>4.0000000000000036E-2</v>
      </c>
      <c r="AU565" s="107">
        <v>4.0000000000000036E-2</v>
      </c>
      <c r="AV565" s="107">
        <v>4.0000000000000036E-2</v>
      </c>
      <c r="AW565" s="107">
        <v>4.0000000000000036E-2</v>
      </c>
      <c r="AX565" s="107">
        <v>4.0000000000000036E-2</v>
      </c>
      <c r="AY565" s="107">
        <v>4.0000000000000036E-2</v>
      </c>
      <c r="AZ565" s="107">
        <v>4.0000000000000036E-2</v>
      </c>
      <c r="BA565" s="107">
        <v>4.0000000000000036E-2</v>
      </c>
      <c r="BB565" s="107">
        <v>4.0000000000000036E-2</v>
      </c>
      <c r="BC565" s="107">
        <f t="shared" si="208"/>
        <v>4.0000000000000036E-2</v>
      </c>
      <c r="BD565" s="107">
        <f t="shared" si="208"/>
        <v>4.0000000000000036E-2</v>
      </c>
      <c r="BE565" s="107">
        <f t="shared" si="208"/>
        <v>4.0000000000000036E-2</v>
      </c>
      <c r="BF565" s="107">
        <f t="shared" si="208"/>
        <v>4.0000000000000036E-2</v>
      </c>
      <c r="BG565" s="107">
        <f t="shared" si="208"/>
        <v>4.0000000000000036E-2</v>
      </c>
    </row>
    <row r="566" spans="1:59" ht="13.75" customHeight="1">
      <c r="A566" s="141" t="s">
        <v>166</v>
      </c>
      <c r="B566" s="142" t="s">
        <v>530</v>
      </c>
      <c r="C566" s="170" t="s">
        <v>554</v>
      </c>
      <c r="D566" s="142" t="s">
        <v>377</v>
      </c>
      <c r="F566" s="168" t="s">
        <v>563</v>
      </c>
      <c r="G566" s="109" t="s">
        <v>3</v>
      </c>
      <c r="P566" s="107">
        <v>-3.1687546057479699E-2</v>
      </c>
      <c r="Q566" s="107">
        <v>8.1539465101108988E-2</v>
      </c>
      <c r="R566" s="107">
        <v>-0.12175311620426221</v>
      </c>
      <c r="S566" s="107">
        <v>8.4012453072062065E-3</v>
      </c>
      <c r="T566" s="107">
        <v>0.20092619917822518</v>
      </c>
      <c r="U566" s="107">
        <v>8.6527919549355348E-2</v>
      </c>
      <c r="V566" s="107">
        <v>5.4793448098887421E-2</v>
      </c>
      <c r="W566" s="107">
        <v>5.0487390522687248E-2</v>
      </c>
      <c r="X566" s="107">
        <v>0.25162505887894482</v>
      </c>
      <c r="Y566" s="107">
        <v>-9.0521350795323419E-2</v>
      </c>
      <c r="Z566" s="107">
        <v>3.4482758620689724E-2</v>
      </c>
      <c r="AA566" s="107">
        <v>3.3333333333333437E-2</v>
      </c>
      <c r="AB566" s="107">
        <v>6.0606060606060552E-2</v>
      </c>
      <c r="AC566" s="107">
        <v>0</v>
      </c>
      <c r="AD566" s="107">
        <v>0</v>
      </c>
      <c r="AE566" s="107">
        <v>-0.05</v>
      </c>
      <c r="AF566" s="107">
        <v>0</v>
      </c>
      <c r="AG566" s="107">
        <v>3.339314758037748E-2</v>
      </c>
      <c r="AH566" s="107">
        <v>5.2023224597123052E-2</v>
      </c>
      <c r="AI566" s="107">
        <v>5.3006578762177403E-2</v>
      </c>
      <c r="AJ566" s="107">
        <v>5.0911569328657258E-2</v>
      </c>
      <c r="AK566" s="107">
        <v>4.9423199278603391E-2</v>
      </c>
      <c r="AL566" s="107">
        <v>4.3214583133382778E-2</v>
      </c>
      <c r="AM566" s="107">
        <v>4.2095030145796741E-2</v>
      </c>
      <c r="AN566" s="107">
        <v>4.2095030145796741E-2</v>
      </c>
      <c r="AO566" s="107">
        <v>4.2095030145796741E-2</v>
      </c>
      <c r="AP566" s="107">
        <v>4.2095030145796741E-2</v>
      </c>
      <c r="AQ566" s="107">
        <v>4.2095030145796741E-2</v>
      </c>
      <c r="AR566" s="107">
        <v>4.2095030145796741E-2</v>
      </c>
      <c r="AS566" s="107">
        <v>4.2095030145796741E-2</v>
      </c>
      <c r="AT566" s="107">
        <v>4.2095030145796741E-2</v>
      </c>
      <c r="AU566" s="107">
        <v>4.2095030145796741E-2</v>
      </c>
      <c r="AV566" s="107">
        <v>4.2095030145796741E-2</v>
      </c>
      <c r="AW566" s="107">
        <v>4.2095030145796741E-2</v>
      </c>
      <c r="AX566" s="107">
        <v>4.2095030145796741E-2</v>
      </c>
      <c r="AY566" s="107">
        <v>4.2095030145796741E-2</v>
      </c>
      <c r="AZ566" s="107">
        <v>4.2095030145796741E-2</v>
      </c>
      <c r="BA566" s="107">
        <v>4.2095030145796741E-2</v>
      </c>
      <c r="BB566" s="107">
        <v>4.2095030145796741E-2</v>
      </c>
      <c r="BC566" s="107">
        <f t="shared" si="208"/>
        <v>4.2095030145796741E-2</v>
      </c>
      <c r="BD566" s="107">
        <f t="shared" si="208"/>
        <v>4.2095030145796741E-2</v>
      </c>
      <c r="BE566" s="107">
        <f t="shared" si="208"/>
        <v>4.2095030145796741E-2</v>
      </c>
      <c r="BF566" s="107">
        <f t="shared" si="208"/>
        <v>4.2095030145796741E-2</v>
      </c>
      <c r="BG566" s="107">
        <f t="shared" si="208"/>
        <v>4.2095030145796741E-2</v>
      </c>
    </row>
    <row r="567" spans="1:59" ht="13.75" customHeight="1">
      <c r="A567" s="141" t="s">
        <v>166</v>
      </c>
      <c r="B567" s="142" t="s">
        <v>530</v>
      </c>
      <c r="C567" s="170" t="s">
        <v>543</v>
      </c>
      <c r="D567" s="142" t="s">
        <v>377</v>
      </c>
      <c r="E567" s="176"/>
      <c r="F567" s="168" t="s">
        <v>564</v>
      </c>
      <c r="G567" s="109" t="s">
        <v>3</v>
      </c>
      <c r="X567" s="107">
        <v>0</v>
      </c>
      <c r="Y567" s="107">
        <v>6.8000000000000005E-2</v>
      </c>
      <c r="Z567" s="107">
        <v>6.8000000000000005E-2</v>
      </c>
      <c r="AA567" s="107">
        <v>0.54800000000000004</v>
      </c>
      <c r="AB567" s="107">
        <v>-0.19658530800816298</v>
      </c>
      <c r="AC567" s="107">
        <v>-0.23</v>
      </c>
      <c r="AD567" s="107">
        <v>0.22</v>
      </c>
      <c r="AE567" s="107">
        <v>0.03</v>
      </c>
      <c r="AF567" s="107">
        <v>6.785009571876488E-2</v>
      </c>
      <c r="AG567" s="107">
        <v>6.4710248509577961E-2</v>
      </c>
      <c r="AH567" s="107">
        <v>6.0979805626794503E-2</v>
      </c>
      <c r="AI567" s="107">
        <v>4.0391390824965789E-2</v>
      </c>
      <c r="AJ567" s="107">
        <v>4.0000000000000036E-2</v>
      </c>
      <c r="AK567" s="107">
        <v>4.0000000000000036E-2</v>
      </c>
      <c r="AL567" s="107">
        <v>4.0000000000000036E-2</v>
      </c>
      <c r="AM567" s="107">
        <v>4.0000000000000036E-2</v>
      </c>
      <c r="AN567" s="107">
        <v>4.0000000000000036E-2</v>
      </c>
      <c r="AO567" s="107">
        <v>4.0000000000000036E-2</v>
      </c>
      <c r="AP567" s="107">
        <v>4.0000000000000036E-2</v>
      </c>
      <c r="AQ567" s="107">
        <v>4.0000000000000036E-2</v>
      </c>
      <c r="AR567" s="107">
        <v>4.0000000000000036E-2</v>
      </c>
      <c r="AS567" s="107">
        <v>4.0000000000000036E-2</v>
      </c>
      <c r="AT567" s="107">
        <v>4.0000000000000036E-2</v>
      </c>
      <c r="AU567" s="107">
        <v>4.0000000000000036E-2</v>
      </c>
      <c r="AV567" s="107">
        <v>4.0000000000000036E-2</v>
      </c>
      <c r="AW567" s="107">
        <v>4.0000000000000036E-2</v>
      </c>
      <c r="AX567" s="107">
        <v>4.0000000000000036E-2</v>
      </c>
      <c r="AY567" s="107">
        <v>4.0000000000000036E-2</v>
      </c>
      <c r="AZ567" s="107">
        <v>4.0000000000000036E-2</v>
      </c>
      <c r="BA567" s="107">
        <v>4.0000000000000036E-2</v>
      </c>
      <c r="BB567" s="107">
        <v>4.0000000000000036E-2</v>
      </c>
      <c r="BC567" s="107">
        <f t="shared" si="208"/>
        <v>4.0000000000000036E-2</v>
      </c>
      <c r="BD567" s="107">
        <f t="shared" si="208"/>
        <v>4.0000000000000036E-2</v>
      </c>
      <c r="BE567" s="107">
        <f t="shared" si="208"/>
        <v>4.0000000000000036E-2</v>
      </c>
      <c r="BF567" s="107">
        <f t="shared" si="208"/>
        <v>4.0000000000000036E-2</v>
      </c>
      <c r="BG567" s="107">
        <f t="shared" si="208"/>
        <v>4.0000000000000036E-2</v>
      </c>
    </row>
    <row r="568" spans="1:59" ht="13.75" customHeight="1">
      <c r="A568" s="141" t="s">
        <v>166</v>
      </c>
      <c r="B568" s="142" t="s">
        <v>530</v>
      </c>
      <c r="C568" s="170" t="s">
        <v>547</v>
      </c>
      <c r="D568" s="142" t="s">
        <v>377</v>
      </c>
      <c r="E568" s="176"/>
      <c r="F568" s="168" t="s">
        <v>565</v>
      </c>
      <c r="G568" s="109" t="s">
        <v>3</v>
      </c>
      <c r="X568" s="107">
        <v>0.05</v>
      </c>
      <c r="Y568" s="107">
        <v>0.05</v>
      </c>
      <c r="Z568" s="107">
        <v>0.05</v>
      </c>
      <c r="AA568" s="107">
        <v>0.05</v>
      </c>
      <c r="AB568" s="107">
        <v>5.3439390574297994E-2</v>
      </c>
      <c r="AC568" s="107">
        <v>2.3E-2</v>
      </c>
      <c r="AD568" s="107">
        <v>4.3212445123115055E-2</v>
      </c>
      <c r="AE568" s="107">
        <v>-0.04</v>
      </c>
      <c r="AF568" s="107">
        <v>0.01</v>
      </c>
      <c r="AG568" s="107">
        <v>2.6175610918050214E-2</v>
      </c>
      <c r="AH568" s="107">
        <v>6.0120479833897456E-2</v>
      </c>
      <c r="AI568" s="107">
        <v>6.9850707845984017E-2</v>
      </c>
      <c r="AJ568" s="107">
        <v>6.637570529760882E-2</v>
      </c>
      <c r="AK568" s="107">
        <v>4.9488565225437535E-2</v>
      </c>
      <c r="AL568" s="107">
        <v>4.9529623831911611E-2</v>
      </c>
      <c r="AM568" s="107">
        <v>5.0518953178002805E-2</v>
      </c>
      <c r="AN568" s="107">
        <v>5.0518953178002805E-2</v>
      </c>
      <c r="AO568" s="107">
        <v>5.0518953178002805E-2</v>
      </c>
      <c r="AP568" s="107">
        <v>5.0518953178002805E-2</v>
      </c>
      <c r="AQ568" s="107">
        <v>5.0518953178002805E-2</v>
      </c>
      <c r="AR568" s="107">
        <v>5.0518953178002805E-2</v>
      </c>
      <c r="AS568" s="107">
        <v>5.0518953178002805E-2</v>
      </c>
      <c r="AT568" s="107">
        <v>5.0518953178002805E-2</v>
      </c>
      <c r="AU568" s="107">
        <v>5.0518953178002805E-2</v>
      </c>
      <c r="AV568" s="107">
        <v>5.0518953178002805E-2</v>
      </c>
      <c r="AW568" s="107">
        <v>5.0518953178002805E-2</v>
      </c>
      <c r="AX568" s="107">
        <v>5.0518953178002805E-2</v>
      </c>
      <c r="AY568" s="107">
        <v>5.0518953178002805E-2</v>
      </c>
      <c r="AZ568" s="107">
        <v>5.0518953178002805E-2</v>
      </c>
      <c r="BA568" s="107">
        <v>5.0518953178002805E-2</v>
      </c>
      <c r="BB568" s="107">
        <v>5.0518953178002805E-2</v>
      </c>
      <c r="BC568" s="107">
        <f t="shared" si="208"/>
        <v>5.0518953178002805E-2</v>
      </c>
      <c r="BD568" s="107">
        <f t="shared" si="208"/>
        <v>5.0518953178002805E-2</v>
      </c>
      <c r="BE568" s="107">
        <f t="shared" si="208"/>
        <v>5.0518953178002805E-2</v>
      </c>
      <c r="BF568" s="107">
        <f t="shared" si="208"/>
        <v>5.0518953178002805E-2</v>
      </c>
      <c r="BG568" s="107">
        <f t="shared" si="208"/>
        <v>5.0518953178002805E-2</v>
      </c>
    </row>
    <row r="569" spans="1:59" ht="13.75" customHeight="1">
      <c r="A569" s="141" t="s">
        <v>166</v>
      </c>
      <c r="B569" s="142" t="s">
        <v>530</v>
      </c>
      <c r="C569" s="170" t="s">
        <v>551</v>
      </c>
      <c r="D569" s="142" t="s">
        <v>377</v>
      </c>
      <c r="E569" s="176"/>
      <c r="F569" s="168" t="s">
        <v>566</v>
      </c>
      <c r="G569" s="109" t="s">
        <v>3</v>
      </c>
      <c r="X569" s="107">
        <v>-1.676132036514881E-2</v>
      </c>
      <c r="Y569" s="107">
        <v>0</v>
      </c>
      <c r="Z569" s="107">
        <v>0.04</v>
      </c>
      <c r="AA569" s="107">
        <v>0.05</v>
      </c>
      <c r="AB569" s="107">
        <v>8.1428571428571392E-2</v>
      </c>
      <c r="AC569" s="107">
        <v>6.3333333333333228E-2</v>
      </c>
      <c r="AD569" s="107">
        <v>0.32645569620253156</v>
      </c>
      <c r="AE569" s="107">
        <v>0</v>
      </c>
      <c r="AF569" s="107">
        <v>6.0000000000000005E-2</v>
      </c>
      <c r="AG569" s="107">
        <v>2.03458574808787E-2</v>
      </c>
      <c r="AH569" s="107">
        <v>5.7949047881981283E-2</v>
      </c>
      <c r="AI569" s="107">
        <v>5.0330619888631738E-2</v>
      </c>
      <c r="AJ569" s="107">
        <v>4.9943152991659405E-2</v>
      </c>
      <c r="AK569" s="107">
        <v>5.0000000000000037E-2</v>
      </c>
      <c r="AL569" s="107">
        <v>5.0000000000000037E-2</v>
      </c>
      <c r="AM569" s="107">
        <v>5.0000000000000037E-2</v>
      </c>
      <c r="AN569" s="107">
        <v>5.0000000000000037E-2</v>
      </c>
      <c r="AO569" s="107">
        <v>5.0000000000000037E-2</v>
      </c>
      <c r="AP569" s="107">
        <v>5.0000000000000037E-2</v>
      </c>
      <c r="AQ569" s="107">
        <v>5.0000000000000037E-2</v>
      </c>
      <c r="AR569" s="107">
        <v>5.0000000000000037E-2</v>
      </c>
      <c r="AS569" s="107">
        <v>5.0000000000000037E-2</v>
      </c>
      <c r="AT569" s="107">
        <v>5.0000000000000037E-2</v>
      </c>
      <c r="AU569" s="107">
        <v>5.0000000000000037E-2</v>
      </c>
      <c r="AV569" s="107">
        <v>5.0000000000000037E-2</v>
      </c>
      <c r="AW569" s="107">
        <v>5.0000000000000037E-2</v>
      </c>
      <c r="AX569" s="107">
        <v>5.0000000000000037E-2</v>
      </c>
      <c r="AY569" s="107">
        <v>5.0000000000000037E-2</v>
      </c>
      <c r="AZ569" s="107">
        <v>5.0000000000000037E-2</v>
      </c>
      <c r="BA569" s="107">
        <v>5.0000000000000037E-2</v>
      </c>
      <c r="BB569" s="107">
        <v>5.0000000000000037E-2</v>
      </c>
      <c r="BC569" s="107">
        <f t="shared" si="208"/>
        <v>5.0000000000000037E-2</v>
      </c>
      <c r="BD569" s="107">
        <f t="shared" si="208"/>
        <v>5.0000000000000037E-2</v>
      </c>
      <c r="BE569" s="107">
        <f t="shared" si="208"/>
        <v>5.0000000000000037E-2</v>
      </c>
      <c r="BF569" s="107">
        <f t="shared" si="208"/>
        <v>5.0000000000000037E-2</v>
      </c>
      <c r="BG569" s="107">
        <f t="shared" si="208"/>
        <v>5.0000000000000037E-2</v>
      </c>
    </row>
    <row r="570" spans="1:59" ht="13.75" customHeight="1">
      <c r="A570" s="141" t="s">
        <v>166</v>
      </c>
      <c r="B570" s="142" t="s">
        <v>530</v>
      </c>
      <c r="C570" s="170" t="s">
        <v>554</v>
      </c>
      <c r="D570" s="142" t="s">
        <v>377</v>
      </c>
      <c r="E570" s="176"/>
      <c r="F570" s="168" t="s">
        <v>567</v>
      </c>
      <c r="G570" s="109" t="s">
        <v>3</v>
      </c>
      <c r="X570" s="107">
        <v>0</v>
      </c>
      <c r="Y570" s="107">
        <v>0</v>
      </c>
      <c r="Z570" s="107">
        <v>0.04</v>
      </c>
      <c r="AA570" s="107">
        <v>0.05</v>
      </c>
      <c r="AB570" s="107">
        <v>7.0606060606060547E-2</v>
      </c>
      <c r="AC570" s="107">
        <v>-3.846105287452229E-2</v>
      </c>
      <c r="AD570" s="107">
        <v>0.01</v>
      </c>
      <c r="AE570" s="107">
        <v>-0.04</v>
      </c>
      <c r="AF570" s="107">
        <v>0.01</v>
      </c>
      <c r="AG570" s="107">
        <v>4.3393147580377482E-2</v>
      </c>
      <c r="AH570" s="107">
        <v>6.2023224597123054E-2</v>
      </c>
      <c r="AI570" s="107">
        <v>6.3006578762177398E-2</v>
      </c>
      <c r="AJ570" s="107">
        <v>6.091156932865726E-2</v>
      </c>
      <c r="AK570" s="107">
        <v>5.9423199278603393E-2</v>
      </c>
      <c r="AL570" s="107">
        <v>5.321458313338278E-2</v>
      </c>
      <c r="AM570" s="107">
        <v>5.2095030145796743E-2</v>
      </c>
      <c r="AN570" s="107">
        <v>5.2095030145796743E-2</v>
      </c>
      <c r="AO570" s="107">
        <v>5.2095030145796743E-2</v>
      </c>
      <c r="AP570" s="107">
        <v>5.2095030145796743E-2</v>
      </c>
      <c r="AQ570" s="107">
        <v>5.2095030145796743E-2</v>
      </c>
      <c r="AR570" s="107">
        <v>5.2095030145796743E-2</v>
      </c>
      <c r="AS570" s="107">
        <v>5.2095030145796743E-2</v>
      </c>
      <c r="AT570" s="107">
        <v>5.2095030145796743E-2</v>
      </c>
      <c r="AU570" s="107">
        <v>5.2095030145796743E-2</v>
      </c>
      <c r="AV570" s="107">
        <v>5.2095030145796743E-2</v>
      </c>
      <c r="AW570" s="107">
        <v>5.2095030145796743E-2</v>
      </c>
      <c r="AX570" s="107">
        <v>5.2095030145796743E-2</v>
      </c>
      <c r="AY570" s="107">
        <v>5.2095030145796743E-2</v>
      </c>
      <c r="AZ570" s="107">
        <v>5.2095030145796743E-2</v>
      </c>
      <c r="BA570" s="107">
        <v>5.2095030145796743E-2</v>
      </c>
      <c r="BB570" s="107">
        <v>5.2095030145796743E-2</v>
      </c>
      <c r="BC570" s="107">
        <f t="shared" si="208"/>
        <v>5.2095030145796743E-2</v>
      </c>
      <c r="BD570" s="107">
        <f t="shared" si="208"/>
        <v>5.2095030145796743E-2</v>
      </c>
      <c r="BE570" s="107">
        <f t="shared" si="208"/>
        <v>5.2095030145796743E-2</v>
      </c>
      <c r="BF570" s="107">
        <f t="shared" si="208"/>
        <v>5.2095030145796743E-2</v>
      </c>
      <c r="BG570" s="107">
        <f t="shared" si="208"/>
        <v>5.2095030145796743E-2</v>
      </c>
    </row>
    <row r="571" spans="1:59" ht="13.75" customHeight="1" outlineLevel="1">
      <c r="A571" s="141" t="s">
        <v>166</v>
      </c>
      <c r="B571" s="142" t="s">
        <v>530</v>
      </c>
      <c r="C571" s="170" t="s">
        <v>547</v>
      </c>
      <c r="D571" s="142" t="s">
        <v>377</v>
      </c>
      <c r="F571" s="168" t="s">
        <v>568</v>
      </c>
      <c r="G571" s="109" t="s">
        <v>3</v>
      </c>
      <c r="Z571" s="110">
        <v>9.5000000000000001E-2</v>
      </c>
      <c r="AA571" s="110">
        <v>9.5000000000000001E-2</v>
      </c>
      <c r="AB571" s="110">
        <v>0.09</v>
      </c>
      <c r="AC571" s="110">
        <v>8.7499999999999994E-2</v>
      </c>
      <c r="AD571" s="110">
        <v>8.7499999999999994E-2</v>
      </c>
      <c r="AE571" s="110">
        <v>9.5000000000000001E-2</v>
      </c>
      <c r="AF571" s="110">
        <v>9.5000000000000001E-2</v>
      </c>
      <c r="AG571" s="110">
        <v>0.09</v>
      </c>
      <c r="AH571" s="110">
        <v>8.5000000000000006E-2</v>
      </c>
      <c r="AI571" s="110">
        <v>8.5000000000000006E-2</v>
      </c>
      <c r="AJ571" s="110">
        <v>8.5000000000000006E-2</v>
      </c>
      <c r="AK571" s="110">
        <v>8.5000000000000006E-2</v>
      </c>
      <c r="AL571" s="110">
        <v>8.5000000000000006E-2</v>
      </c>
      <c r="AM571" s="110">
        <v>8.5000000000000006E-2</v>
      </c>
      <c r="AN571" s="110">
        <v>8.5000000000000006E-2</v>
      </c>
      <c r="AO571" s="110">
        <v>8.5000000000000006E-2</v>
      </c>
      <c r="AP571" s="110">
        <v>8.5000000000000006E-2</v>
      </c>
      <c r="AQ571" s="110">
        <v>8.5000000000000006E-2</v>
      </c>
      <c r="AR571" s="110">
        <v>8.5000000000000006E-2</v>
      </c>
      <c r="AS571" s="110">
        <v>8.5000000000000006E-2</v>
      </c>
      <c r="AT571" s="110">
        <v>8.5000000000000006E-2</v>
      </c>
      <c r="AU571" s="110">
        <v>8.5000000000000006E-2</v>
      </c>
      <c r="AV571" s="110">
        <v>8.5000000000000006E-2</v>
      </c>
      <c r="AW571" s="110">
        <v>8.5000000000000006E-2</v>
      </c>
      <c r="AX571" s="110">
        <v>8.5000000000000006E-2</v>
      </c>
      <c r="AY571" s="110">
        <v>8.5000000000000006E-2</v>
      </c>
      <c r="AZ571" s="110">
        <v>8.5000000000000006E-2</v>
      </c>
      <c r="BA571" s="110">
        <v>8.5000000000000006E-2</v>
      </c>
      <c r="BB571" s="110">
        <v>8.5000000000000006E-2</v>
      </c>
      <c r="BC571" s="110">
        <f t="shared" si="208"/>
        <v>8.5000000000000006E-2</v>
      </c>
      <c r="BD571" s="110">
        <f t="shared" si="208"/>
        <v>8.5000000000000006E-2</v>
      </c>
      <c r="BE571" s="110">
        <f t="shared" si="208"/>
        <v>8.5000000000000006E-2</v>
      </c>
      <c r="BF571" s="110">
        <f t="shared" si="208"/>
        <v>8.5000000000000006E-2</v>
      </c>
      <c r="BG571" s="110">
        <f t="shared" si="208"/>
        <v>8.5000000000000006E-2</v>
      </c>
    </row>
    <row r="572" spans="1:59" ht="13.75" customHeight="1" outlineLevel="1">
      <c r="A572" s="141" t="s">
        <v>166</v>
      </c>
      <c r="B572" s="142" t="s">
        <v>530</v>
      </c>
      <c r="C572" s="170" t="s">
        <v>547</v>
      </c>
      <c r="D572" s="142" t="s">
        <v>377</v>
      </c>
      <c r="F572" s="168" t="s">
        <v>569</v>
      </c>
      <c r="G572" s="109" t="s">
        <v>3</v>
      </c>
      <c r="Z572" s="110">
        <v>0.105</v>
      </c>
      <c r="AA572" s="110">
        <v>0.105</v>
      </c>
      <c r="AB572" s="110">
        <v>0.10249999999999999</v>
      </c>
      <c r="AC572" s="110">
        <v>9.9999999999999992E-2</v>
      </c>
      <c r="AD572" s="110">
        <v>9.9999999999999992E-2</v>
      </c>
      <c r="AE572" s="110">
        <v>0.105</v>
      </c>
      <c r="AF572" s="110">
        <v>0.105</v>
      </c>
      <c r="AG572" s="110">
        <v>9.9999999999999992E-2</v>
      </c>
      <c r="AH572" s="110">
        <v>9.5000000000000001E-2</v>
      </c>
      <c r="AI572" s="110">
        <v>9.5000000000000001E-2</v>
      </c>
      <c r="AJ572" s="110">
        <v>9.5000000000000001E-2</v>
      </c>
      <c r="AK572" s="110">
        <v>9.5000000000000001E-2</v>
      </c>
      <c r="AL572" s="110">
        <v>9.5000000000000001E-2</v>
      </c>
      <c r="AM572" s="110">
        <v>9.5000000000000001E-2</v>
      </c>
      <c r="AN572" s="110">
        <v>9.5000000000000001E-2</v>
      </c>
      <c r="AO572" s="110">
        <v>9.5000000000000001E-2</v>
      </c>
      <c r="AP572" s="110">
        <v>9.5000000000000001E-2</v>
      </c>
      <c r="AQ572" s="110">
        <v>9.5000000000000001E-2</v>
      </c>
      <c r="AR572" s="110">
        <v>9.5000000000000001E-2</v>
      </c>
      <c r="AS572" s="110">
        <v>9.5000000000000001E-2</v>
      </c>
      <c r="AT572" s="110">
        <v>9.5000000000000001E-2</v>
      </c>
      <c r="AU572" s="110">
        <v>9.5000000000000001E-2</v>
      </c>
      <c r="AV572" s="110">
        <v>9.5000000000000001E-2</v>
      </c>
      <c r="AW572" s="110">
        <v>9.5000000000000001E-2</v>
      </c>
      <c r="AX572" s="110">
        <v>9.5000000000000001E-2</v>
      </c>
      <c r="AY572" s="110">
        <v>9.5000000000000001E-2</v>
      </c>
      <c r="AZ572" s="110">
        <v>9.5000000000000001E-2</v>
      </c>
      <c r="BA572" s="110">
        <v>9.5000000000000001E-2</v>
      </c>
      <c r="BB572" s="110">
        <v>9.5000000000000001E-2</v>
      </c>
      <c r="BC572" s="110">
        <f t="shared" si="208"/>
        <v>9.5000000000000001E-2</v>
      </c>
      <c r="BD572" s="110">
        <f t="shared" si="208"/>
        <v>9.5000000000000001E-2</v>
      </c>
      <c r="BE572" s="110">
        <f t="shared" si="208"/>
        <v>9.5000000000000001E-2</v>
      </c>
      <c r="BF572" s="110">
        <f t="shared" si="208"/>
        <v>9.5000000000000001E-2</v>
      </c>
      <c r="BG572" s="110">
        <f t="shared" si="208"/>
        <v>9.5000000000000001E-2</v>
      </c>
    </row>
    <row r="573" spans="1:59" ht="13.75" customHeight="1" outlineLevel="1">
      <c r="A573" s="141" t="s">
        <v>166</v>
      </c>
      <c r="B573" s="142" t="s">
        <v>530</v>
      </c>
      <c r="C573" s="170" t="s">
        <v>547</v>
      </c>
      <c r="D573" s="142" t="s">
        <v>377</v>
      </c>
      <c r="F573" s="168" t="s">
        <v>570</v>
      </c>
      <c r="G573" s="109" t="s">
        <v>3</v>
      </c>
      <c r="Z573" s="110">
        <v>0.10249999999999999</v>
      </c>
      <c r="AA573" s="110">
        <v>0.10249999999999999</v>
      </c>
      <c r="AB573" s="110">
        <v>0.1</v>
      </c>
      <c r="AC573" s="110">
        <v>9.7500000000000003E-2</v>
      </c>
      <c r="AD573" s="110">
        <v>9.7500000000000003E-2</v>
      </c>
      <c r="AE573" s="110">
        <v>0.10250000000000001</v>
      </c>
      <c r="AF573" s="110">
        <v>0.10250000000000001</v>
      </c>
      <c r="AG573" s="110">
        <v>9.7500000000000003E-2</v>
      </c>
      <c r="AH573" s="110">
        <v>9.2500000000000013E-2</v>
      </c>
      <c r="AI573" s="110">
        <v>9.2500000000000013E-2</v>
      </c>
      <c r="AJ573" s="110">
        <v>9.2500000000000013E-2</v>
      </c>
      <c r="AK573" s="110">
        <v>9.2500000000000013E-2</v>
      </c>
      <c r="AL573" s="110">
        <v>9.2500000000000013E-2</v>
      </c>
      <c r="AM573" s="110">
        <v>9.2500000000000013E-2</v>
      </c>
      <c r="AN573" s="110">
        <v>9.2500000000000013E-2</v>
      </c>
      <c r="AO573" s="110">
        <v>9.2500000000000013E-2</v>
      </c>
      <c r="AP573" s="110">
        <v>9.2500000000000013E-2</v>
      </c>
      <c r="AQ573" s="110">
        <v>9.2500000000000013E-2</v>
      </c>
      <c r="AR573" s="110">
        <v>9.2500000000000013E-2</v>
      </c>
      <c r="AS573" s="110">
        <v>9.2500000000000013E-2</v>
      </c>
      <c r="AT573" s="110">
        <v>9.2500000000000013E-2</v>
      </c>
      <c r="AU573" s="110">
        <v>9.2500000000000013E-2</v>
      </c>
      <c r="AV573" s="110">
        <v>9.2500000000000013E-2</v>
      </c>
      <c r="AW573" s="110">
        <v>9.2500000000000013E-2</v>
      </c>
      <c r="AX573" s="110">
        <v>9.2500000000000013E-2</v>
      </c>
      <c r="AY573" s="110">
        <v>9.2500000000000013E-2</v>
      </c>
      <c r="AZ573" s="110">
        <v>9.2500000000000013E-2</v>
      </c>
      <c r="BA573" s="110">
        <v>9.2500000000000013E-2</v>
      </c>
      <c r="BB573" s="110">
        <v>9.2500000000000013E-2</v>
      </c>
      <c r="BC573" s="110">
        <f t="shared" si="208"/>
        <v>9.2500000000000013E-2</v>
      </c>
      <c r="BD573" s="110">
        <f t="shared" si="208"/>
        <v>9.2500000000000013E-2</v>
      </c>
      <c r="BE573" s="110">
        <f t="shared" si="208"/>
        <v>9.2500000000000013E-2</v>
      </c>
      <c r="BF573" s="110">
        <f t="shared" si="208"/>
        <v>9.2500000000000013E-2</v>
      </c>
      <c r="BG573" s="110">
        <f t="shared" si="208"/>
        <v>9.2500000000000013E-2</v>
      </c>
    </row>
    <row r="574" spans="1:59" ht="13.75" customHeight="1" outlineLevel="1">
      <c r="A574" s="141" t="s">
        <v>166</v>
      </c>
      <c r="B574" s="142" t="s">
        <v>530</v>
      </c>
      <c r="C574" s="170" t="s">
        <v>547</v>
      </c>
      <c r="D574" s="142" t="s">
        <v>377</v>
      </c>
      <c r="F574" s="168" t="s">
        <v>571</v>
      </c>
      <c r="G574" s="109" t="s">
        <v>3</v>
      </c>
      <c r="Z574" s="110">
        <v>0.11749999999999999</v>
      </c>
      <c r="AA574" s="110">
        <v>0.11749999999999999</v>
      </c>
      <c r="AB574" s="110">
        <v>0.115</v>
      </c>
      <c r="AC574" s="110">
        <v>0.1125</v>
      </c>
      <c r="AD574" s="110">
        <v>0.1125</v>
      </c>
      <c r="AE574" s="110">
        <v>0.11750000000000001</v>
      </c>
      <c r="AF574" s="110">
        <v>0.11750000000000001</v>
      </c>
      <c r="AG574" s="110">
        <v>0.1125</v>
      </c>
      <c r="AH574" s="110">
        <v>0.10750000000000001</v>
      </c>
      <c r="AI574" s="110">
        <v>0.10750000000000001</v>
      </c>
      <c r="AJ574" s="110">
        <v>0.10750000000000001</v>
      </c>
      <c r="AK574" s="110">
        <v>0.10750000000000001</v>
      </c>
      <c r="AL574" s="110">
        <v>0.10750000000000001</v>
      </c>
      <c r="AM574" s="110">
        <v>0.10750000000000001</v>
      </c>
      <c r="AN574" s="110">
        <v>0.10750000000000001</v>
      </c>
      <c r="AO574" s="110">
        <v>0.10750000000000001</v>
      </c>
      <c r="AP574" s="110">
        <v>0.10750000000000001</v>
      </c>
      <c r="AQ574" s="110">
        <v>0.10750000000000001</v>
      </c>
      <c r="AR574" s="110">
        <v>0.10750000000000001</v>
      </c>
      <c r="AS574" s="110">
        <v>0.10750000000000001</v>
      </c>
      <c r="AT574" s="110">
        <v>0.10750000000000001</v>
      </c>
      <c r="AU574" s="110">
        <v>0.10750000000000001</v>
      </c>
      <c r="AV574" s="110">
        <v>0.10750000000000001</v>
      </c>
      <c r="AW574" s="110">
        <v>0.10750000000000001</v>
      </c>
      <c r="AX574" s="110">
        <v>0.10750000000000001</v>
      </c>
      <c r="AY574" s="110">
        <v>0.10750000000000001</v>
      </c>
      <c r="AZ574" s="110">
        <v>0.10750000000000001</v>
      </c>
      <c r="BA574" s="110">
        <v>0.10750000000000001</v>
      </c>
      <c r="BB574" s="110">
        <v>0.10750000000000001</v>
      </c>
      <c r="BC574" s="110">
        <f t="shared" si="208"/>
        <v>0.10750000000000001</v>
      </c>
      <c r="BD574" s="110">
        <f t="shared" si="208"/>
        <v>0.10750000000000001</v>
      </c>
      <c r="BE574" s="110">
        <f t="shared" si="208"/>
        <v>0.10750000000000001</v>
      </c>
      <c r="BF574" s="110">
        <f t="shared" si="208"/>
        <v>0.10750000000000001</v>
      </c>
      <c r="BG574" s="110">
        <f t="shared" si="208"/>
        <v>0.10750000000000001</v>
      </c>
    </row>
    <row r="575" spans="1:59" ht="13.75" customHeight="1" outlineLevel="1">
      <c r="A575" s="141" t="s">
        <v>166</v>
      </c>
      <c r="B575" s="142" t="s">
        <v>530</v>
      </c>
      <c r="C575" s="170" t="s">
        <v>551</v>
      </c>
      <c r="D575" s="142" t="s">
        <v>377</v>
      </c>
      <c r="F575" s="168" t="s">
        <v>572</v>
      </c>
      <c r="G575" s="109" t="s">
        <v>3</v>
      </c>
      <c r="Z575" s="110">
        <v>0.11499999999999999</v>
      </c>
      <c r="AA575" s="110">
        <v>0.11499999999999999</v>
      </c>
      <c r="AB575" s="110">
        <v>0.11</v>
      </c>
      <c r="AC575" s="110">
        <v>0.105</v>
      </c>
      <c r="AD575" s="110">
        <v>0.10249999999999999</v>
      </c>
      <c r="AE575" s="110">
        <v>0.1075</v>
      </c>
      <c r="AF575" s="110">
        <v>0.1075</v>
      </c>
      <c r="AG575" s="110">
        <v>0.10249999999999999</v>
      </c>
      <c r="AH575" s="110">
        <v>9.7500000000000003E-2</v>
      </c>
      <c r="AI575" s="110">
        <v>9.7500000000000003E-2</v>
      </c>
      <c r="AJ575" s="110">
        <v>9.7500000000000003E-2</v>
      </c>
      <c r="AK575" s="110">
        <v>9.7500000000000003E-2</v>
      </c>
      <c r="AL575" s="110">
        <v>9.7500000000000003E-2</v>
      </c>
      <c r="AM575" s="110">
        <v>9.7500000000000003E-2</v>
      </c>
      <c r="AN575" s="110">
        <v>9.7500000000000003E-2</v>
      </c>
      <c r="AO575" s="110">
        <v>9.7500000000000003E-2</v>
      </c>
      <c r="AP575" s="110">
        <v>9.7500000000000003E-2</v>
      </c>
      <c r="AQ575" s="110">
        <v>9.7500000000000003E-2</v>
      </c>
      <c r="AR575" s="110">
        <v>9.7500000000000003E-2</v>
      </c>
      <c r="AS575" s="110">
        <v>9.7500000000000003E-2</v>
      </c>
      <c r="AT575" s="110">
        <v>9.7500000000000003E-2</v>
      </c>
      <c r="AU575" s="110">
        <v>9.7500000000000003E-2</v>
      </c>
      <c r="AV575" s="110">
        <v>9.7500000000000003E-2</v>
      </c>
      <c r="AW575" s="110">
        <v>9.7500000000000003E-2</v>
      </c>
      <c r="AX575" s="110">
        <v>9.7500000000000003E-2</v>
      </c>
      <c r="AY575" s="110">
        <v>9.7500000000000003E-2</v>
      </c>
      <c r="AZ575" s="110">
        <v>9.7500000000000003E-2</v>
      </c>
      <c r="BA575" s="110">
        <v>9.7500000000000003E-2</v>
      </c>
      <c r="BB575" s="110">
        <v>9.7500000000000003E-2</v>
      </c>
      <c r="BC575" s="110">
        <f t="shared" si="208"/>
        <v>9.7500000000000003E-2</v>
      </c>
      <c r="BD575" s="110">
        <f t="shared" si="208"/>
        <v>9.7500000000000003E-2</v>
      </c>
      <c r="BE575" s="110">
        <f t="shared" si="208"/>
        <v>9.7500000000000003E-2</v>
      </c>
      <c r="BF575" s="110">
        <f t="shared" si="208"/>
        <v>9.7500000000000003E-2</v>
      </c>
      <c r="BG575" s="110">
        <f t="shared" si="208"/>
        <v>9.7500000000000003E-2</v>
      </c>
    </row>
    <row r="576" spans="1:59" ht="13.75" customHeight="1" outlineLevel="1">
      <c r="A576" s="141" t="s">
        <v>166</v>
      </c>
      <c r="B576" s="142" t="s">
        <v>530</v>
      </c>
      <c r="C576" s="170" t="s">
        <v>551</v>
      </c>
      <c r="D576" s="142" t="s">
        <v>377</v>
      </c>
      <c r="F576" s="168" t="s">
        <v>573</v>
      </c>
      <c r="G576" s="109" t="s">
        <v>3</v>
      </c>
      <c r="Z576" s="110">
        <v>0.13</v>
      </c>
      <c r="AA576" s="110">
        <v>0.13</v>
      </c>
      <c r="AB576" s="110">
        <v>0.1225</v>
      </c>
      <c r="AC576" s="110">
        <v>0.11749999999999999</v>
      </c>
      <c r="AD576" s="110">
        <v>0.11499999999999999</v>
      </c>
      <c r="AE576" s="110">
        <v>0.12</v>
      </c>
      <c r="AF576" s="110">
        <v>0.12</v>
      </c>
      <c r="AG576" s="110">
        <v>0.11499999999999999</v>
      </c>
      <c r="AH576" s="110">
        <v>0.11</v>
      </c>
      <c r="AI576" s="110">
        <v>0.11</v>
      </c>
      <c r="AJ576" s="110">
        <v>0.11</v>
      </c>
      <c r="AK576" s="110">
        <v>0.11</v>
      </c>
      <c r="AL576" s="110">
        <v>0.11</v>
      </c>
      <c r="AM576" s="110">
        <v>0.11</v>
      </c>
      <c r="AN576" s="110">
        <v>0.11</v>
      </c>
      <c r="AO576" s="110">
        <v>0.11</v>
      </c>
      <c r="AP576" s="110">
        <v>0.11</v>
      </c>
      <c r="AQ576" s="110">
        <v>0.11</v>
      </c>
      <c r="AR576" s="110">
        <v>0.11</v>
      </c>
      <c r="AS576" s="110">
        <v>0.11</v>
      </c>
      <c r="AT576" s="110">
        <v>0.11</v>
      </c>
      <c r="AU576" s="110">
        <v>0.11</v>
      </c>
      <c r="AV576" s="110">
        <v>0.11</v>
      </c>
      <c r="AW576" s="110">
        <v>0.11</v>
      </c>
      <c r="AX576" s="110">
        <v>0.11</v>
      </c>
      <c r="AY576" s="110">
        <v>0.11</v>
      </c>
      <c r="AZ576" s="110">
        <v>0.11</v>
      </c>
      <c r="BA576" s="110">
        <v>0.11</v>
      </c>
      <c r="BB576" s="110">
        <v>0.11</v>
      </c>
      <c r="BC576" s="110">
        <f t="shared" si="208"/>
        <v>0.11</v>
      </c>
      <c r="BD576" s="110">
        <f t="shared" si="208"/>
        <v>0.11</v>
      </c>
      <c r="BE576" s="110">
        <f t="shared" si="208"/>
        <v>0.11</v>
      </c>
      <c r="BF576" s="110">
        <f t="shared" si="208"/>
        <v>0.11</v>
      </c>
      <c r="BG576" s="110">
        <f t="shared" si="208"/>
        <v>0.11</v>
      </c>
    </row>
    <row r="577" spans="1:59" ht="13.75" customHeight="1" outlineLevel="1">
      <c r="A577" s="141" t="s">
        <v>166</v>
      </c>
      <c r="B577" s="142" t="s">
        <v>530</v>
      </c>
      <c r="C577" s="170" t="s">
        <v>551</v>
      </c>
      <c r="D577" s="142" t="s">
        <v>377</v>
      </c>
      <c r="F577" s="168" t="s">
        <v>574</v>
      </c>
      <c r="G577" s="109" t="s">
        <v>3</v>
      </c>
      <c r="Z577" s="110">
        <v>0.12</v>
      </c>
      <c r="AA577" s="110">
        <v>0.12</v>
      </c>
      <c r="AB577" s="110">
        <v>0.11749999999999999</v>
      </c>
      <c r="AC577" s="110">
        <v>0.11249999999999999</v>
      </c>
      <c r="AD577" s="110">
        <v>0.10999999999999999</v>
      </c>
      <c r="AE577" s="110">
        <v>0.11499999999999999</v>
      </c>
      <c r="AF577" s="110">
        <v>0.11499999999999999</v>
      </c>
      <c r="AG577" s="110">
        <v>0.10999999999999999</v>
      </c>
      <c r="AH577" s="110">
        <v>0.105</v>
      </c>
      <c r="AI577" s="110">
        <v>0.105</v>
      </c>
      <c r="AJ577" s="110">
        <v>0.105</v>
      </c>
      <c r="AK577" s="110">
        <v>0.105</v>
      </c>
      <c r="AL577" s="110">
        <v>0.105</v>
      </c>
      <c r="AM577" s="110">
        <v>0.105</v>
      </c>
      <c r="AN577" s="110">
        <v>0.105</v>
      </c>
      <c r="AO577" s="110">
        <v>0.105</v>
      </c>
      <c r="AP577" s="110">
        <v>0.105</v>
      </c>
      <c r="AQ577" s="110">
        <v>0.105</v>
      </c>
      <c r="AR577" s="110">
        <v>0.105</v>
      </c>
      <c r="AS577" s="110">
        <v>0.105</v>
      </c>
      <c r="AT577" s="110">
        <v>0.105</v>
      </c>
      <c r="AU577" s="110">
        <v>0.105</v>
      </c>
      <c r="AV577" s="110">
        <v>0.105</v>
      </c>
      <c r="AW577" s="110">
        <v>0.105</v>
      </c>
      <c r="AX577" s="110">
        <v>0.105</v>
      </c>
      <c r="AY577" s="110">
        <v>0.105</v>
      </c>
      <c r="AZ577" s="110">
        <v>0.105</v>
      </c>
      <c r="BA577" s="110">
        <v>0.105</v>
      </c>
      <c r="BB577" s="110">
        <v>0.105</v>
      </c>
      <c r="BC577" s="110">
        <f t="shared" si="208"/>
        <v>0.105</v>
      </c>
      <c r="BD577" s="110">
        <f t="shared" si="208"/>
        <v>0.105</v>
      </c>
      <c r="BE577" s="110">
        <f t="shared" si="208"/>
        <v>0.105</v>
      </c>
      <c r="BF577" s="110">
        <f t="shared" si="208"/>
        <v>0.105</v>
      </c>
      <c r="BG577" s="110">
        <f t="shared" si="208"/>
        <v>0.105</v>
      </c>
    </row>
    <row r="578" spans="1:59" ht="13.75" customHeight="1" outlineLevel="1">
      <c r="A578" s="141" t="s">
        <v>166</v>
      </c>
      <c r="B578" s="142" t="s">
        <v>530</v>
      </c>
      <c r="C578" s="170" t="s">
        <v>551</v>
      </c>
      <c r="D578" s="142" t="s">
        <v>377</v>
      </c>
      <c r="F578" s="168" t="s">
        <v>575</v>
      </c>
      <c r="G578" s="109" t="s">
        <v>3</v>
      </c>
      <c r="Z578" s="110">
        <v>0.13500000000000001</v>
      </c>
      <c r="AA578" s="110">
        <v>0.13500000000000001</v>
      </c>
      <c r="AB578" s="110">
        <v>0.13250000000000001</v>
      </c>
      <c r="AC578" s="110">
        <v>0.1275</v>
      </c>
      <c r="AD578" s="110">
        <v>0.125</v>
      </c>
      <c r="AE578" s="110">
        <v>0.13</v>
      </c>
      <c r="AF578" s="110">
        <v>0.13</v>
      </c>
      <c r="AG578" s="110">
        <v>0.125</v>
      </c>
      <c r="AH578" s="110">
        <v>0.12000000000000001</v>
      </c>
      <c r="AI578" s="110">
        <v>0.12000000000000001</v>
      </c>
      <c r="AJ578" s="110">
        <v>0.12000000000000001</v>
      </c>
      <c r="AK578" s="110">
        <v>0.12000000000000001</v>
      </c>
      <c r="AL578" s="110">
        <v>0.12000000000000001</v>
      </c>
      <c r="AM578" s="110">
        <v>0.12000000000000001</v>
      </c>
      <c r="AN578" s="110">
        <v>0.12000000000000001</v>
      </c>
      <c r="AO578" s="110">
        <v>0.12000000000000001</v>
      </c>
      <c r="AP578" s="110">
        <v>0.12000000000000001</v>
      </c>
      <c r="AQ578" s="110">
        <v>0.12000000000000001</v>
      </c>
      <c r="AR578" s="110">
        <v>0.12000000000000001</v>
      </c>
      <c r="AS578" s="110">
        <v>0.12000000000000001</v>
      </c>
      <c r="AT578" s="110">
        <v>0.12000000000000001</v>
      </c>
      <c r="AU578" s="110">
        <v>0.12000000000000001</v>
      </c>
      <c r="AV578" s="110">
        <v>0.12000000000000001</v>
      </c>
      <c r="AW578" s="110">
        <v>0.12000000000000001</v>
      </c>
      <c r="AX578" s="110">
        <v>0.12000000000000001</v>
      </c>
      <c r="AY578" s="110">
        <v>0.12000000000000001</v>
      </c>
      <c r="AZ578" s="110">
        <v>0.12000000000000001</v>
      </c>
      <c r="BA578" s="110">
        <v>0.12000000000000001</v>
      </c>
      <c r="BB578" s="110">
        <v>0.12000000000000001</v>
      </c>
      <c r="BC578" s="110">
        <f t="shared" si="208"/>
        <v>0.12000000000000001</v>
      </c>
      <c r="BD578" s="110">
        <f t="shared" si="208"/>
        <v>0.12000000000000001</v>
      </c>
      <c r="BE578" s="110">
        <f t="shared" si="208"/>
        <v>0.12000000000000001</v>
      </c>
      <c r="BF578" s="110">
        <f t="shared" si="208"/>
        <v>0.12000000000000001</v>
      </c>
      <c r="BG578" s="110">
        <f t="shared" si="208"/>
        <v>0.12000000000000001</v>
      </c>
    </row>
    <row r="579" spans="1:59" ht="13.75" customHeight="1" outlineLevel="1">
      <c r="A579" s="141" t="s">
        <v>166</v>
      </c>
      <c r="B579" s="142" t="s">
        <v>530</v>
      </c>
      <c r="C579" s="170" t="s">
        <v>547</v>
      </c>
      <c r="D579" s="142" t="s">
        <v>377</v>
      </c>
      <c r="F579" s="168" t="s">
        <v>576</v>
      </c>
      <c r="G579" s="109" t="s">
        <v>3</v>
      </c>
      <c r="Z579" s="110">
        <v>0.16700000000000001</v>
      </c>
      <c r="AA579" s="110">
        <v>0.11</v>
      </c>
      <c r="AB579" s="110">
        <v>8.1000000000000003E-2</v>
      </c>
      <c r="AC579" s="110">
        <v>0.126</v>
      </c>
      <c r="AD579" s="110">
        <v>0.10299999999999999</v>
      </c>
      <c r="AE579" s="110">
        <v>0.128</v>
      </c>
      <c r="AF579" s="110">
        <v>0.12327762405460246</v>
      </c>
      <c r="AG579" s="110">
        <v>0.12555287537143855</v>
      </c>
      <c r="AH579" s="110">
        <v>0.1128674210437426</v>
      </c>
      <c r="AI579" s="110">
        <v>9.3606984022401571E-2</v>
      </c>
      <c r="AJ579" s="136">
        <v>8.2648381438367086E-2</v>
      </c>
      <c r="AK579" s="137">
        <v>8.2995417048579281E-2</v>
      </c>
      <c r="AL579" s="137">
        <v>8.3314470019058784E-2</v>
      </c>
      <c r="AM579" s="137">
        <v>8.2962628684247641E-2</v>
      </c>
      <c r="AN579" s="137">
        <v>8.2962628684247641E-2</v>
      </c>
      <c r="AO579" s="137">
        <v>8.2962628684247641E-2</v>
      </c>
      <c r="AP579" s="137">
        <v>8.2962628684247641E-2</v>
      </c>
      <c r="AQ579" s="137">
        <v>8.2962628684247641E-2</v>
      </c>
      <c r="AR579" s="137">
        <v>8.2962628684247641E-2</v>
      </c>
      <c r="AS579" s="137">
        <v>8.2962628684247641E-2</v>
      </c>
      <c r="AT579" s="137">
        <v>8.2962628684247641E-2</v>
      </c>
      <c r="AU579" s="137">
        <v>8.2962628684247641E-2</v>
      </c>
      <c r="AV579" s="137">
        <v>8.2962628684247641E-2</v>
      </c>
      <c r="AW579" s="137">
        <v>8.2962628684247641E-2</v>
      </c>
      <c r="AX579" s="137">
        <v>8.2962628684247641E-2</v>
      </c>
      <c r="AY579" s="137">
        <v>8.2962628684247641E-2</v>
      </c>
      <c r="AZ579" s="137">
        <v>8.2962628684247641E-2</v>
      </c>
      <c r="BA579" s="137">
        <v>8.2962628684247641E-2</v>
      </c>
      <c r="BB579" s="137">
        <v>8.2962628684247641E-2</v>
      </c>
      <c r="BC579" s="137">
        <f t="shared" si="208"/>
        <v>8.2962628684247641E-2</v>
      </c>
      <c r="BD579" s="137">
        <f t="shared" si="208"/>
        <v>8.2962628684247641E-2</v>
      </c>
      <c r="BE579" s="137">
        <f t="shared" si="208"/>
        <v>8.2962628684247641E-2</v>
      </c>
      <c r="BF579" s="137">
        <f t="shared" si="208"/>
        <v>8.2962628684247641E-2</v>
      </c>
      <c r="BG579" s="137">
        <f t="shared" si="208"/>
        <v>8.2962628684247641E-2</v>
      </c>
    </row>
    <row r="580" spans="1:59" ht="13.75" customHeight="1" outlineLevel="1">
      <c r="A580" s="141" t="s">
        <v>166</v>
      </c>
      <c r="B580" s="142" t="s">
        <v>530</v>
      </c>
      <c r="C580" s="170" t="s">
        <v>547</v>
      </c>
      <c r="D580" s="142" t="s">
        <v>377</v>
      </c>
      <c r="F580" s="168" t="s">
        <v>577</v>
      </c>
      <c r="G580" s="109" t="s">
        <v>3</v>
      </c>
      <c r="Z580" s="107">
        <v>0.12619874407392062</v>
      </c>
      <c r="AA580" s="107">
        <v>9.4974148880558482E-2</v>
      </c>
      <c r="AB580" s="107">
        <v>0.10065583890437556</v>
      </c>
      <c r="AC580" s="107">
        <v>0.11636986301369862</v>
      </c>
      <c r="AD580" s="107">
        <v>0.11796381173895197</v>
      </c>
      <c r="AE580" s="107">
        <v>9.8000000000000004E-2</v>
      </c>
      <c r="AF580" s="107">
        <v>9.403684803499239E-2</v>
      </c>
      <c r="AG580" s="107">
        <v>9.0125880571466213E-2</v>
      </c>
      <c r="AH580" s="107">
        <v>8.2995748577408629E-2</v>
      </c>
      <c r="AI580" s="107">
        <v>8.1924075150106565E-2</v>
      </c>
      <c r="AJ580" s="138">
        <v>8.0879724647842488E-2</v>
      </c>
      <c r="AK580" s="139">
        <v>7.9861665303039883E-2</v>
      </c>
      <c r="AL580" s="139">
        <v>8.0012539574151137E-2</v>
      </c>
      <c r="AM580" s="139">
        <v>8.0159348398554764E-2</v>
      </c>
      <c r="AN580" s="139">
        <v>8.0159348398554764E-2</v>
      </c>
      <c r="AO580" s="139">
        <v>8.0159348398554764E-2</v>
      </c>
      <c r="AP580" s="139">
        <v>8.0159348398554764E-2</v>
      </c>
      <c r="AQ580" s="139">
        <v>8.0159348398554764E-2</v>
      </c>
      <c r="AR580" s="139">
        <v>8.0159348398554764E-2</v>
      </c>
      <c r="AS580" s="139">
        <v>8.0159348398554764E-2</v>
      </c>
      <c r="AT580" s="139">
        <v>8.0159348398554764E-2</v>
      </c>
      <c r="AU580" s="139">
        <v>8.0159348398554764E-2</v>
      </c>
      <c r="AV580" s="139">
        <v>8.0159348398554764E-2</v>
      </c>
      <c r="AW580" s="139">
        <v>8.0159348398554764E-2</v>
      </c>
      <c r="AX580" s="139">
        <v>8.0159348398554764E-2</v>
      </c>
      <c r="AY580" s="139">
        <v>8.0159348398554764E-2</v>
      </c>
      <c r="AZ580" s="139">
        <v>8.0159348398554764E-2</v>
      </c>
      <c r="BA580" s="139">
        <v>8.0159348398554764E-2</v>
      </c>
      <c r="BB580" s="139">
        <v>8.0159348398554764E-2</v>
      </c>
      <c r="BC580" s="139">
        <f t="shared" si="208"/>
        <v>8.0159348398554764E-2</v>
      </c>
      <c r="BD580" s="139">
        <f t="shared" si="208"/>
        <v>8.0159348398554764E-2</v>
      </c>
      <c r="BE580" s="139">
        <f t="shared" si="208"/>
        <v>8.0159348398554764E-2</v>
      </c>
      <c r="BF580" s="139">
        <f t="shared" si="208"/>
        <v>8.0159348398554764E-2</v>
      </c>
      <c r="BG580" s="139">
        <f t="shared" si="208"/>
        <v>8.0159348398554764E-2</v>
      </c>
    </row>
    <row r="581" spans="1:59" ht="13.75" customHeight="1" outlineLevel="1">
      <c r="A581" s="141" t="s">
        <v>166</v>
      </c>
      <c r="B581" s="142" t="s">
        <v>530</v>
      </c>
      <c r="C581" s="170" t="s">
        <v>551</v>
      </c>
      <c r="D581" s="142" t="s">
        <v>377</v>
      </c>
      <c r="F581" s="168" t="s">
        <v>578</v>
      </c>
      <c r="G581" s="109" t="s">
        <v>3</v>
      </c>
      <c r="Z581" s="107">
        <v>7.9000000000000001E-2</v>
      </c>
      <c r="AA581" s="107">
        <v>6.2E-2</v>
      </c>
      <c r="AB581" s="107">
        <v>3.6999999999999998E-2</v>
      </c>
      <c r="AC581" s="107">
        <v>3.4999999999999996E-2</v>
      </c>
      <c r="AD581" s="107">
        <v>0.01</v>
      </c>
      <c r="AE581" s="107">
        <v>1.7999999999999999E-2</v>
      </c>
      <c r="AF581" s="107">
        <v>3.0264701918325171E-2</v>
      </c>
      <c r="AG581" s="107">
        <v>4.3636216377509689E-2</v>
      </c>
      <c r="AH581" s="107">
        <v>4.5940635348951306E-2</v>
      </c>
      <c r="AI581" s="107">
        <v>4.5996363492628159E-2</v>
      </c>
      <c r="AJ581" s="107">
        <v>4.6048509889437234E-2</v>
      </c>
      <c r="AK581" s="107">
        <v>4.6048509889437234E-2</v>
      </c>
      <c r="AL581" s="107">
        <v>4.6048509889437234E-2</v>
      </c>
      <c r="AM581" s="107">
        <v>4.6048509889437234E-2</v>
      </c>
      <c r="AN581" s="107">
        <v>4.6048509889437234E-2</v>
      </c>
      <c r="AO581" s="107">
        <v>4.6048509889437234E-2</v>
      </c>
      <c r="AP581" s="107">
        <v>4.6048509889437234E-2</v>
      </c>
      <c r="AQ581" s="107">
        <v>4.6048509889437234E-2</v>
      </c>
      <c r="AR581" s="107">
        <v>4.6048509889437234E-2</v>
      </c>
      <c r="AS581" s="107">
        <v>4.6048509889437234E-2</v>
      </c>
      <c r="AT581" s="107">
        <v>4.6048509889437234E-2</v>
      </c>
      <c r="AU581" s="107">
        <v>4.6048509889437234E-2</v>
      </c>
      <c r="AV581" s="107">
        <v>4.6048509889437234E-2</v>
      </c>
      <c r="AW581" s="107">
        <v>4.6048509889437234E-2</v>
      </c>
      <c r="AX581" s="107">
        <v>4.6048509889437234E-2</v>
      </c>
      <c r="AY581" s="107">
        <v>4.6048509889437234E-2</v>
      </c>
      <c r="AZ581" s="107">
        <v>4.6048509889437234E-2</v>
      </c>
      <c r="BA581" s="107">
        <v>4.6048509889437234E-2</v>
      </c>
      <c r="BB581" s="107">
        <v>4.6048509889437234E-2</v>
      </c>
      <c r="BC581" s="107">
        <f t="shared" si="208"/>
        <v>4.6048509889437234E-2</v>
      </c>
      <c r="BD581" s="107">
        <f t="shared" si="208"/>
        <v>4.6048509889437234E-2</v>
      </c>
      <c r="BE581" s="107">
        <f t="shared" si="208"/>
        <v>4.6048509889437234E-2</v>
      </c>
      <c r="BF581" s="107">
        <f t="shared" si="208"/>
        <v>4.6048509889437234E-2</v>
      </c>
      <c r="BG581" s="107">
        <f t="shared" si="208"/>
        <v>4.6048509889437234E-2</v>
      </c>
    </row>
    <row r="582" spans="1:59" ht="13.75" customHeight="1" outlineLevel="1">
      <c r="A582" s="141" t="s">
        <v>166</v>
      </c>
      <c r="B582" s="142" t="s">
        <v>530</v>
      </c>
      <c r="C582" s="170" t="s">
        <v>551</v>
      </c>
      <c r="D582" s="142" t="s">
        <v>377</v>
      </c>
      <c r="F582" s="168" t="s">
        <v>579</v>
      </c>
      <c r="G582" s="109" t="s">
        <v>3</v>
      </c>
      <c r="Z582" s="107">
        <v>7.9000000000000001E-2</v>
      </c>
      <c r="AA582" s="107">
        <v>6.2E-2</v>
      </c>
      <c r="AB582" s="107">
        <v>3.6999999999999998E-2</v>
      </c>
      <c r="AC582" s="107">
        <v>3.4999999999999996E-2</v>
      </c>
      <c r="AD582" s="107">
        <v>0.01</v>
      </c>
      <c r="AE582" s="107">
        <v>1.7999999999999999E-2</v>
      </c>
      <c r="AF582" s="107">
        <v>3.0264701918325171E-2</v>
      </c>
      <c r="AG582" s="107">
        <v>4.3636216377509689E-2</v>
      </c>
      <c r="AH582" s="107">
        <v>4.5940635348951306E-2</v>
      </c>
      <c r="AI582" s="107">
        <v>4.5996363492628159E-2</v>
      </c>
      <c r="AJ582" s="107">
        <v>4.6048509889437234E-2</v>
      </c>
      <c r="AK582" s="107">
        <v>4.6048509889437234E-2</v>
      </c>
      <c r="AL582" s="107">
        <v>4.6048509889437234E-2</v>
      </c>
      <c r="AM582" s="107">
        <v>4.6048509889437234E-2</v>
      </c>
      <c r="AN582" s="107">
        <v>4.6048509889437234E-2</v>
      </c>
      <c r="AO582" s="107">
        <v>4.6048509889437234E-2</v>
      </c>
      <c r="AP582" s="107">
        <v>4.6048509889437234E-2</v>
      </c>
      <c r="AQ582" s="107">
        <v>4.6048509889437234E-2</v>
      </c>
      <c r="AR582" s="107">
        <v>4.6048509889437234E-2</v>
      </c>
      <c r="AS582" s="107">
        <v>4.6048509889437234E-2</v>
      </c>
      <c r="AT582" s="107">
        <v>4.6048509889437234E-2</v>
      </c>
      <c r="AU582" s="107">
        <v>4.6048509889437234E-2</v>
      </c>
      <c r="AV582" s="107">
        <v>4.6048509889437234E-2</v>
      </c>
      <c r="AW582" s="107">
        <v>4.6048509889437234E-2</v>
      </c>
      <c r="AX582" s="107">
        <v>4.6048509889437234E-2</v>
      </c>
      <c r="AY582" s="107">
        <v>4.6048509889437234E-2</v>
      </c>
      <c r="AZ582" s="107">
        <v>4.6048509889437234E-2</v>
      </c>
      <c r="BA582" s="107">
        <v>4.6048509889437234E-2</v>
      </c>
      <c r="BB582" s="107">
        <v>4.6048509889437234E-2</v>
      </c>
      <c r="BC582" s="107">
        <f t="shared" si="208"/>
        <v>4.6048509889437234E-2</v>
      </c>
      <c r="BD582" s="107">
        <f t="shared" si="208"/>
        <v>4.6048509889437234E-2</v>
      </c>
      <c r="BE582" s="107">
        <f t="shared" si="208"/>
        <v>4.6048509889437234E-2</v>
      </c>
      <c r="BF582" s="107">
        <f t="shared" si="208"/>
        <v>4.6048509889437234E-2</v>
      </c>
      <c r="BG582" s="107">
        <f t="shared" si="208"/>
        <v>4.6048509889437234E-2</v>
      </c>
    </row>
    <row r="583" spans="1:59" ht="13.75" customHeight="1" outlineLevel="1">
      <c r="A583" s="141" t="s">
        <v>166</v>
      </c>
      <c r="B583" s="142" t="s">
        <v>530</v>
      </c>
      <c r="C583" s="142" t="s">
        <v>537</v>
      </c>
      <c r="D583" s="142" t="s">
        <v>168</v>
      </c>
      <c r="F583" s="168" t="s">
        <v>580</v>
      </c>
      <c r="G583" s="109" t="s">
        <v>3</v>
      </c>
      <c r="Z583" s="123">
        <v>-3.3299611005828123E-3</v>
      </c>
      <c r="AA583" s="123">
        <v>0.13792240729806582</v>
      </c>
      <c r="AB583" s="123">
        <v>-1.6097825731896331E-2</v>
      </c>
      <c r="AC583" s="123">
        <v>-2.4732708237298118E-2</v>
      </c>
      <c r="AD583" s="123">
        <v>0.17651656794507198</v>
      </c>
      <c r="AE583" s="123">
        <v>-0.21723584184397404</v>
      </c>
      <c r="AF583" s="123">
        <v>0.15261871704146968</v>
      </c>
      <c r="AG583" s="123">
        <v>-0.10586241308989996</v>
      </c>
      <c r="AH583" s="123">
        <v>3.150350937989943E-2</v>
      </c>
      <c r="AI583" s="123">
        <v>6.3405205685649779E-2</v>
      </c>
      <c r="AJ583" s="123">
        <v>4.1759020366418431E-2</v>
      </c>
      <c r="AK583" s="123">
        <v>5.577069131379897E-3</v>
      </c>
      <c r="AL583" s="123">
        <v>5.4242930187644589E-3</v>
      </c>
      <c r="AM583" s="123">
        <v>5.2710778979092598E-3</v>
      </c>
      <c r="AN583" s="123">
        <v>5.1178241902911648E-3</v>
      </c>
      <c r="AO583" s="123">
        <v>4.9649102738142936E-3</v>
      </c>
      <c r="AP583" s="123">
        <v>4.8126915763315736E-3</v>
      </c>
      <c r="AQ583" s="123">
        <v>4.6614999364027465E-3</v>
      </c>
      <c r="AR583" s="123">
        <v>4.5116432151219854E-3</v>
      </c>
      <c r="AS583" s="123">
        <v>4.3634051408305563E-3</v>
      </c>
      <c r="AT583" s="123">
        <v>4.2170453670919983E-3</v>
      </c>
      <c r="AU583" s="123">
        <v>4.072799723313425E-3</v>
      </c>
      <c r="AV583" s="123">
        <v>3.930880636928924E-3</v>
      </c>
      <c r="AW583" s="123">
        <v>3.7914777059715465E-3</v>
      </c>
      <c r="AX583" s="123">
        <v>3.654758401140823E-3</v>
      </c>
      <c r="AY583" s="123">
        <v>3.5208688770778096E-3</v>
      </c>
      <c r="AZ583" s="123">
        <v>3.5208688770778096E-3</v>
      </c>
      <c r="BA583" s="123">
        <v>3.5208688770778096E-3</v>
      </c>
      <c r="BB583" s="123">
        <v>3.5208688770778096E-3</v>
      </c>
      <c r="BC583" s="123">
        <f t="shared" si="208"/>
        <v>3.5208688770778096E-3</v>
      </c>
      <c r="BD583" s="123">
        <f t="shared" si="208"/>
        <v>3.5208688770778096E-3</v>
      </c>
      <c r="BE583" s="123">
        <f t="shared" si="208"/>
        <v>3.5208688770778096E-3</v>
      </c>
      <c r="BF583" s="123">
        <f t="shared" si="208"/>
        <v>3.5208688770778096E-3</v>
      </c>
      <c r="BG583" s="123">
        <f t="shared" si="208"/>
        <v>3.5208688770778096E-3</v>
      </c>
    </row>
    <row r="584" spans="1:59" ht="13.75" customHeight="1" outlineLevel="1">
      <c r="A584" s="141" t="s">
        <v>166</v>
      </c>
      <c r="B584" s="142" t="s">
        <v>530</v>
      </c>
      <c r="C584" s="142" t="s">
        <v>537</v>
      </c>
      <c r="D584" s="142" t="s">
        <v>377</v>
      </c>
      <c r="F584" s="168" t="s">
        <v>581</v>
      </c>
      <c r="G584" s="109" t="s">
        <v>3</v>
      </c>
      <c r="Z584" s="123">
        <v>-2.9793464113103907E-2</v>
      </c>
      <c r="AA584" s="123">
        <v>7.2205955206304573E-2</v>
      </c>
      <c r="AB584" s="123">
        <v>9.0944429488471368E-2</v>
      </c>
      <c r="AC584" s="123">
        <v>0.17263326754274377</v>
      </c>
      <c r="AD584" s="123">
        <v>0.29269173529089887</v>
      </c>
      <c r="AE584" s="123">
        <v>0.24596081103355538</v>
      </c>
      <c r="AF584" s="123">
        <v>6.8460103266909655E-4</v>
      </c>
      <c r="AG584" s="123">
        <v>-1.802741615485437E-3</v>
      </c>
      <c r="AH584" s="123">
        <v>1.1016023601913005E-2</v>
      </c>
      <c r="AI584" s="123">
        <v>3.7934517218586317E-2</v>
      </c>
      <c r="AJ584" s="123">
        <v>3.6530164742176074E-2</v>
      </c>
      <c r="AK584" s="123">
        <v>3.7077271065663053E-2</v>
      </c>
      <c r="AL584" s="123">
        <v>3.7612718385951149E-2</v>
      </c>
      <c r="AM584" s="123">
        <v>3.8136208426191587E-2</v>
      </c>
      <c r="AN584" s="123">
        <v>3.864748615427982E-2</v>
      </c>
      <c r="AO584" s="123">
        <v>3.9146338981823403E-2</v>
      </c>
      <c r="AP584" s="123">
        <v>3.9632595715547891E-2</v>
      </c>
      <c r="AQ584" s="123">
        <v>4.0106125287229677E-2</v>
      </c>
      <c r="AR584" s="123">
        <v>4.0566835289033154E-2</v>
      </c>
      <c r="AS584" s="123">
        <v>4.1014670341494863E-2</v>
      </c>
      <c r="AT584" s="123">
        <v>4.1449610321248054E-2</v>
      </c>
      <c r="AU584" s="123">
        <v>4.1871668475035317E-2</v>
      </c>
      <c r="AV584" s="123">
        <v>4.2280889445668102E-2</v>
      </c>
      <c r="AW584" s="123">
        <v>4.2677347234382212E-2</v>
      </c>
      <c r="AX584" s="123">
        <v>4.3061143122579137E-2</v>
      </c>
      <c r="AY584" s="123">
        <v>4.3432403574302558E-2</v>
      </c>
      <c r="AZ584" s="123">
        <v>4.3432403574302558E-2</v>
      </c>
      <c r="BA584" s="123">
        <v>4.3432403574302558E-2</v>
      </c>
      <c r="BB584" s="123">
        <v>4.3432403574302558E-2</v>
      </c>
      <c r="BC584" s="123">
        <f t="shared" si="208"/>
        <v>4.3432403574302558E-2</v>
      </c>
      <c r="BD584" s="123">
        <f t="shared" si="208"/>
        <v>4.3432403574302558E-2</v>
      </c>
      <c r="BE584" s="123">
        <f t="shared" si="208"/>
        <v>4.3432403574302558E-2</v>
      </c>
      <c r="BF584" s="123">
        <f t="shared" si="208"/>
        <v>4.3432403574302558E-2</v>
      </c>
      <c r="BG584" s="123">
        <f t="shared" si="208"/>
        <v>4.3432403574302558E-2</v>
      </c>
    </row>
    <row r="585" spans="1:59" ht="13.75" customHeight="1" outlineLevel="1">
      <c r="A585" s="141" t="s">
        <v>166</v>
      </c>
      <c r="B585" s="142" t="s">
        <v>530</v>
      </c>
      <c r="C585" s="142" t="s">
        <v>537</v>
      </c>
      <c r="D585" s="142" t="s">
        <v>168</v>
      </c>
      <c r="F585" s="168" t="s">
        <v>582</v>
      </c>
      <c r="Z585" s="123">
        <v>0.48251546153401548</v>
      </c>
      <c r="AA585" s="123">
        <v>0.44908693090970297</v>
      </c>
      <c r="AB585" s="123">
        <v>1.7935092966307575E-2</v>
      </c>
      <c r="AC585" s="123">
        <v>5.7107540173053195E-2</v>
      </c>
      <c r="AD585" s="123">
        <v>0.29510865654457796</v>
      </c>
      <c r="AE585" s="123">
        <v>-0.15234920304198352</v>
      </c>
      <c r="AF585" s="123">
        <v>0.22185358893811191</v>
      </c>
      <c r="AG585" s="123">
        <v>-0.13679041041373496</v>
      </c>
      <c r="AH585" s="123">
        <v>1.6842994782897192E-2</v>
      </c>
      <c r="AI585" s="123">
        <v>3.9927409712223083E-2</v>
      </c>
      <c r="AJ585" s="123">
        <v>2.5901288779932363E-2</v>
      </c>
      <c r="AK585" s="123">
        <v>2.4278074363749846E-2</v>
      </c>
      <c r="AL585" s="123">
        <v>2.3205426129778051E-2</v>
      </c>
      <c r="AM585" s="123">
        <v>2.2180095346201023E-2</v>
      </c>
      <c r="AN585" s="123">
        <v>2.1199529878058065E-2</v>
      </c>
      <c r="AO585" s="123">
        <v>2.0261410521587475E-2</v>
      </c>
      <c r="AP585" s="123">
        <v>1.9363619283667033E-2</v>
      </c>
      <c r="AQ585" s="123">
        <v>1.8504212454972135E-2</v>
      </c>
      <c r="AR585" s="123">
        <v>1.7681397722057568E-2</v>
      </c>
      <c r="AS585" s="123">
        <v>1.6893514692939648E-2</v>
      </c>
      <c r="AT585" s="123">
        <v>1.6139018315103115E-2</v>
      </c>
      <c r="AU585" s="123">
        <v>1.5416464749596681E-2</v>
      </c>
      <c r="AV585" s="123">
        <v>1.4724499334172192E-2</v>
      </c>
      <c r="AW585" s="123">
        <v>1.4061846325366556E-2</v>
      </c>
      <c r="AX585" s="123">
        <v>1.3427300156628963E-2</v>
      </c>
      <c r="AY585" s="123">
        <v>1.2819717988823198E-2</v>
      </c>
      <c r="AZ585" s="123">
        <v>1.2819717988823198E-2</v>
      </c>
      <c r="BA585" s="123">
        <v>1.2819717988823198E-2</v>
      </c>
      <c r="BB585" s="123">
        <v>1.2819717988823198E-2</v>
      </c>
      <c r="BC585" s="123">
        <f t="shared" si="208"/>
        <v>1.2819717988823198E-2</v>
      </c>
      <c r="BD585" s="123">
        <f t="shared" si="208"/>
        <v>1.2819717988823198E-2</v>
      </c>
      <c r="BE585" s="123">
        <f t="shared" si="208"/>
        <v>1.2819717988823198E-2</v>
      </c>
      <c r="BF585" s="123">
        <f t="shared" si="208"/>
        <v>1.2819717988823198E-2</v>
      </c>
      <c r="BG585" s="123">
        <f t="shared" si="208"/>
        <v>1.2819717988823198E-2</v>
      </c>
    </row>
    <row r="586" spans="1:59" ht="13.75" customHeight="1" outlineLevel="1">
      <c r="A586" s="141" t="s">
        <v>166</v>
      </c>
      <c r="B586" s="142" t="s">
        <v>530</v>
      </c>
      <c r="C586" s="142" t="s">
        <v>537</v>
      </c>
      <c r="D586" s="142" t="s">
        <v>377</v>
      </c>
      <c r="F586" s="168" t="s">
        <v>583</v>
      </c>
      <c r="Z586" s="123">
        <v>-1.2027357856432386E-2</v>
      </c>
      <c r="AA586" s="123">
        <v>5.8743262987340561E-2</v>
      </c>
      <c r="AB586" s="123">
        <v>0.16248794340150852</v>
      </c>
      <c r="AC586" s="123">
        <v>0.22457006049217587</v>
      </c>
      <c r="AD586" s="123">
        <v>0.26220347263749333</v>
      </c>
      <c r="AE586" s="123">
        <v>6.9578874458237072E-2</v>
      </c>
      <c r="AF586" s="123">
        <v>2.4543335073936579E-3</v>
      </c>
      <c r="AG586" s="123">
        <v>-2.0345604016831498E-3</v>
      </c>
      <c r="AH586" s="123">
        <v>1.0847316820223218E-2</v>
      </c>
      <c r="AI586" s="123">
        <v>3.7359796727597816E-2</v>
      </c>
      <c r="AJ586" s="123">
        <v>3.5996652562582554E-2</v>
      </c>
      <c r="AK586" s="123">
        <v>3.6554583561593246E-2</v>
      </c>
      <c r="AL586" s="123">
        <v>3.7101181563468755E-2</v>
      </c>
      <c r="AM586" s="123">
        <v>3.763610645941351E-2</v>
      </c>
      <c r="AN586" s="123">
        <v>3.8159061896858359E-2</v>
      </c>
      <c r="AO586" s="123">
        <v>3.8669794738154684E-2</v>
      </c>
      <c r="AP586" s="123">
        <v>3.9168094248067442E-2</v>
      </c>
      <c r="AQ586" s="123">
        <v>3.9653791034837349E-2</v>
      </c>
      <c r="AR586" s="123">
        <v>4.0126755770939271E-2</v>
      </c>
      <c r="AS586" s="123">
        <v>4.0586897720451098E-2</v>
      </c>
      <c r="AT586" s="123">
        <v>4.1034163100269083E-2</v>
      </c>
      <c r="AU586" s="123">
        <v>4.1468533302250199E-2</v>
      </c>
      <c r="AV586" s="123">
        <v>4.1890023002802312E-2</v>
      </c>
      <c r="AW586" s="123">
        <v>4.2298678185526128E-2</v>
      </c>
      <c r="AX586" s="123">
        <v>4.2694574101299843E-2</v>
      </c>
      <c r="AY586" s="123">
        <v>4.307781318873305E-2</v>
      </c>
      <c r="AZ586" s="123">
        <v>4.307781318873305E-2</v>
      </c>
      <c r="BA586" s="123">
        <v>4.307781318873305E-2</v>
      </c>
      <c r="BB586" s="123">
        <v>4.307781318873305E-2</v>
      </c>
      <c r="BC586" s="123">
        <f t="shared" si="208"/>
        <v>4.307781318873305E-2</v>
      </c>
      <c r="BD586" s="123">
        <f t="shared" si="208"/>
        <v>4.307781318873305E-2</v>
      </c>
      <c r="BE586" s="123">
        <f t="shared" si="208"/>
        <v>4.307781318873305E-2</v>
      </c>
      <c r="BF586" s="123">
        <f t="shared" si="208"/>
        <v>4.307781318873305E-2</v>
      </c>
      <c r="BG586" s="123">
        <f t="shared" si="208"/>
        <v>4.307781318873305E-2</v>
      </c>
    </row>
    <row r="587" spans="1:59" ht="13.75" customHeight="1" outlineLevel="1">
      <c r="A587" s="141" t="s">
        <v>166</v>
      </c>
      <c r="B587" s="142" t="s">
        <v>530</v>
      </c>
      <c r="C587" s="142" t="s">
        <v>537</v>
      </c>
      <c r="D587" s="142" t="s">
        <v>168</v>
      </c>
      <c r="F587" s="168" t="s">
        <v>584</v>
      </c>
      <c r="Z587" s="123">
        <v>2.5700579565434367E-2</v>
      </c>
      <c r="AA587" s="123">
        <v>-9.7009713668973374E-2</v>
      </c>
      <c r="AB587" s="123">
        <v>-4.1751622958119516E-2</v>
      </c>
      <c r="AC587" s="123">
        <v>-7.4350351574442586E-3</v>
      </c>
      <c r="AD587" s="123">
        <v>0.43297152783766801</v>
      </c>
      <c r="AE587" s="123">
        <v>-0.30334451036024412</v>
      </c>
      <c r="AF587" s="123">
        <v>-0.1420308962039295</v>
      </c>
      <c r="AG587" s="123">
        <v>-4.9849109019436844E-2</v>
      </c>
      <c r="AH587" s="123">
        <v>6.9237294810661432E-2</v>
      </c>
      <c r="AI587" s="123">
        <v>6.8994955145691428E-2</v>
      </c>
      <c r="AJ587" s="123">
        <v>0</v>
      </c>
      <c r="AK587" s="123">
        <v>0</v>
      </c>
      <c r="AL587" s="123">
        <v>0</v>
      </c>
      <c r="AM587" s="123">
        <v>0</v>
      </c>
      <c r="AN587" s="123">
        <v>0</v>
      </c>
      <c r="AO587" s="123">
        <v>0</v>
      </c>
      <c r="AP587" s="123">
        <v>0</v>
      </c>
      <c r="AQ587" s="123">
        <v>0</v>
      </c>
      <c r="AR587" s="123">
        <v>0</v>
      </c>
      <c r="AS587" s="123">
        <v>0</v>
      </c>
      <c r="AT587" s="123">
        <v>0</v>
      </c>
      <c r="AU587" s="123">
        <v>0</v>
      </c>
      <c r="AV587" s="123">
        <v>0</v>
      </c>
      <c r="AW587" s="123">
        <v>0</v>
      </c>
      <c r="AX587" s="123">
        <v>0</v>
      </c>
      <c r="AY587" s="123">
        <v>0</v>
      </c>
      <c r="AZ587" s="123">
        <v>0</v>
      </c>
      <c r="BA587" s="123">
        <v>0</v>
      </c>
      <c r="BB587" s="123">
        <v>0</v>
      </c>
      <c r="BC587" s="123">
        <v>0</v>
      </c>
      <c r="BD587" s="123">
        <v>0</v>
      </c>
      <c r="BE587" s="123">
        <v>0</v>
      </c>
      <c r="BF587" s="123">
        <v>0</v>
      </c>
      <c r="BG587" s="123">
        <v>0</v>
      </c>
    </row>
    <row r="588" spans="1:59" ht="13.75" customHeight="1" outlineLevel="1">
      <c r="A588" s="141" t="s">
        <v>166</v>
      </c>
      <c r="B588" s="142" t="s">
        <v>530</v>
      </c>
      <c r="C588" s="142" t="s">
        <v>537</v>
      </c>
      <c r="D588" s="142" t="s">
        <v>377</v>
      </c>
      <c r="F588" s="168" t="s">
        <v>585</v>
      </c>
      <c r="Z588" s="123">
        <v>8.3000000000000001E-3</v>
      </c>
      <c r="AA588" s="123">
        <v>5.315383809287999E-2</v>
      </c>
      <c r="AB588" s="123">
        <v>0.11207899456446047</v>
      </c>
      <c r="AC588" s="123">
        <v>0.19952814736283075</v>
      </c>
      <c r="AD588" s="123">
        <v>0.27883746730684811</v>
      </c>
      <c r="AE588" s="123">
        <v>0.16698338562776094</v>
      </c>
      <c r="AF588" s="123">
        <v>-5.7162384374570219E-2</v>
      </c>
      <c r="AG588" s="123">
        <v>-3.4753153739249809E-3</v>
      </c>
      <c r="AH588" s="123">
        <v>1.2213899730816324E-2</v>
      </c>
      <c r="AI588" s="123">
        <v>4.2009720874808698E-2</v>
      </c>
      <c r="AJ588" s="123">
        <v>4.0296288752055487E-2</v>
      </c>
      <c r="AK588" s="123">
        <v>4.0751732540422303E-2</v>
      </c>
      <c r="AL588" s="123">
        <v>4.1194288983712468E-2</v>
      </c>
      <c r="AM588" s="123">
        <v>4.162395185349399E-2</v>
      </c>
      <c r="AN588" s="123">
        <v>4.2040747492519959E-2</v>
      </c>
      <c r="AO588" s="123">
        <v>4.2444732811774522E-2</v>
      </c>
      <c r="AP588" s="123">
        <v>4.2835993233504732E-2</v>
      </c>
      <c r="AQ588" s="123">
        <v>4.3214640602597054E-2</v>
      </c>
      <c r="AR588" s="123">
        <v>4.3580811086915805E-2</v>
      </c>
      <c r="AS588" s="123">
        <v>4.3934663085399395E-2</v>
      </c>
      <c r="AT588" s="123">
        <v>4.4276375160816173E-2</v>
      </c>
      <c r="AU588" s="123">
        <v>4.4606144012114379E-2</v>
      </c>
      <c r="AV588" s="123">
        <v>4.4924182499402887E-2</v>
      </c>
      <c r="AW588" s="123">
        <v>4.5230717732675396E-2</v>
      </c>
      <c r="AX588" s="123">
        <v>4.5525989233587749E-2</v>
      </c>
      <c r="AY588" s="123">
        <v>4.5810247177841656E-2</v>
      </c>
      <c r="AZ588" s="123">
        <v>4.5810247177841656E-2</v>
      </c>
      <c r="BA588" s="123">
        <v>4.5810247177841656E-2</v>
      </c>
      <c r="BB588" s="123">
        <v>4.5810247177841656E-2</v>
      </c>
      <c r="BC588" s="123">
        <f t="shared" si="208"/>
        <v>4.5810247177841656E-2</v>
      </c>
      <c r="BD588" s="123">
        <f t="shared" si="208"/>
        <v>4.5810247177841656E-2</v>
      </c>
      <c r="BE588" s="123">
        <f t="shared" si="208"/>
        <v>4.5810247177841656E-2</v>
      </c>
      <c r="BF588" s="123">
        <f t="shared" si="208"/>
        <v>4.5810247177841656E-2</v>
      </c>
      <c r="BG588" s="123">
        <f t="shared" si="208"/>
        <v>4.5810247177841656E-2</v>
      </c>
    </row>
    <row r="589" spans="1:59" ht="13.75" customHeight="1" outlineLevel="1">
      <c r="A589" s="141" t="s">
        <v>166</v>
      </c>
      <c r="B589" s="142" t="s">
        <v>530</v>
      </c>
      <c r="C589" s="142" t="s">
        <v>537</v>
      </c>
      <c r="D589" s="142" t="s">
        <v>168</v>
      </c>
      <c r="F589" s="168" t="s">
        <v>586</v>
      </c>
      <c r="Z589" s="123">
        <v>9.4596474147223386E-2</v>
      </c>
      <c r="AA589" s="123">
        <v>0.41870105941962232</v>
      </c>
      <c r="AB589" s="123">
        <v>0.11496865203761764</v>
      </c>
      <c r="AC589" s="123">
        <v>-0.18614505618090349</v>
      </c>
      <c r="AD589" s="123">
        <v>-6.5279885504188728E-2</v>
      </c>
      <c r="AE589" s="123">
        <v>-0.18249736008447726</v>
      </c>
      <c r="AF589" s="123">
        <v>-0.11559580121197421</v>
      </c>
      <c r="AG589" s="123">
        <v>-8.6733451243717785E-2</v>
      </c>
      <c r="AH589" s="123">
        <v>3.2176626925756624E-2</v>
      </c>
      <c r="AI589" s="123">
        <v>5.5172125300110952E-2</v>
      </c>
      <c r="AJ589" s="123">
        <v>2.2471898213664465E-2</v>
      </c>
      <c r="AK589" s="123">
        <v>2.0961091916283925E-2</v>
      </c>
      <c r="AL589" s="123">
        <v>1.9943334399885604E-2</v>
      </c>
      <c r="AM589" s="123">
        <v>1.8977725591212247E-2</v>
      </c>
      <c r="AN589" s="123">
        <v>1.8061016381823336E-2</v>
      </c>
      <c r="AO589" s="123">
        <v>1.7190252074227308E-2</v>
      </c>
      <c r="AP589" s="123">
        <v>1.6362734719713057E-2</v>
      </c>
      <c r="AQ589" s="123">
        <v>1.5575991199896944E-2</v>
      </c>
      <c r="AR589" s="123">
        <v>1.482774609241555E-2</v>
      </c>
      <c r="AS589" s="123">
        <v>1.4115898535444815E-2</v>
      </c>
      <c r="AT589" s="123">
        <v>1.3438502445332512E-2</v>
      </c>
      <c r="AU589" s="123">
        <v>1.2793749553993816E-2</v>
      </c>
      <c r="AV589" s="123">
        <v>1.2179954823795081E-2</v>
      </c>
      <c r="AW589" s="123">
        <v>1.1595543871787406E-2</v>
      </c>
      <c r="AX589" s="123">
        <v>1.1039042095826623E-2</v>
      </c>
      <c r="AY589" s="123">
        <v>1.0509065245031701E-2</v>
      </c>
      <c r="AZ589" s="123">
        <v>1.0509065245031701E-2</v>
      </c>
      <c r="BA589" s="123">
        <v>1.0509065245031701E-2</v>
      </c>
      <c r="BB589" s="123">
        <v>1.0509065245031701E-2</v>
      </c>
      <c r="BC589" s="123">
        <f t="shared" si="208"/>
        <v>1.0509065245031701E-2</v>
      </c>
      <c r="BD589" s="123">
        <f t="shared" si="208"/>
        <v>1.0509065245031701E-2</v>
      </c>
      <c r="BE589" s="123">
        <f t="shared" si="208"/>
        <v>1.0509065245031701E-2</v>
      </c>
      <c r="BF589" s="123">
        <f t="shared" si="208"/>
        <v>1.0509065245031701E-2</v>
      </c>
      <c r="BG589" s="123">
        <f t="shared" si="208"/>
        <v>1.0509065245031701E-2</v>
      </c>
    </row>
    <row r="590" spans="1:59" ht="13.75" customHeight="1" outlineLevel="1">
      <c r="A590" s="141" t="s">
        <v>166</v>
      </c>
      <c r="B590" s="142" t="s">
        <v>530</v>
      </c>
      <c r="C590" s="142" t="s">
        <v>537</v>
      </c>
      <c r="D590" s="142" t="s">
        <v>377</v>
      </c>
      <c r="F590" s="168" t="s">
        <v>587</v>
      </c>
      <c r="Z590" s="123">
        <v>7.3363502287884241E-3</v>
      </c>
      <c r="AA590" s="123">
        <v>7.7996094415240469E-2</v>
      </c>
      <c r="AB590" s="123">
        <v>0.11273666302990182</v>
      </c>
      <c r="AC590" s="123">
        <v>0.18754164492381009</v>
      </c>
      <c r="AD590" s="123">
        <v>0.33081671194165563</v>
      </c>
      <c r="AE590" s="123">
        <v>0.21794652266472547</v>
      </c>
      <c r="AF590" s="123">
        <v>-6.7368013667747917E-2</v>
      </c>
      <c r="AG590" s="123">
        <v>-3.5514494251328577E-3</v>
      </c>
      <c r="AH590" s="123">
        <v>1.217494735138458E-2</v>
      </c>
      <c r="AI590" s="123">
        <v>4.1877355664554194E-2</v>
      </c>
      <c r="AJ590" s="123">
        <v>4.0174425571527506E-2</v>
      </c>
      <c r="AK590" s="123">
        <v>4.0633251907819634E-2</v>
      </c>
      <c r="AL590" s="123">
        <v>4.1079198186239507E-2</v>
      </c>
      <c r="AM590" s="123">
        <v>4.1512249292656955E-2</v>
      </c>
      <c r="AN590" s="123">
        <v>4.1932423198750346E-2</v>
      </c>
      <c r="AO590" s="123">
        <v>4.2339768977149417E-2</v>
      </c>
      <c r="AP590" s="123">
        <v>4.273436475643777E-2</v>
      </c>
      <c r="AQ590" s="123">
        <v>4.31163156387806E-2</v>
      </c>
      <c r="AR590" s="123">
        <v>4.3485751601266553E-2</v>
      </c>
      <c r="AS590" s="123">
        <v>4.3842825400249641E-2</v>
      </c>
      <c r="AT590" s="123">
        <v>4.4187710496093491E-2</v>
      </c>
      <c r="AU590" s="123">
        <v>4.4520599013775586E-2</v>
      </c>
      <c r="AV590" s="123">
        <v>4.4841699752875774E-2</v>
      </c>
      <c r="AW590" s="123">
        <v>4.515123625856976E-2</v>
      </c>
      <c r="AX590" s="123">
        <v>4.5449444963400643E-2</v>
      </c>
      <c r="AY590" s="123">
        <v>4.5736573407832992E-2</v>
      </c>
      <c r="AZ590" s="123">
        <v>4.5736573407832992E-2</v>
      </c>
      <c r="BA590" s="123">
        <v>4.5736573407832992E-2</v>
      </c>
      <c r="BB590" s="123">
        <v>4.5736573407832992E-2</v>
      </c>
      <c r="BC590" s="123">
        <f t="shared" si="208"/>
        <v>4.5736573407832992E-2</v>
      </c>
      <c r="BD590" s="123">
        <f t="shared" si="208"/>
        <v>4.5736573407832992E-2</v>
      </c>
      <c r="BE590" s="123">
        <f t="shared" si="208"/>
        <v>4.5736573407832992E-2</v>
      </c>
      <c r="BF590" s="123">
        <f t="shared" si="208"/>
        <v>4.5736573407832992E-2</v>
      </c>
      <c r="BG590" s="123">
        <f t="shared" si="208"/>
        <v>4.5736573407832992E-2</v>
      </c>
    </row>
    <row r="591" spans="1:59" ht="13.75" customHeight="1" outlineLevel="1">
      <c r="A591" s="141" t="s">
        <v>166</v>
      </c>
      <c r="B591" s="142" t="s">
        <v>530</v>
      </c>
      <c r="C591" s="142" t="s">
        <v>537</v>
      </c>
      <c r="D591" s="142" t="s">
        <v>377</v>
      </c>
      <c r="F591" s="168" t="s">
        <v>588</v>
      </c>
      <c r="AA591" s="123">
        <v>7.5681639297942027E-4</v>
      </c>
      <c r="AB591" s="123">
        <v>0.11429368485797742</v>
      </c>
      <c r="AC591" s="123">
        <v>0.19437875533891558</v>
      </c>
      <c r="AD591" s="123">
        <v>9.6226986892946398E-2</v>
      </c>
      <c r="AE591" s="123">
        <v>0.17027093891131173</v>
      </c>
      <c r="AF591" s="123">
        <v>2.2675403157631724E-2</v>
      </c>
      <c r="AG591" s="123">
        <v>2.4284636747028854E-2</v>
      </c>
      <c r="AH591" s="123">
        <v>4.2528326609100553E-2</v>
      </c>
      <c r="AI591" s="123">
        <v>4.0232354561074768E-2</v>
      </c>
      <c r="AJ591" s="123">
        <v>4.1579758181692794E-2</v>
      </c>
      <c r="AK591" s="123">
        <v>4.1997893166078715E-2</v>
      </c>
      <c r="AL591" s="123">
        <v>4.2403210530366886E-2</v>
      </c>
      <c r="AM591" s="123">
        <v>4.2795792821473055E-2</v>
      </c>
      <c r="AN591" s="123">
        <v>4.3175749227559512E-2</v>
      </c>
      <c r="AO591" s="123">
        <v>4.3543213478614451E-2</v>
      </c>
      <c r="AP591" s="123">
        <v>4.3898341752919734E-2</v>
      </c>
      <c r="AQ591" s="123">
        <v>4.4241310606501383E-2</v>
      </c>
      <c r="AR591" s="123">
        <v>4.4572314940714675E-2</v>
      </c>
      <c r="AS591" s="123">
        <v>4.4891566021180607E-2</v>
      </c>
      <c r="AT591" s="123">
        <v>4.5199289559406219E-2</v>
      </c>
      <c r="AU591" s="123">
        <v>4.5495723866556759E-2</v>
      </c>
      <c r="AV591" s="123">
        <v>4.5781118087135031E-2</v>
      </c>
      <c r="AW591" s="123">
        <v>4.6055730518648419E-2</v>
      </c>
      <c r="AX591" s="123">
        <v>4.6319827021827908E-2</v>
      </c>
      <c r="AY591" s="123">
        <v>4.6573679524567035E-2</v>
      </c>
      <c r="AZ591" s="123">
        <v>4.6573679524567035E-2</v>
      </c>
      <c r="BA591" s="123">
        <v>4.6573679524567035E-2</v>
      </c>
      <c r="BB591" s="123">
        <v>4.6573679524567035E-2</v>
      </c>
      <c r="BC591" s="123">
        <f t="shared" si="208"/>
        <v>4.6573679524567035E-2</v>
      </c>
      <c r="BD591" s="123">
        <f t="shared" si="208"/>
        <v>4.6573679524567035E-2</v>
      </c>
      <c r="BE591" s="123">
        <f t="shared" si="208"/>
        <v>4.6573679524567035E-2</v>
      </c>
      <c r="BF591" s="123">
        <f t="shared" si="208"/>
        <v>4.6573679524567035E-2</v>
      </c>
      <c r="BG591" s="123">
        <f t="shared" si="208"/>
        <v>4.6573679524567035E-2</v>
      </c>
    </row>
    <row r="592" spans="1:59" ht="13.75" customHeight="1" outlineLevel="1">
      <c r="A592" s="141" t="s">
        <v>166</v>
      </c>
      <c r="B592" s="142" t="s">
        <v>530</v>
      </c>
      <c r="C592" s="142" t="s">
        <v>537</v>
      </c>
      <c r="D592" s="142" t="s">
        <v>377</v>
      </c>
      <c r="F592" s="168" t="s">
        <v>589</v>
      </c>
      <c r="Z592" s="123">
        <v>-0.11329474024199371</v>
      </c>
      <c r="AA592" s="123">
        <v>-0.15663089467342861</v>
      </c>
      <c r="AB592" s="123">
        <v>-8.2394763945646154E-2</v>
      </c>
      <c r="AC592" s="123">
        <v>-0.19790723777109953</v>
      </c>
      <c r="AD592" s="123">
        <v>-2.708436780571466E-2</v>
      </c>
      <c r="AE592" s="123">
        <v>7.9756878392799102E-2</v>
      </c>
      <c r="AF592" s="123">
        <v>-9.2635575194612962E-2</v>
      </c>
      <c r="AG592" s="123">
        <v>-9.1495769911888902E-2</v>
      </c>
      <c r="AH592" s="123">
        <v>3.217662692575618E-2</v>
      </c>
      <c r="AI592" s="123">
        <v>5.5172125300111174E-2</v>
      </c>
      <c r="AJ592" s="123">
        <v>2.2471898213664243E-2</v>
      </c>
      <c r="AK592" s="123">
        <v>2.0961091916284147E-2</v>
      </c>
      <c r="AL592" s="123">
        <v>1.9943334399885382E-2</v>
      </c>
      <c r="AM592" s="123">
        <v>1.8977725591212691E-2</v>
      </c>
      <c r="AN592" s="123">
        <v>1.8061016381823114E-2</v>
      </c>
      <c r="AO592" s="123">
        <v>1.7190252074227308E-2</v>
      </c>
      <c r="AP592" s="123">
        <v>1.6362734719713057E-2</v>
      </c>
      <c r="AQ592" s="123">
        <v>1.5575991199897166E-2</v>
      </c>
      <c r="AR592" s="123">
        <v>1.482774609241555E-2</v>
      </c>
      <c r="AS592" s="123">
        <v>1.4115898535445037E-2</v>
      </c>
      <c r="AT592" s="123">
        <v>1.3438502445332512E-2</v>
      </c>
      <c r="AU592" s="123">
        <v>1.2793749553993816E-2</v>
      </c>
      <c r="AV592" s="123">
        <v>1.2179954823795081E-2</v>
      </c>
      <c r="AW592" s="123">
        <v>1.1595543871787184E-2</v>
      </c>
      <c r="AX592" s="123">
        <v>1.1039042095826623E-2</v>
      </c>
      <c r="AY592" s="123">
        <v>1.0509065245031701E-2</v>
      </c>
      <c r="AZ592" s="123">
        <v>1.0509065245031701E-2</v>
      </c>
      <c r="BA592" s="123">
        <v>1.0509065245031701E-2</v>
      </c>
      <c r="BB592" s="123">
        <v>1.0509065245031701E-2</v>
      </c>
      <c r="BC592" s="123">
        <f t="shared" si="208"/>
        <v>1.0509065245031701E-2</v>
      </c>
      <c r="BD592" s="123">
        <f t="shared" si="208"/>
        <v>1.0509065245031701E-2</v>
      </c>
      <c r="BE592" s="123">
        <f t="shared" si="208"/>
        <v>1.0509065245031701E-2</v>
      </c>
      <c r="BF592" s="123">
        <f t="shared" si="208"/>
        <v>1.0509065245031701E-2</v>
      </c>
      <c r="BG592" s="123">
        <f t="shared" si="208"/>
        <v>1.0509065245031701E-2</v>
      </c>
    </row>
    <row r="593" spans="1:59" ht="13.75" customHeight="1" outlineLevel="1">
      <c r="A593" s="141" t="s">
        <v>166</v>
      </c>
      <c r="B593" s="142" t="s">
        <v>530</v>
      </c>
      <c r="C593" s="142" t="s">
        <v>537</v>
      </c>
      <c r="D593" s="142" t="s">
        <v>377</v>
      </c>
      <c r="F593" s="168" t="s">
        <v>590</v>
      </c>
      <c r="W593" s="109"/>
      <c r="X593" s="109"/>
      <c r="Y593" s="109"/>
      <c r="Z593" s="107"/>
      <c r="AA593" s="107"/>
      <c r="AB593" s="123">
        <v>6.0378981257698916E-2</v>
      </c>
      <c r="AC593" s="123">
        <v>0.21969014465760606</v>
      </c>
      <c r="AD593" s="123">
        <v>0.25939544093362743</v>
      </c>
      <c r="AE593" s="123">
        <v>0.21794652266472547</v>
      </c>
      <c r="AF593" s="123">
        <v>-7.1871164139968746E-2</v>
      </c>
      <c r="AG593" s="123">
        <v>-4.0998223400529055E-3</v>
      </c>
      <c r="AH593" s="123">
        <v>1.2430026811188322E-2</v>
      </c>
      <c r="AI593" s="123">
        <v>4.2743963537391849E-2</v>
      </c>
      <c r="AJ593" s="123">
        <v>4.0971713834981882E-2</v>
      </c>
      <c r="AK593" s="123">
        <v>4.1407906941499428E-2</v>
      </c>
      <c r="AL593" s="123">
        <v>4.183121552512592E-2</v>
      </c>
      <c r="AM593" s="123">
        <v>4.224168126604666E-2</v>
      </c>
      <c r="AN593" s="123">
        <v>4.2639375403034085E-2</v>
      </c>
      <c r="AO593" s="123">
        <v>4.3024396658173147E-2</v>
      </c>
      <c r="AP593" s="123">
        <v>4.3396869140321703E-2</v>
      </c>
      <c r="AQ593" s="123">
        <v>4.3756940247046794E-2</v>
      </c>
      <c r="AR593" s="123">
        <v>4.4104778582899407E-2</v>
      </c>
      <c r="AS593" s="123">
        <v>4.4440571909956317E-2</v>
      </c>
      <c r="AT593" s="123">
        <v>4.4764525144633138E-2</v>
      </c>
      <c r="AU593" s="123">
        <v>4.507685841284359E-2</v>
      </c>
      <c r="AV593" s="123">
        <v>4.5377805173716812E-2</v>
      </c>
      <c r="AW593" s="123">
        <v>4.5667610420306204E-2</v>
      </c>
      <c r="AX593" s="123">
        <v>4.5946528964030842E-2</v>
      </c>
      <c r="AY593" s="123">
        <v>4.6214823808009342E-2</v>
      </c>
      <c r="AZ593" s="123">
        <v>4.6214823808009342E-2</v>
      </c>
      <c r="BA593" s="123">
        <v>4.6214823808009342E-2</v>
      </c>
      <c r="BB593" s="123">
        <v>4.6214823808009342E-2</v>
      </c>
      <c r="BC593" s="123">
        <f>BB593</f>
        <v>4.6214823808009342E-2</v>
      </c>
      <c r="BD593" s="123">
        <f t="shared" ref="BD593:BG593" si="209">BC593</f>
        <v>4.6214823808009342E-2</v>
      </c>
      <c r="BE593" s="123">
        <f t="shared" si="209"/>
        <v>4.6214823808009342E-2</v>
      </c>
      <c r="BF593" s="123">
        <f t="shared" si="209"/>
        <v>4.6214823808009342E-2</v>
      </c>
      <c r="BG593" s="123">
        <f t="shared" si="209"/>
        <v>4.6214823808009342E-2</v>
      </c>
    </row>
    <row r="594" spans="1:59" ht="13.75" customHeight="1" outlineLevel="1">
      <c r="A594" s="141" t="s">
        <v>166</v>
      </c>
      <c r="B594" s="142" t="s">
        <v>530</v>
      </c>
      <c r="C594" s="142" t="s">
        <v>537</v>
      </c>
      <c r="D594" s="142" t="s">
        <v>377</v>
      </c>
      <c r="F594" s="168" t="s">
        <v>591</v>
      </c>
      <c r="W594" s="109"/>
      <c r="X594" s="109"/>
      <c r="Y594" s="109"/>
      <c r="Z594" s="109"/>
      <c r="AA594" s="109"/>
      <c r="AB594" s="109"/>
      <c r="AC594" s="109"/>
      <c r="AD594" s="109"/>
      <c r="AE594" s="123">
        <v>0.21991232099322433</v>
      </c>
      <c r="AF594" s="123">
        <v>4.0251928588409092E-2</v>
      </c>
      <c r="AG594" s="123">
        <v>-1.8098977292535512E-4</v>
      </c>
      <c r="AH594" s="123">
        <v>1.077108616949074E-2</v>
      </c>
      <c r="AI594" s="123">
        <v>3.7100044669875709E-2</v>
      </c>
      <c r="AJ594" s="123">
        <v>3.5755331096331E-2</v>
      </c>
      <c r="AK594" s="123">
        <v>3.6317981511979625E-2</v>
      </c>
      <c r="AL594" s="123">
        <v>3.6869457375565684E-2</v>
      </c>
      <c r="AM594" s="123">
        <v>3.7409399822480705E-2</v>
      </c>
      <c r="AN594" s="123">
        <v>3.7937493887003404E-2</v>
      </c>
      <c r="AO594" s="123">
        <v>3.8453468083758491E-2</v>
      </c>
      <c r="AP594" s="123">
        <v>3.895709370794509E-2</v>
      </c>
      <c r="AQ594" s="123">
        <v>3.944818387838156E-2</v>
      </c>
      <c r="AR594" s="123">
        <v>3.9926592348966894E-2</v>
      </c>
      <c r="AS594" s="123">
        <v>4.0392212115209158E-2</v>
      </c>
      <c r="AT594" s="123">
        <v>4.0844973842978805E-2</v>
      </c>
      <c r="AU594" s="123">
        <v>4.128484414668443E-2</v>
      </c>
      <c r="AV594" s="123">
        <v>4.1711823743671772E-2</v>
      </c>
      <c r="AW594" s="123">
        <v>4.2125945510894214E-2</v>
      </c>
      <c r="AX594" s="123">
        <v>4.2527272468785515E-2</v>
      </c>
      <c r="AY594" s="123">
        <v>4.2915895715913477E-2</v>
      </c>
      <c r="AZ594" s="123">
        <v>4.2915895715913477E-2</v>
      </c>
      <c r="BA594" s="123">
        <v>4.2915895715913477E-2</v>
      </c>
      <c r="BB594" s="123">
        <v>4.2915895715913477E-2</v>
      </c>
      <c r="BC594" s="123">
        <f t="shared" si="208"/>
        <v>4.2915895715913477E-2</v>
      </c>
      <c r="BD594" s="123">
        <f t="shared" si="208"/>
        <v>4.2915895715913477E-2</v>
      </c>
      <c r="BE594" s="123">
        <f t="shared" si="208"/>
        <v>4.2915895715913477E-2</v>
      </c>
      <c r="BF594" s="123">
        <f t="shared" si="208"/>
        <v>4.2915895715913477E-2</v>
      </c>
      <c r="BG594" s="123">
        <f t="shared" si="208"/>
        <v>4.2915895715913477E-2</v>
      </c>
    </row>
    <row r="595" spans="1:59" ht="13.75" customHeight="1" outlineLevel="1">
      <c r="F595" s="168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</row>
    <row r="596" spans="1:59" ht="13.75" customHeight="1" outlineLevel="1">
      <c r="F596" s="168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</row>
    <row r="597" spans="1:59" ht="13.75" customHeight="1" outlineLevel="1">
      <c r="F597" s="168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</row>
    <row r="598" spans="1:59" ht="13.75" customHeight="1" outlineLevel="1">
      <c r="F598" s="168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</row>
    <row r="599" spans="1:59" ht="13.75" customHeight="1" outlineLevel="1">
      <c r="A599" s="177" t="s">
        <v>166</v>
      </c>
      <c r="B599" s="178" t="s">
        <v>530</v>
      </c>
      <c r="C599" s="179" t="s">
        <v>543</v>
      </c>
      <c r="D599" s="178" t="s">
        <v>377</v>
      </c>
      <c r="E599" s="124"/>
      <c r="F599" s="180" t="s">
        <v>592</v>
      </c>
      <c r="G599" s="124" t="s">
        <v>3</v>
      </c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3">
        <v>6.2210915288542508E-2</v>
      </c>
      <c r="AF599" s="123">
        <v>6.468104623202886E-2</v>
      </c>
      <c r="AG599" s="123">
        <v>6.4710248509577961E-2</v>
      </c>
      <c r="AH599" s="123">
        <v>6.0489658253894185E-2</v>
      </c>
      <c r="AI599" s="123">
        <v>0.06</v>
      </c>
      <c r="AJ599" s="123">
        <v>0.06</v>
      </c>
      <c r="AK599" s="123">
        <v>0.06</v>
      </c>
      <c r="AL599" s="123">
        <v>0.06</v>
      </c>
      <c r="AM599" s="123">
        <v>0.06</v>
      </c>
      <c r="AN599" s="123">
        <v>0.06</v>
      </c>
      <c r="AO599" s="123">
        <v>0.06</v>
      </c>
      <c r="AP599" s="123">
        <v>0.06</v>
      </c>
      <c r="AQ599" s="123">
        <v>0.06</v>
      </c>
      <c r="AR599" s="123">
        <v>0.06</v>
      </c>
      <c r="AS599" s="123">
        <v>0.06</v>
      </c>
      <c r="AT599" s="123">
        <v>0.06</v>
      </c>
      <c r="AU599" s="123">
        <v>0.06</v>
      </c>
      <c r="AV599" s="123">
        <v>0.06</v>
      </c>
      <c r="AW599" s="123">
        <v>0.06</v>
      </c>
      <c r="AX599" s="123">
        <v>0.06</v>
      </c>
      <c r="AY599" s="123">
        <v>0.06</v>
      </c>
      <c r="AZ599" s="123">
        <v>0.06</v>
      </c>
      <c r="BA599" s="123">
        <v>0.06</v>
      </c>
      <c r="BB599" s="123">
        <v>0.06</v>
      </c>
      <c r="BC599" s="123">
        <f t="shared" si="208"/>
        <v>0.06</v>
      </c>
      <c r="BD599" s="123">
        <f t="shared" si="208"/>
        <v>0.06</v>
      </c>
      <c r="BE599" s="123">
        <f t="shared" si="208"/>
        <v>0.06</v>
      </c>
      <c r="BF599" s="123">
        <f t="shared" si="208"/>
        <v>0.06</v>
      </c>
      <c r="BG599" s="123">
        <f t="shared" si="208"/>
        <v>0.06</v>
      </c>
    </row>
    <row r="600" spans="1:59" ht="13.75" customHeight="1" outlineLevel="1">
      <c r="C600" s="170"/>
      <c r="F600" s="168"/>
      <c r="W600" s="109"/>
      <c r="X600" s="109"/>
      <c r="Y600" s="109"/>
      <c r="Z600" s="109"/>
      <c r="AA600" s="109"/>
      <c r="AB600" s="109"/>
      <c r="AC600" s="109"/>
      <c r="AD600" s="109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</row>
    <row r="601" spans="1:59" ht="13.75" customHeight="1" outlineLevel="1">
      <c r="C601" s="170"/>
      <c r="F601" s="168"/>
      <c r="W601" s="109"/>
      <c r="X601" s="109"/>
      <c r="Y601" s="109"/>
      <c r="Z601" s="109"/>
      <c r="AA601" s="109"/>
      <c r="AB601" s="109"/>
      <c r="AC601" s="109"/>
      <c r="AD601" s="109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</row>
    <row r="602" spans="1:59" ht="13.75" customHeight="1" outlineLevel="1">
      <c r="C602" s="170"/>
      <c r="F602" s="168"/>
      <c r="W602" s="109"/>
      <c r="X602" s="109"/>
      <c r="Y602" s="109"/>
      <c r="Z602" s="109"/>
      <c r="AA602" s="109"/>
      <c r="AB602" s="109"/>
      <c r="AC602" s="109"/>
      <c r="AD602" s="109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</row>
    <row r="603" spans="1:59" ht="13.75" customHeight="1" outlineLevel="1">
      <c r="C603" s="170"/>
      <c r="F603" s="168"/>
      <c r="W603" s="109"/>
      <c r="X603" s="109"/>
      <c r="Y603" s="109"/>
      <c r="Z603" s="109"/>
      <c r="AA603" s="109"/>
      <c r="AB603" s="109"/>
      <c r="AC603" s="109"/>
      <c r="AD603" s="109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</row>
    <row r="604" spans="1:59" ht="13.75" customHeight="1" outlineLevel="1">
      <c r="C604" s="170"/>
      <c r="F604" s="168"/>
      <c r="W604" s="109"/>
      <c r="X604" s="109"/>
      <c r="Y604" s="109"/>
      <c r="Z604" s="109"/>
      <c r="AA604" s="109"/>
      <c r="AB604" s="109"/>
      <c r="AC604" s="109"/>
      <c r="AD604" s="109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</row>
    <row r="605" spans="1:59" ht="13.75" customHeight="1" outlineLevel="1">
      <c r="C605" s="170"/>
      <c r="F605" s="168"/>
      <c r="W605" s="109"/>
      <c r="X605" s="109"/>
      <c r="Y605" s="109"/>
      <c r="Z605" s="109"/>
      <c r="AA605" s="109"/>
      <c r="AB605" s="109"/>
      <c r="AC605" s="109"/>
      <c r="AD605" s="109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</row>
    <row r="606" spans="1:59" ht="13.75" customHeight="1" outlineLevel="1">
      <c r="C606" s="170"/>
      <c r="F606" s="168"/>
      <c r="W606" s="109"/>
      <c r="X606" s="109"/>
      <c r="Y606" s="109"/>
      <c r="Z606" s="109"/>
      <c r="AA606" s="109"/>
      <c r="AB606" s="109"/>
      <c r="AC606" s="109"/>
      <c r="AD606" s="109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</row>
    <row r="607" spans="1:59" ht="13.75" customHeight="1" outlineLevel="1">
      <c r="C607" s="170"/>
      <c r="F607" s="168"/>
      <c r="W607" s="109"/>
      <c r="X607" s="109"/>
      <c r="Y607" s="109"/>
      <c r="Z607" s="109"/>
      <c r="AA607" s="109"/>
      <c r="AB607" s="109"/>
      <c r="AC607" s="109"/>
      <c r="AD607" s="109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</row>
    <row r="608" spans="1:59" ht="13.75" customHeight="1" outlineLevel="1">
      <c r="C608" s="170"/>
      <c r="F608" s="168"/>
      <c r="W608" s="109"/>
      <c r="X608" s="109"/>
      <c r="Y608" s="109"/>
      <c r="Z608" s="109"/>
      <c r="AA608" s="109"/>
      <c r="AB608" s="109"/>
      <c r="AC608" s="109"/>
      <c r="AD608" s="109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</row>
    <row r="609" spans="3:59" ht="13.75" customHeight="1" outlineLevel="1">
      <c r="C609" s="170"/>
      <c r="F609" s="168"/>
      <c r="W609" s="109"/>
      <c r="X609" s="109"/>
      <c r="Y609" s="109"/>
      <c r="Z609" s="109"/>
      <c r="AA609" s="109"/>
      <c r="AB609" s="109"/>
      <c r="AC609" s="109"/>
      <c r="AD609" s="109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</row>
    <row r="610" spans="3:59" ht="13.75" customHeight="1" outlineLevel="1">
      <c r="C610" s="170"/>
      <c r="F610" s="168"/>
      <c r="W610" s="109"/>
      <c r="X610" s="109"/>
      <c r="Y610" s="109"/>
      <c r="Z610" s="109"/>
      <c r="AA610" s="109"/>
      <c r="AB610" s="109"/>
      <c r="AC610" s="109"/>
      <c r="AD610" s="109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</row>
    <row r="611" spans="3:59" ht="13.75" customHeight="1" outlineLevel="1">
      <c r="C611" s="170"/>
      <c r="F611" s="168"/>
      <c r="W611" s="109"/>
      <c r="X611" s="109"/>
      <c r="Y611" s="109"/>
      <c r="Z611" s="109"/>
      <c r="AA611" s="109"/>
      <c r="AB611" s="109"/>
      <c r="AC611" s="109"/>
      <c r="AD611" s="109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</row>
    <row r="612" spans="3:59" ht="13.75" customHeight="1" outlineLevel="1">
      <c r="C612" s="170"/>
      <c r="F612" s="168"/>
      <c r="W612" s="109"/>
      <c r="X612" s="109"/>
      <c r="Y612" s="109"/>
      <c r="Z612" s="109"/>
      <c r="AA612" s="109"/>
      <c r="AB612" s="109"/>
      <c r="AC612" s="109"/>
      <c r="AD612" s="109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</row>
    <row r="613" spans="3:59" ht="13.75" customHeight="1" outlineLevel="1">
      <c r="C613" s="170"/>
      <c r="F613" s="168"/>
      <c r="W613" s="109"/>
      <c r="X613" s="109"/>
      <c r="Y613" s="109"/>
      <c r="Z613" s="109"/>
      <c r="AA613" s="109"/>
      <c r="AB613" s="109"/>
      <c r="AC613" s="109"/>
      <c r="AD613" s="109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</row>
    <row r="614" spans="3:59" ht="13.75" customHeight="1" outlineLevel="1">
      <c r="C614" s="170"/>
      <c r="F614" s="168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</row>
    <row r="615" spans="3:59" ht="13.75" customHeight="1" outlineLevel="1">
      <c r="C615" s="170"/>
      <c r="F615" s="168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</row>
    <row r="616" spans="3:59" ht="13.75" customHeight="1" outlineLevel="1">
      <c r="C616" s="170"/>
      <c r="F616" s="168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</row>
    <row r="617" spans="3:59" ht="13.75" customHeight="1" outlineLevel="1">
      <c r="C617" s="170"/>
      <c r="F617" s="168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</row>
    <row r="618" spans="3:59" ht="13.75" customHeight="1" outlineLevel="1">
      <c r="C618" s="170"/>
      <c r="F618" s="168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</row>
    <row r="619" spans="3:59" ht="13.75" customHeight="1" outlineLevel="1">
      <c r="C619" s="170"/>
      <c r="F619" s="168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</row>
    <row r="620" spans="3:59" ht="13.75" customHeight="1" outlineLevel="1">
      <c r="C620" s="170"/>
      <c r="F620" s="168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</row>
    <row r="621" spans="3:59" ht="13.75" customHeight="1" outlineLevel="1">
      <c r="C621" s="170"/>
      <c r="F621" s="168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</row>
    <row r="622" spans="3:59" ht="13.75" customHeight="1" outlineLevel="1">
      <c r="C622" s="170"/>
      <c r="F622" s="168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</row>
    <row r="623" spans="3:59" ht="13.75" customHeight="1" outlineLevel="1">
      <c r="C623" s="170"/>
      <c r="F623" s="168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</row>
    <row r="624" spans="3:59" ht="13.75" customHeight="1" outlineLevel="1">
      <c r="C624" s="170"/>
      <c r="F624" s="168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</row>
    <row r="625" spans="1:59" ht="13.75" customHeight="1" outlineLevel="1">
      <c r="A625" s="141" t="s">
        <v>166</v>
      </c>
      <c r="B625" s="142" t="s">
        <v>530</v>
      </c>
      <c r="C625" s="170" t="s">
        <v>543</v>
      </c>
      <c r="D625" s="142" t="s">
        <v>377</v>
      </c>
      <c r="F625" s="168" t="s">
        <v>593</v>
      </c>
      <c r="G625" s="109" t="s">
        <v>3</v>
      </c>
      <c r="W625" s="109"/>
      <c r="X625" s="109"/>
      <c r="Y625" s="109"/>
      <c r="Z625" s="109"/>
      <c r="AA625" s="109"/>
      <c r="AB625" s="109"/>
      <c r="AC625" s="109"/>
      <c r="AD625" s="109"/>
      <c r="AE625" s="124">
        <v>0.48877344172842596</v>
      </c>
      <c r="AF625" s="124">
        <v>0.50877344172842598</v>
      </c>
      <c r="AG625" s="124">
        <v>0.51877344172842599</v>
      </c>
      <c r="AH625" s="124">
        <v>0.51877344172842599</v>
      </c>
      <c r="AI625" s="124">
        <v>0.51877344172842599</v>
      </c>
      <c r="AJ625" s="124">
        <v>0.51877344172842599</v>
      </c>
      <c r="AK625" s="124">
        <v>0.51877344172842599</v>
      </c>
      <c r="AL625" s="124">
        <v>0.51877344172842599</v>
      </c>
      <c r="AM625" s="124">
        <v>0.51877344172842599</v>
      </c>
      <c r="AN625" s="124">
        <v>0.51877344172842599</v>
      </c>
      <c r="AO625" s="124">
        <v>0.51877344172842599</v>
      </c>
      <c r="AP625" s="124">
        <v>0.51877344172842599</v>
      </c>
      <c r="AQ625" s="124">
        <v>0.51877344172842599</v>
      </c>
      <c r="AR625" s="124">
        <v>0.51877344172842599</v>
      </c>
      <c r="AS625" s="124">
        <v>0.51877344172842599</v>
      </c>
      <c r="AT625" s="124">
        <v>0.51877344172842599</v>
      </c>
      <c r="AU625" s="124">
        <v>0.51877344172842599</v>
      </c>
      <c r="AV625" s="124">
        <v>0.51877344172842599</v>
      </c>
      <c r="AW625" s="124">
        <v>0.51877344172842599</v>
      </c>
      <c r="AX625" s="124">
        <v>0.51877344172842599</v>
      </c>
      <c r="AY625" s="124">
        <v>0.51877344172842599</v>
      </c>
      <c r="AZ625" s="124">
        <v>0.51877344172842599</v>
      </c>
      <c r="BA625" s="124">
        <v>0.51877344172842599</v>
      </c>
      <c r="BB625" s="124">
        <v>0.51877344172842599</v>
      </c>
      <c r="BC625" s="124">
        <f t="shared" ref="BC625:BG638" si="210">BB625*(1+((BB625-BA625)/BA625))</f>
        <v>0.51877344172842599</v>
      </c>
      <c r="BD625" s="124">
        <f t="shared" si="210"/>
        <v>0.51877344172842599</v>
      </c>
      <c r="BE625" s="124">
        <f t="shared" si="210"/>
        <v>0.51877344172842599</v>
      </c>
      <c r="BF625" s="124">
        <f t="shared" si="210"/>
        <v>0.51877344172842599</v>
      </c>
      <c r="BG625" s="124">
        <f t="shared" si="210"/>
        <v>0.51877344172842599</v>
      </c>
    </row>
    <row r="626" spans="1:59" ht="13.75" customHeight="1" outlineLevel="1">
      <c r="A626" s="141" t="s">
        <v>166</v>
      </c>
      <c r="B626" s="142" t="s">
        <v>530</v>
      </c>
      <c r="C626" s="170" t="s">
        <v>543</v>
      </c>
      <c r="D626" s="142" t="s">
        <v>377</v>
      </c>
      <c r="F626" s="168" t="s">
        <v>594</v>
      </c>
      <c r="G626" s="109" t="s">
        <v>3</v>
      </c>
      <c r="W626" s="109"/>
      <c r="X626" s="109"/>
      <c r="Y626" s="109"/>
      <c r="Z626" s="109"/>
      <c r="AA626" s="109"/>
      <c r="AB626" s="109"/>
      <c r="AC626" s="109"/>
      <c r="AD626" s="109"/>
      <c r="AE626" s="124">
        <v>0.44814994185449308</v>
      </c>
      <c r="AF626" s="124">
        <v>0.49814994185449313</v>
      </c>
      <c r="AG626" s="124">
        <v>0.50814994185449314</v>
      </c>
      <c r="AH626" s="124">
        <v>0.50814994185449314</v>
      </c>
      <c r="AI626" s="124">
        <v>0.50814994185449314</v>
      </c>
      <c r="AJ626" s="124">
        <v>0.50814994185449314</v>
      </c>
      <c r="AK626" s="124">
        <v>0.50814994185449314</v>
      </c>
      <c r="AL626" s="124">
        <v>0.50814994185449314</v>
      </c>
      <c r="AM626" s="124">
        <v>0.50814994185449314</v>
      </c>
      <c r="AN626" s="124">
        <v>0.50814994185449314</v>
      </c>
      <c r="AO626" s="124">
        <v>0.50814994185449314</v>
      </c>
      <c r="AP626" s="124">
        <v>0.50814994185449314</v>
      </c>
      <c r="AQ626" s="124">
        <v>0.50814994185449314</v>
      </c>
      <c r="AR626" s="124">
        <v>0.50814994185449314</v>
      </c>
      <c r="AS626" s="124">
        <v>0.50814994185449314</v>
      </c>
      <c r="AT626" s="124">
        <v>0.50814994185449314</v>
      </c>
      <c r="AU626" s="124">
        <v>0.50814994185449314</v>
      </c>
      <c r="AV626" s="124">
        <v>0.50814994185449314</v>
      </c>
      <c r="AW626" s="124">
        <v>0.50814994185449314</v>
      </c>
      <c r="AX626" s="124">
        <v>0.50814994185449314</v>
      </c>
      <c r="AY626" s="124">
        <v>0.50814994185449314</v>
      </c>
      <c r="AZ626" s="124">
        <v>0.50814994185449314</v>
      </c>
      <c r="BA626" s="124">
        <v>0.50814994185449314</v>
      </c>
      <c r="BB626" s="124">
        <v>0.50814994185449314</v>
      </c>
      <c r="BC626" s="124">
        <f t="shared" si="210"/>
        <v>0.50814994185449314</v>
      </c>
      <c r="BD626" s="124">
        <f t="shared" si="210"/>
        <v>0.50814994185449314</v>
      </c>
      <c r="BE626" s="124">
        <f t="shared" si="210"/>
        <v>0.50814994185449314</v>
      </c>
      <c r="BF626" s="124">
        <f t="shared" si="210"/>
        <v>0.50814994185449314</v>
      </c>
      <c r="BG626" s="124">
        <f t="shared" si="210"/>
        <v>0.50814994185449314</v>
      </c>
    </row>
    <row r="627" spans="1:59" ht="13.75" customHeight="1" outlineLevel="1">
      <c r="A627" s="141" t="s">
        <v>166</v>
      </c>
      <c r="B627" s="142" t="s">
        <v>530</v>
      </c>
      <c r="C627" s="170" t="s">
        <v>543</v>
      </c>
      <c r="D627" s="142" t="s">
        <v>377</v>
      </c>
      <c r="F627" s="168" t="s">
        <v>595</v>
      </c>
      <c r="G627" s="109" t="s">
        <v>3</v>
      </c>
      <c r="W627" s="109"/>
      <c r="X627" s="109"/>
      <c r="Y627" s="109"/>
      <c r="Z627" s="109"/>
      <c r="AA627" s="109"/>
      <c r="AB627" s="109"/>
      <c r="AC627" s="109"/>
      <c r="AD627" s="109"/>
      <c r="AE627" s="124">
        <v>0.44529351662393224</v>
      </c>
      <c r="AF627" s="124">
        <v>0.46529351662393226</v>
      </c>
      <c r="AG627" s="124">
        <v>0.47529351662393227</v>
      </c>
      <c r="AH627" s="124">
        <v>0.47529351662393227</v>
      </c>
      <c r="AI627" s="124">
        <v>0.47529351662393227</v>
      </c>
      <c r="AJ627" s="124">
        <v>0.47529351662393227</v>
      </c>
      <c r="AK627" s="124">
        <v>0.47529351662393227</v>
      </c>
      <c r="AL627" s="124">
        <v>0.47529351662393227</v>
      </c>
      <c r="AM627" s="124">
        <v>0.47529351662393227</v>
      </c>
      <c r="AN627" s="124">
        <v>0.47529351662393227</v>
      </c>
      <c r="AO627" s="124">
        <v>0.47529351662393227</v>
      </c>
      <c r="AP627" s="124">
        <v>0.47529351662393227</v>
      </c>
      <c r="AQ627" s="124">
        <v>0.47529351662393227</v>
      </c>
      <c r="AR627" s="124">
        <v>0.47529351662393227</v>
      </c>
      <c r="AS627" s="124">
        <v>0.47529351662393227</v>
      </c>
      <c r="AT627" s="124">
        <v>0.47529351662393227</v>
      </c>
      <c r="AU627" s="124">
        <v>0.47529351662393227</v>
      </c>
      <c r="AV627" s="124">
        <v>0.47529351662393227</v>
      </c>
      <c r="AW627" s="124">
        <v>0.47529351662393227</v>
      </c>
      <c r="AX627" s="124">
        <v>0.47529351662393227</v>
      </c>
      <c r="AY627" s="124">
        <v>0.47529351662393227</v>
      </c>
      <c r="AZ627" s="124">
        <v>0.47529351662393227</v>
      </c>
      <c r="BA627" s="124">
        <v>0.47529351662393227</v>
      </c>
      <c r="BB627" s="124">
        <v>0.47529351662393227</v>
      </c>
      <c r="BC627" s="124">
        <f t="shared" si="210"/>
        <v>0.47529351662393227</v>
      </c>
      <c r="BD627" s="124">
        <f t="shared" si="210"/>
        <v>0.47529351662393227</v>
      </c>
      <c r="BE627" s="124">
        <f t="shared" si="210"/>
        <v>0.47529351662393227</v>
      </c>
      <c r="BF627" s="124">
        <f t="shared" si="210"/>
        <v>0.47529351662393227</v>
      </c>
      <c r="BG627" s="124">
        <f t="shared" si="210"/>
        <v>0.47529351662393227</v>
      </c>
    </row>
    <row r="628" spans="1:59" ht="13.75" customHeight="1" outlineLevel="1">
      <c r="A628" s="141" t="s">
        <v>166</v>
      </c>
      <c r="B628" s="142" t="s">
        <v>530</v>
      </c>
      <c r="C628" s="170" t="s">
        <v>543</v>
      </c>
      <c r="D628" s="142" t="s">
        <v>377</v>
      </c>
      <c r="F628" s="168" t="s">
        <v>596</v>
      </c>
      <c r="G628" s="109" t="s">
        <v>3</v>
      </c>
      <c r="W628" s="109"/>
      <c r="X628" s="109"/>
      <c r="Y628" s="109"/>
      <c r="Z628" s="109"/>
      <c r="AA628" s="109"/>
      <c r="AB628" s="109"/>
      <c r="AC628" s="109"/>
      <c r="AD628" s="109"/>
      <c r="AE628" s="124">
        <v>0.57359629845650684</v>
      </c>
      <c r="AF628" s="124">
        <v>0.59359629845650685</v>
      </c>
      <c r="AG628" s="124">
        <v>0.60359629845650686</v>
      </c>
      <c r="AH628" s="124">
        <v>0.60359629845650686</v>
      </c>
      <c r="AI628" s="124">
        <v>0.60359629845650686</v>
      </c>
      <c r="AJ628" s="124">
        <v>0.60359629845650686</v>
      </c>
      <c r="AK628" s="124">
        <v>0.60359629845650686</v>
      </c>
      <c r="AL628" s="124">
        <v>0.60359629845650686</v>
      </c>
      <c r="AM628" s="124">
        <v>0.60359629845650686</v>
      </c>
      <c r="AN628" s="124">
        <v>0.60359629845650686</v>
      </c>
      <c r="AO628" s="124">
        <v>0.60359629845650686</v>
      </c>
      <c r="AP628" s="124">
        <v>0.60359629845650686</v>
      </c>
      <c r="AQ628" s="124">
        <v>0.60359629845650686</v>
      </c>
      <c r="AR628" s="124">
        <v>0.60359629845650686</v>
      </c>
      <c r="AS628" s="124">
        <v>0.60359629845650686</v>
      </c>
      <c r="AT628" s="124">
        <v>0.60359629845650686</v>
      </c>
      <c r="AU628" s="124">
        <v>0.60359629845650686</v>
      </c>
      <c r="AV628" s="124">
        <v>0.60359629845650686</v>
      </c>
      <c r="AW628" s="124">
        <v>0.60359629845650686</v>
      </c>
      <c r="AX628" s="124">
        <v>0.60359629845650686</v>
      </c>
      <c r="AY628" s="124">
        <v>0.60359629845650686</v>
      </c>
      <c r="AZ628" s="124">
        <v>0.60359629845650686</v>
      </c>
      <c r="BA628" s="124">
        <v>0.60359629845650686</v>
      </c>
      <c r="BB628" s="124">
        <v>0.60359629845650686</v>
      </c>
      <c r="BC628" s="124">
        <f t="shared" si="210"/>
        <v>0.60359629845650686</v>
      </c>
      <c r="BD628" s="124">
        <f t="shared" si="210"/>
        <v>0.60359629845650686</v>
      </c>
      <c r="BE628" s="124">
        <f t="shared" si="210"/>
        <v>0.60359629845650686</v>
      </c>
      <c r="BF628" s="124">
        <f t="shared" si="210"/>
        <v>0.60359629845650686</v>
      </c>
      <c r="BG628" s="124">
        <f t="shared" si="210"/>
        <v>0.60359629845650686</v>
      </c>
    </row>
    <row r="629" spans="1:59" ht="13.75" customHeight="1" outlineLevel="1">
      <c r="A629" s="141" t="s">
        <v>166</v>
      </c>
      <c r="B629" s="142" t="s">
        <v>530</v>
      </c>
      <c r="C629" s="170" t="s">
        <v>543</v>
      </c>
      <c r="D629" s="142" t="s">
        <v>377</v>
      </c>
      <c r="F629" s="168" t="s">
        <v>597</v>
      </c>
      <c r="G629" s="109" t="s">
        <v>3</v>
      </c>
      <c r="W629" s="109"/>
      <c r="X629" s="109"/>
      <c r="Y629" s="109"/>
      <c r="Z629" s="109"/>
      <c r="AA629" s="109"/>
      <c r="AB629" s="109"/>
      <c r="AC629" s="109"/>
      <c r="AD629" s="109"/>
      <c r="AE629" s="124">
        <v>0.41421308257758527</v>
      </c>
      <c r="AF629" s="124">
        <v>0.43421308257758529</v>
      </c>
      <c r="AG629" s="124">
        <v>0.44421308257758529</v>
      </c>
      <c r="AH629" s="124">
        <v>0.44421308257758529</v>
      </c>
      <c r="AI629" s="124">
        <v>0.44421308257758529</v>
      </c>
      <c r="AJ629" s="124">
        <v>0.44421308257758529</v>
      </c>
      <c r="AK629" s="124">
        <v>0.44421308257758529</v>
      </c>
      <c r="AL629" s="124">
        <v>0.44421308257758529</v>
      </c>
      <c r="AM629" s="124">
        <v>0.44421308257758529</v>
      </c>
      <c r="AN629" s="124">
        <v>0.44421308257758529</v>
      </c>
      <c r="AO629" s="124">
        <v>0.44421308257758529</v>
      </c>
      <c r="AP629" s="124">
        <v>0.44421308257758529</v>
      </c>
      <c r="AQ629" s="124">
        <v>0.44421308257758529</v>
      </c>
      <c r="AR629" s="124">
        <v>0.44421308257758529</v>
      </c>
      <c r="AS629" s="124">
        <v>0.44421308257758529</v>
      </c>
      <c r="AT629" s="124">
        <v>0.44421308257758529</v>
      </c>
      <c r="AU629" s="124">
        <v>0.44421308257758529</v>
      </c>
      <c r="AV629" s="124">
        <v>0.44421308257758529</v>
      </c>
      <c r="AW629" s="124">
        <v>0.44421308257758529</v>
      </c>
      <c r="AX629" s="124">
        <v>0.44421308257758529</v>
      </c>
      <c r="AY629" s="124">
        <v>0.44421308257758529</v>
      </c>
      <c r="AZ629" s="124">
        <v>0.44421308257758529</v>
      </c>
      <c r="BA629" s="124">
        <v>0.44421308257758529</v>
      </c>
      <c r="BB629" s="124">
        <v>0.44421308257758529</v>
      </c>
      <c r="BC629" s="124">
        <f t="shared" si="210"/>
        <v>0.44421308257758529</v>
      </c>
      <c r="BD629" s="124">
        <f t="shared" si="210"/>
        <v>0.44421308257758529</v>
      </c>
      <c r="BE629" s="124">
        <f t="shared" si="210"/>
        <v>0.44421308257758529</v>
      </c>
      <c r="BF629" s="124">
        <f t="shared" si="210"/>
        <v>0.44421308257758529</v>
      </c>
      <c r="BG629" s="124">
        <f t="shared" si="210"/>
        <v>0.44421308257758529</v>
      </c>
    </row>
    <row r="630" spans="1:59" ht="13.75" customHeight="1" outlineLevel="1">
      <c r="A630" s="141" t="s">
        <v>166</v>
      </c>
      <c r="B630" s="142" t="s">
        <v>530</v>
      </c>
      <c r="C630" s="170" t="s">
        <v>543</v>
      </c>
      <c r="D630" s="142" t="s">
        <v>377</v>
      </c>
      <c r="F630" s="168" t="s">
        <v>598</v>
      </c>
      <c r="G630" s="109" t="s">
        <v>3</v>
      </c>
      <c r="W630" s="109"/>
      <c r="X630" s="109"/>
      <c r="Y630" s="109"/>
      <c r="Z630" s="109"/>
      <c r="AA630" s="109"/>
      <c r="AB630" s="109"/>
      <c r="AC630" s="109"/>
      <c r="AD630" s="109"/>
      <c r="AE630" s="124">
        <v>0.56589037169062939</v>
      </c>
      <c r="AF630" s="124">
        <v>0.58589037169062941</v>
      </c>
      <c r="AG630" s="124">
        <v>0.59589037169062942</v>
      </c>
      <c r="AH630" s="124">
        <v>0.59589037169062942</v>
      </c>
      <c r="AI630" s="124">
        <v>0.59589037169062942</v>
      </c>
      <c r="AJ630" s="124">
        <v>0.59589037169062942</v>
      </c>
      <c r="AK630" s="124">
        <v>0.59589037169062942</v>
      </c>
      <c r="AL630" s="124">
        <v>0.59589037169062942</v>
      </c>
      <c r="AM630" s="124">
        <v>0.59589037169062942</v>
      </c>
      <c r="AN630" s="124">
        <v>0.59589037169062942</v>
      </c>
      <c r="AO630" s="124">
        <v>0.59589037169062942</v>
      </c>
      <c r="AP630" s="124">
        <v>0.59589037169062942</v>
      </c>
      <c r="AQ630" s="124">
        <v>0.59589037169062942</v>
      </c>
      <c r="AR630" s="124">
        <v>0.59589037169062942</v>
      </c>
      <c r="AS630" s="124">
        <v>0.59589037169062942</v>
      </c>
      <c r="AT630" s="124">
        <v>0.59589037169062942</v>
      </c>
      <c r="AU630" s="124">
        <v>0.59589037169062942</v>
      </c>
      <c r="AV630" s="124">
        <v>0.59589037169062942</v>
      </c>
      <c r="AW630" s="124">
        <v>0.59589037169062942</v>
      </c>
      <c r="AX630" s="124">
        <v>0.59589037169062942</v>
      </c>
      <c r="AY630" s="124">
        <v>0.59589037169062942</v>
      </c>
      <c r="AZ630" s="124">
        <v>0.59589037169062942</v>
      </c>
      <c r="BA630" s="124">
        <v>0.59589037169062942</v>
      </c>
      <c r="BB630" s="124">
        <v>0.59589037169062942</v>
      </c>
      <c r="BC630" s="124">
        <f t="shared" si="210"/>
        <v>0.59589037169062942</v>
      </c>
      <c r="BD630" s="124">
        <f t="shared" si="210"/>
        <v>0.59589037169062942</v>
      </c>
      <c r="BE630" s="124">
        <f t="shared" si="210"/>
        <v>0.59589037169062942</v>
      </c>
      <c r="BF630" s="124">
        <f t="shared" si="210"/>
        <v>0.59589037169062942</v>
      </c>
      <c r="BG630" s="124">
        <f t="shared" si="210"/>
        <v>0.59589037169062942</v>
      </c>
    </row>
    <row r="631" spans="1:59" ht="13.75" customHeight="1" outlineLevel="1">
      <c r="A631" s="141" t="s">
        <v>166</v>
      </c>
      <c r="B631" s="142" t="s">
        <v>530</v>
      </c>
      <c r="C631" s="170" t="s">
        <v>543</v>
      </c>
      <c r="D631" s="142" t="s">
        <v>377</v>
      </c>
      <c r="F631" s="168" t="s">
        <v>599</v>
      </c>
      <c r="G631" s="109" t="s">
        <v>3</v>
      </c>
      <c r="W631" s="109"/>
      <c r="X631" s="109"/>
      <c r="Y631" s="109"/>
      <c r="Z631" s="109"/>
      <c r="AA631" s="109"/>
      <c r="AB631" s="109"/>
      <c r="AC631" s="109"/>
      <c r="AD631" s="109"/>
      <c r="AE631" s="124">
        <v>0.45165249847070682</v>
      </c>
      <c r="AF631" s="124">
        <v>0.47165249847070684</v>
      </c>
      <c r="AG631" s="124">
        <v>0.48165249847070685</v>
      </c>
      <c r="AH631" s="124">
        <v>0.48165249847070685</v>
      </c>
      <c r="AI631" s="124">
        <v>0.48165249847070685</v>
      </c>
      <c r="AJ631" s="124">
        <v>0.48165249847070685</v>
      </c>
      <c r="AK631" s="124">
        <v>0.48165249847070685</v>
      </c>
      <c r="AL631" s="124">
        <v>0.48165249847070685</v>
      </c>
      <c r="AM631" s="124">
        <v>0.48165249847070685</v>
      </c>
      <c r="AN631" s="124">
        <v>0.48165249847070685</v>
      </c>
      <c r="AO631" s="124">
        <v>0.48165249847070685</v>
      </c>
      <c r="AP631" s="124">
        <v>0.48165249847070685</v>
      </c>
      <c r="AQ631" s="124">
        <v>0.48165249847070685</v>
      </c>
      <c r="AR631" s="124">
        <v>0.48165249847070685</v>
      </c>
      <c r="AS631" s="124">
        <v>0.48165249847070685</v>
      </c>
      <c r="AT631" s="124">
        <v>0.48165249847070685</v>
      </c>
      <c r="AU631" s="124">
        <v>0.48165249847070685</v>
      </c>
      <c r="AV631" s="124">
        <v>0.48165249847070685</v>
      </c>
      <c r="AW631" s="124">
        <v>0.48165249847070685</v>
      </c>
      <c r="AX631" s="124">
        <v>0.48165249847070685</v>
      </c>
      <c r="AY631" s="124">
        <v>0.48165249847070685</v>
      </c>
      <c r="AZ631" s="124">
        <v>0.48165249847070685</v>
      </c>
      <c r="BA631" s="124">
        <v>0.48165249847070685</v>
      </c>
      <c r="BB631" s="124">
        <v>0.48165249847070685</v>
      </c>
      <c r="BC631" s="124">
        <f t="shared" si="210"/>
        <v>0.48165249847070685</v>
      </c>
      <c r="BD631" s="124">
        <f t="shared" si="210"/>
        <v>0.48165249847070685</v>
      </c>
      <c r="BE631" s="124">
        <f t="shared" si="210"/>
        <v>0.48165249847070685</v>
      </c>
      <c r="BF631" s="124">
        <f t="shared" si="210"/>
        <v>0.48165249847070685</v>
      </c>
      <c r="BG631" s="124">
        <f t="shared" si="210"/>
        <v>0.48165249847070685</v>
      </c>
    </row>
    <row r="632" spans="1:59" ht="13.75" customHeight="1" outlineLevel="1">
      <c r="A632" s="141" t="s">
        <v>166</v>
      </c>
      <c r="B632" s="142" t="s">
        <v>530</v>
      </c>
      <c r="C632" s="170" t="s">
        <v>543</v>
      </c>
      <c r="D632" s="142" t="s">
        <v>377</v>
      </c>
      <c r="F632" s="168" t="s">
        <v>600</v>
      </c>
      <c r="G632" s="109" t="s">
        <v>3</v>
      </c>
      <c r="W632" s="109"/>
      <c r="X632" s="109"/>
      <c r="Y632" s="109"/>
      <c r="Z632" s="109"/>
      <c r="AA632" s="109"/>
      <c r="AB632" s="109"/>
      <c r="AC632" s="109"/>
      <c r="AD632" s="109"/>
      <c r="AE632" s="124">
        <v>0.45123505680966058</v>
      </c>
      <c r="AF632" s="124">
        <v>0.4712350568096606</v>
      </c>
      <c r="AG632" s="124">
        <v>0.48123505680966061</v>
      </c>
      <c r="AH632" s="124">
        <v>0.48123505680966061</v>
      </c>
      <c r="AI632" s="124">
        <v>0.48123505680966061</v>
      </c>
      <c r="AJ632" s="124">
        <v>0.48123505680966061</v>
      </c>
      <c r="AK632" s="124">
        <v>0.48123505680966061</v>
      </c>
      <c r="AL632" s="124">
        <v>0.48123505680966061</v>
      </c>
      <c r="AM632" s="124">
        <v>0.48123505680966061</v>
      </c>
      <c r="AN632" s="124">
        <v>0.48123505680966061</v>
      </c>
      <c r="AO632" s="124">
        <v>0.48123505680966061</v>
      </c>
      <c r="AP632" s="124">
        <v>0.48123505680966061</v>
      </c>
      <c r="AQ632" s="124">
        <v>0.48123505680966061</v>
      </c>
      <c r="AR632" s="124">
        <v>0.48123505680966061</v>
      </c>
      <c r="AS632" s="124">
        <v>0.48123505680966061</v>
      </c>
      <c r="AT632" s="124">
        <v>0.48123505680966061</v>
      </c>
      <c r="AU632" s="124">
        <v>0.48123505680966061</v>
      </c>
      <c r="AV632" s="124">
        <v>0.48123505680966061</v>
      </c>
      <c r="AW632" s="124">
        <v>0.48123505680966061</v>
      </c>
      <c r="AX632" s="124">
        <v>0.48123505680966061</v>
      </c>
      <c r="AY632" s="124">
        <v>0.48123505680966061</v>
      </c>
      <c r="AZ632" s="124">
        <v>0.48123505680966061</v>
      </c>
      <c r="BA632" s="124">
        <v>0.48123505680966061</v>
      </c>
      <c r="BB632" s="124">
        <v>0.48123505680966061</v>
      </c>
      <c r="BC632" s="124">
        <f t="shared" si="210"/>
        <v>0.48123505680966061</v>
      </c>
      <c r="BD632" s="124">
        <f t="shared" si="210"/>
        <v>0.48123505680966061</v>
      </c>
      <c r="BE632" s="124">
        <f t="shared" si="210"/>
        <v>0.48123505680966061</v>
      </c>
      <c r="BF632" s="124">
        <f t="shared" si="210"/>
        <v>0.48123505680966061</v>
      </c>
      <c r="BG632" s="124">
        <f t="shared" si="210"/>
        <v>0.48123505680966061</v>
      </c>
    </row>
    <row r="633" spans="1:59" ht="13.75" customHeight="1" outlineLevel="1">
      <c r="A633" s="141" t="s">
        <v>166</v>
      </c>
      <c r="B633" s="142" t="s">
        <v>530</v>
      </c>
      <c r="C633" s="170" t="s">
        <v>543</v>
      </c>
      <c r="D633" s="142" t="s">
        <v>377</v>
      </c>
      <c r="F633" s="168" t="s">
        <v>601</v>
      </c>
      <c r="G633" s="109" t="s">
        <v>3</v>
      </c>
      <c r="W633" s="109"/>
      <c r="X633" s="109"/>
      <c r="Y633" s="109"/>
      <c r="Z633" s="109"/>
      <c r="AA633" s="109"/>
      <c r="AB633" s="109"/>
      <c r="AC633" s="109"/>
      <c r="AD633" s="109"/>
      <c r="AE633" s="124">
        <v>0.52967300419210517</v>
      </c>
      <c r="AF633" s="124">
        <v>0.54967300419210519</v>
      </c>
      <c r="AG633" s="124">
        <v>0.55967300419210519</v>
      </c>
      <c r="AH633" s="124">
        <v>0.55967300419210519</v>
      </c>
      <c r="AI633" s="124">
        <v>0.55967300419210519</v>
      </c>
      <c r="AJ633" s="124">
        <v>0.55967300419210519</v>
      </c>
      <c r="AK633" s="124">
        <v>0.55967300419210519</v>
      </c>
      <c r="AL633" s="124">
        <v>0.55967300419210519</v>
      </c>
      <c r="AM633" s="124">
        <v>0.55967300419210519</v>
      </c>
      <c r="AN633" s="124">
        <v>0.55967300419210519</v>
      </c>
      <c r="AO633" s="124">
        <v>0.55967300419210519</v>
      </c>
      <c r="AP633" s="124">
        <v>0.55967300419210519</v>
      </c>
      <c r="AQ633" s="124">
        <v>0.55967300419210519</v>
      </c>
      <c r="AR633" s="124">
        <v>0.55967300419210519</v>
      </c>
      <c r="AS633" s="124">
        <v>0.55967300419210519</v>
      </c>
      <c r="AT633" s="124">
        <v>0.55967300419210519</v>
      </c>
      <c r="AU633" s="124">
        <v>0.55967300419210519</v>
      </c>
      <c r="AV633" s="124">
        <v>0.55967300419210519</v>
      </c>
      <c r="AW633" s="124">
        <v>0.55967300419210519</v>
      </c>
      <c r="AX633" s="124">
        <v>0.55967300419210519</v>
      </c>
      <c r="AY633" s="124">
        <v>0.55967300419210519</v>
      </c>
      <c r="AZ633" s="124">
        <v>0.55967300419210519</v>
      </c>
      <c r="BA633" s="124">
        <v>0.55967300419210519</v>
      </c>
      <c r="BB633" s="124">
        <v>0.55967300419210519</v>
      </c>
      <c r="BC633" s="124">
        <f t="shared" si="210"/>
        <v>0.55967300419210519</v>
      </c>
      <c r="BD633" s="124">
        <f t="shared" si="210"/>
        <v>0.55967300419210519</v>
      </c>
      <c r="BE633" s="124">
        <f t="shared" si="210"/>
        <v>0.55967300419210519</v>
      </c>
      <c r="BF633" s="124">
        <f t="shared" si="210"/>
        <v>0.55967300419210519</v>
      </c>
      <c r="BG633" s="124">
        <f t="shared" si="210"/>
        <v>0.55967300419210519</v>
      </c>
    </row>
    <row r="634" spans="1:59" ht="13.75" customHeight="1" outlineLevel="1">
      <c r="A634" s="141" t="s">
        <v>166</v>
      </c>
      <c r="B634" s="142" t="s">
        <v>530</v>
      </c>
      <c r="C634" s="170" t="s">
        <v>543</v>
      </c>
      <c r="D634" s="142" t="s">
        <v>377</v>
      </c>
      <c r="F634" s="168" t="s">
        <v>602</v>
      </c>
      <c r="G634" s="109" t="s">
        <v>3</v>
      </c>
      <c r="W634" s="109"/>
      <c r="X634" s="109"/>
      <c r="Y634" s="109"/>
      <c r="Z634" s="109"/>
      <c r="AA634" s="109"/>
      <c r="AB634" s="109"/>
      <c r="AC634" s="109"/>
      <c r="AD634" s="109"/>
      <c r="AE634" s="124">
        <v>0.49</v>
      </c>
      <c r="AF634" s="124">
        <v>0.51</v>
      </c>
      <c r="AG634" s="124">
        <v>0.52</v>
      </c>
      <c r="AH634" s="124">
        <v>0.52</v>
      </c>
      <c r="AI634" s="124">
        <v>0.52</v>
      </c>
      <c r="AJ634" s="124">
        <v>0.52</v>
      </c>
      <c r="AK634" s="124">
        <v>0.52</v>
      </c>
      <c r="AL634" s="124">
        <v>0.52</v>
      </c>
      <c r="AM634" s="124">
        <v>0.52</v>
      </c>
      <c r="AN634" s="124">
        <v>0.52</v>
      </c>
      <c r="AO634" s="124">
        <v>0.52</v>
      </c>
      <c r="AP634" s="124">
        <v>0.52</v>
      </c>
      <c r="AQ634" s="124">
        <v>0.52</v>
      </c>
      <c r="AR634" s="124">
        <v>0.52</v>
      </c>
      <c r="AS634" s="124">
        <v>0.52</v>
      </c>
      <c r="AT634" s="124">
        <v>0.52</v>
      </c>
      <c r="AU634" s="124">
        <v>0.52</v>
      </c>
      <c r="AV634" s="124">
        <v>0.52</v>
      </c>
      <c r="AW634" s="124">
        <v>0.52</v>
      </c>
      <c r="AX634" s="124">
        <v>0.52</v>
      </c>
      <c r="AY634" s="124">
        <v>0.52</v>
      </c>
      <c r="AZ634" s="124">
        <v>0.52</v>
      </c>
      <c r="BA634" s="124">
        <v>0.52</v>
      </c>
      <c r="BB634" s="124">
        <v>0.52</v>
      </c>
      <c r="BC634" s="124">
        <f t="shared" si="210"/>
        <v>0.52</v>
      </c>
      <c r="BD634" s="124">
        <f t="shared" si="210"/>
        <v>0.52</v>
      </c>
      <c r="BE634" s="124">
        <f t="shared" si="210"/>
        <v>0.52</v>
      </c>
      <c r="BF634" s="124">
        <f t="shared" si="210"/>
        <v>0.52</v>
      </c>
      <c r="BG634" s="124">
        <f t="shared" si="210"/>
        <v>0.52</v>
      </c>
    </row>
    <row r="635" spans="1:59" ht="13.75" customHeight="1" outlineLevel="1">
      <c r="A635" s="141" t="s">
        <v>166</v>
      </c>
      <c r="B635" s="142" t="s">
        <v>530</v>
      </c>
      <c r="C635" s="170" t="s">
        <v>543</v>
      </c>
      <c r="D635" s="142" t="s">
        <v>377</v>
      </c>
      <c r="F635" s="168" t="s">
        <v>603</v>
      </c>
      <c r="G635" s="109" t="s">
        <v>3</v>
      </c>
      <c r="W635" s="109"/>
      <c r="X635" s="109"/>
      <c r="Y635" s="109"/>
      <c r="Z635" s="109"/>
      <c r="AA635" s="109"/>
      <c r="AB635" s="109"/>
      <c r="AC635" s="109"/>
      <c r="AD635" s="109"/>
      <c r="AE635" s="124">
        <v>0.51170758027941443</v>
      </c>
      <c r="AF635" s="124">
        <v>0.53170758027941445</v>
      </c>
      <c r="AG635" s="124">
        <v>0.54170758027941446</v>
      </c>
      <c r="AH635" s="124">
        <v>0.54170758027941446</v>
      </c>
      <c r="AI635" s="124">
        <v>0.54170758027941446</v>
      </c>
      <c r="AJ635" s="124">
        <v>0.54170758027941446</v>
      </c>
      <c r="AK635" s="124">
        <v>0.54170758027941446</v>
      </c>
      <c r="AL635" s="124">
        <v>0.54170758027941446</v>
      </c>
      <c r="AM635" s="124">
        <v>0.54170758027941446</v>
      </c>
      <c r="AN635" s="124">
        <v>0.54170758027941446</v>
      </c>
      <c r="AO635" s="124">
        <v>0.54170758027941446</v>
      </c>
      <c r="AP635" s="124">
        <v>0.54170758027941446</v>
      </c>
      <c r="AQ635" s="124">
        <v>0.54170758027941446</v>
      </c>
      <c r="AR635" s="124">
        <v>0.54170758027941446</v>
      </c>
      <c r="AS635" s="124">
        <v>0.54170758027941446</v>
      </c>
      <c r="AT635" s="124">
        <v>0.54170758027941446</v>
      </c>
      <c r="AU635" s="124">
        <v>0.54170758027941446</v>
      </c>
      <c r="AV635" s="124">
        <v>0.54170758027941446</v>
      </c>
      <c r="AW635" s="124">
        <v>0.54170758027941446</v>
      </c>
      <c r="AX635" s="124">
        <v>0.54170758027941446</v>
      </c>
      <c r="AY635" s="124">
        <v>0.54170758027941446</v>
      </c>
      <c r="AZ635" s="124">
        <v>0.54170758027941446</v>
      </c>
      <c r="BA635" s="124">
        <v>0.54170758027941446</v>
      </c>
      <c r="BB635" s="124">
        <v>0.54170758027941446</v>
      </c>
      <c r="BC635" s="124">
        <f t="shared" si="210"/>
        <v>0.54170758027941446</v>
      </c>
      <c r="BD635" s="124">
        <f t="shared" si="210"/>
        <v>0.54170758027941446</v>
      </c>
      <c r="BE635" s="124">
        <f t="shared" si="210"/>
        <v>0.54170758027941446</v>
      </c>
      <c r="BF635" s="124">
        <f t="shared" si="210"/>
        <v>0.54170758027941446</v>
      </c>
      <c r="BG635" s="124">
        <f t="shared" si="210"/>
        <v>0.54170758027941446</v>
      </c>
    </row>
    <row r="636" spans="1:59" ht="13.75" customHeight="1" outlineLevel="1">
      <c r="A636" s="141" t="s">
        <v>166</v>
      </c>
      <c r="B636" s="142" t="s">
        <v>530</v>
      </c>
      <c r="C636" s="170" t="s">
        <v>543</v>
      </c>
      <c r="D636" s="142" t="s">
        <v>377</v>
      </c>
      <c r="F636" s="168" t="s">
        <v>604</v>
      </c>
      <c r="G636" s="109" t="s">
        <v>3</v>
      </c>
      <c r="W636" s="109"/>
      <c r="X636" s="109"/>
      <c r="Y636" s="109"/>
      <c r="Z636" s="109"/>
      <c r="AA636" s="109"/>
      <c r="AB636" s="109"/>
      <c r="AC636" s="109"/>
      <c r="AD636" s="109"/>
      <c r="AE636" s="124">
        <v>0.47042211194961114</v>
      </c>
      <c r="AF636" s="124">
        <v>0.49042211194961116</v>
      </c>
      <c r="AG636" s="124">
        <v>0.50042211194961117</v>
      </c>
      <c r="AH636" s="124">
        <v>0.50042211194961117</v>
      </c>
      <c r="AI636" s="124">
        <v>0.50042211194961117</v>
      </c>
      <c r="AJ636" s="124">
        <v>0.50042211194961117</v>
      </c>
      <c r="AK636" s="124">
        <v>0.50042211194961117</v>
      </c>
      <c r="AL636" s="124">
        <v>0.50042211194961117</v>
      </c>
      <c r="AM636" s="124">
        <v>0.50042211194961117</v>
      </c>
      <c r="AN636" s="124">
        <v>0.50042211194961117</v>
      </c>
      <c r="AO636" s="124">
        <v>0.50042211194961117</v>
      </c>
      <c r="AP636" s="124">
        <v>0.50042211194961117</v>
      </c>
      <c r="AQ636" s="124">
        <v>0.50042211194961117</v>
      </c>
      <c r="AR636" s="124">
        <v>0.50042211194961117</v>
      </c>
      <c r="AS636" s="124">
        <v>0.50042211194961117</v>
      </c>
      <c r="AT636" s="124">
        <v>0.50042211194961117</v>
      </c>
      <c r="AU636" s="124">
        <v>0.50042211194961117</v>
      </c>
      <c r="AV636" s="124">
        <v>0.50042211194961117</v>
      </c>
      <c r="AW636" s="124">
        <v>0.50042211194961117</v>
      </c>
      <c r="AX636" s="124">
        <v>0.50042211194961117</v>
      </c>
      <c r="AY636" s="124">
        <v>0.50042211194961117</v>
      </c>
      <c r="AZ636" s="124">
        <v>0.50042211194961117</v>
      </c>
      <c r="BA636" s="124">
        <v>0.50042211194961117</v>
      </c>
      <c r="BB636" s="124">
        <v>0.50042211194961117</v>
      </c>
      <c r="BC636" s="124">
        <f t="shared" si="210"/>
        <v>0.50042211194961117</v>
      </c>
      <c r="BD636" s="124">
        <f t="shared" si="210"/>
        <v>0.50042211194961117</v>
      </c>
      <c r="BE636" s="124">
        <f t="shared" si="210"/>
        <v>0.50042211194961117</v>
      </c>
      <c r="BF636" s="124">
        <f t="shared" si="210"/>
        <v>0.50042211194961117</v>
      </c>
      <c r="BG636" s="124">
        <f t="shared" si="210"/>
        <v>0.50042211194961117</v>
      </c>
    </row>
    <row r="637" spans="1:59" ht="13.75" customHeight="1" outlineLevel="1">
      <c r="A637" s="141" t="s">
        <v>166</v>
      </c>
      <c r="B637" s="142" t="s">
        <v>530</v>
      </c>
      <c r="C637" s="170" t="s">
        <v>543</v>
      </c>
      <c r="D637" s="142" t="s">
        <v>377</v>
      </c>
      <c r="F637" s="168" t="s">
        <v>605</v>
      </c>
      <c r="G637" s="109" t="s">
        <v>3</v>
      </c>
      <c r="W637" s="109"/>
      <c r="X637" s="109"/>
      <c r="Y637" s="109"/>
      <c r="Z637" s="109"/>
      <c r="AA637" s="109"/>
      <c r="AB637" s="109"/>
      <c r="AC637" s="109"/>
      <c r="AD637" s="109"/>
      <c r="AE637" s="124">
        <v>0.51170758027941443</v>
      </c>
      <c r="AF637" s="124">
        <v>0.53170758027941445</v>
      </c>
      <c r="AG637" s="124">
        <v>0.54170758027941446</v>
      </c>
      <c r="AH637" s="124">
        <v>0.54170758027941446</v>
      </c>
      <c r="AI637" s="124">
        <v>0.54170758027941446</v>
      </c>
      <c r="AJ637" s="124">
        <v>0.54170758027941446</v>
      </c>
      <c r="AK637" s="124">
        <v>0.54170758027941446</v>
      </c>
      <c r="AL637" s="124">
        <v>0.54170758027941446</v>
      </c>
      <c r="AM637" s="124">
        <v>0.54170758027941446</v>
      </c>
      <c r="AN637" s="124">
        <v>0.54170758027941446</v>
      </c>
      <c r="AO637" s="124">
        <v>0.54170758027941446</v>
      </c>
      <c r="AP637" s="124">
        <v>0.54170758027941446</v>
      </c>
      <c r="AQ637" s="124">
        <v>0.54170758027941446</v>
      </c>
      <c r="AR637" s="124">
        <v>0.54170758027941446</v>
      </c>
      <c r="AS637" s="124">
        <v>0.54170758027941446</v>
      </c>
      <c r="AT637" s="124">
        <v>0.54170758027941446</v>
      </c>
      <c r="AU637" s="124">
        <v>0.54170758027941446</v>
      </c>
      <c r="AV637" s="124">
        <v>0.54170758027941446</v>
      </c>
      <c r="AW637" s="124">
        <v>0.54170758027941446</v>
      </c>
      <c r="AX637" s="124">
        <v>0.54170758027941446</v>
      </c>
      <c r="AY637" s="124">
        <v>0.54170758027941446</v>
      </c>
      <c r="AZ637" s="124">
        <v>0.54170758027941446</v>
      </c>
      <c r="BA637" s="124">
        <v>0.54170758027941446</v>
      </c>
      <c r="BB637" s="124">
        <v>0.54170758027941446</v>
      </c>
      <c r="BC637" s="124">
        <f t="shared" si="210"/>
        <v>0.54170758027941446</v>
      </c>
      <c r="BD637" s="124">
        <f t="shared" si="210"/>
        <v>0.54170758027941446</v>
      </c>
      <c r="BE637" s="124">
        <f t="shared" si="210"/>
        <v>0.54170758027941446</v>
      </c>
      <c r="BF637" s="124">
        <f t="shared" si="210"/>
        <v>0.54170758027941446</v>
      </c>
      <c r="BG637" s="124">
        <f t="shared" si="210"/>
        <v>0.54170758027941446</v>
      </c>
    </row>
    <row r="638" spans="1:59" ht="13.75" customHeight="1" outlineLevel="1">
      <c r="A638" s="141" t="s">
        <v>166</v>
      </c>
      <c r="B638" s="142" t="s">
        <v>530</v>
      </c>
      <c r="C638" s="170" t="s">
        <v>543</v>
      </c>
      <c r="D638" s="142" t="s">
        <v>377</v>
      </c>
      <c r="F638" s="168" t="s">
        <v>606</v>
      </c>
      <c r="G638" s="109" t="s">
        <v>3</v>
      </c>
      <c r="W638" s="109"/>
      <c r="X638" s="109"/>
      <c r="Y638" s="109"/>
      <c r="Z638" s="109"/>
      <c r="AA638" s="109"/>
      <c r="AB638" s="109"/>
      <c r="AC638" s="109"/>
      <c r="AD638" s="109"/>
      <c r="AE638" s="124">
        <v>0.51170758027941443</v>
      </c>
      <c r="AF638" s="124">
        <v>0.56170758027941448</v>
      </c>
      <c r="AG638" s="124">
        <v>0.5917075802794145</v>
      </c>
      <c r="AH638" s="124">
        <v>0.60170758027941451</v>
      </c>
      <c r="AI638" s="124">
        <v>0.60170758027941451</v>
      </c>
      <c r="AJ638" s="124">
        <v>0.60170758027941451</v>
      </c>
      <c r="AK638" s="124">
        <v>0.60170758027941451</v>
      </c>
      <c r="AL638" s="124">
        <v>0.60170758027941451</v>
      </c>
      <c r="AM638" s="124">
        <v>0.60170758027941451</v>
      </c>
      <c r="AN638" s="124">
        <v>0.60170758027941451</v>
      </c>
      <c r="AO638" s="124">
        <v>0.60170758027941451</v>
      </c>
      <c r="AP638" s="124">
        <v>0.60170758027941451</v>
      </c>
      <c r="AQ638" s="124">
        <v>0.60170758027941451</v>
      </c>
      <c r="AR638" s="124">
        <v>0.60170758027941451</v>
      </c>
      <c r="AS638" s="124">
        <v>0.60170758027941451</v>
      </c>
      <c r="AT638" s="124">
        <v>0.60170758027941451</v>
      </c>
      <c r="AU638" s="124">
        <v>0.60170758027941451</v>
      </c>
      <c r="AV638" s="124">
        <v>0.60170758027941451</v>
      </c>
      <c r="AW638" s="124">
        <v>0.60170758027941451</v>
      </c>
      <c r="AX638" s="124">
        <v>0.60170758027941451</v>
      </c>
      <c r="AY638" s="124">
        <v>0.60170758027941451</v>
      </c>
      <c r="AZ638" s="124">
        <v>0.60170758027941451</v>
      </c>
      <c r="BA638" s="124">
        <v>0.60170758027941451</v>
      </c>
      <c r="BB638" s="124">
        <v>0.60170758027941451</v>
      </c>
      <c r="BC638" s="124">
        <f t="shared" si="210"/>
        <v>0.60170758027941451</v>
      </c>
      <c r="BD638" s="124">
        <f t="shared" si="210"/>
        <v>0.60170758027941451</v>
      </c>
      <c r="BE638" s="124">
        <f t="shared" si="210"/>
        <v>0.60170758027941451</v>
      </c>
      <c r="BF638" s="124">
        <f t="shared" si="210"/>
        <v>0.60170758027941451</v>
      </c>
      <c r="BG638" s="124">
        <f t="shared" si="210"/>
        <v>0.60170758027941451</v>
      </c>
    </row>
    <row r="639" spans="1:59" ht="13.75" customHeight="1" outlineLevel="1">
      <c r="F639" s="168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</row>
    <row r="640" spans="1:59" ht="13.75" customHeight="1" outlineLevel="1">
      <c r="F640" s="168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</row>
    <row r="641" spans="1:59" ht="13.75" customHeight="1" outlineLevel="1">
      <c r="F641" s="168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</row>
    <row r="642" spans="1:59" ht="13.75" customHeight="1" outlineLevel="1">
      <c r="F642" s="168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</row>
    <row r="643" spans="1:59" ht="13.75" customHeight="1" outlineLevel="1">
      <c r="F643" s="168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</row>
    <row r="644" spans="1:59" ht="13.75" customHeight="1" outlineLevel="1">
      <c r="F644" s="168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</row>
    <row r="645" spans="1:59" ht="13.75" customHeight="1" outlineLevel="1">
      <c r="F645" s="168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</row>
    <row r="646" spans="1:59" ht="13.75" customHeight="1" outlineLevel="1">
      <c r="F646" s="168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</row>
    <row r="647" spans="1:59" ht="13.75" customHeight="1" outlineLevel="1">
      <c r="F647" s="168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</row>
    <row r="648" spans="1:59" ht="13.75" customHeight="1" outlineLevel="1">
      <c r="F648" s="168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</row>
    <row r="649" spans="1:59" ht="13.75" customHeight="1" outlineLevel="1">
      <c r="F649" s="168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</row>
    <row r="650" spans="1:59" ht="13.75" customHeight="1" outlineLevel="1">
      <c r="A650" s="141" t="s">
        <v>166</v>
      </c>
      <c r="B650" s="142" t="s">
        <v>607</v>
      </c>
      <c r="C650" s="170"/>
      <c r="D650" s="142" t="s">
        <v>608</v>
      </c>
      <c r="F650" s="168" t="s">
        <v>609</v>
      </c>
      <c r="G650" s="109" t="s">
        <v>610</v>
      </c>
      <c r="W650" s="128">
        <v>815</v>
      </c>
      <c r="X650" s="128">
        <v>902</v>
      </c>
      <c r="Y650" s="128">
        <v>985</v>
      </c>
      <c r="Z650" s="128">
        <v>1126</v>
      </c>
      <c r="AA650" s="128">
        <v>1176</v>
      </c>
      <c r="AB650" s="128">
        <v>1335</v>
      </c>
      <c r="AC650" s="128">
        <v>1522</v>
      </c>
      <c r="AD650" s="128">
        <v>1749</v>
      </c>
      <c r="AE650" s="128">
        <v>1976.3999999999999</v>
      </c>
      <c r="AF650" s="128">
        <v>2065.5903668416208</v>
      </c>
      <c r="AG650" s="128">
        <v>2183.2370026618692</v>
      </c>
      <c r="AH650" s="128">
        <v>2304.0760096415584</v>
      </c>
      <c r="AI650" s="128">
        <v>2435.2427207722421</v>
      </c>
      <c r="AJ650" s="128">
        <v>2562.2779516110068</v>
      </c>
      <c r="AK650" s="128">
        <v>2695.9598280650443</v>
      </c>
      <c r="AL650" s="128">
        <v>2836.6371626241998</v>
      </c>
      <c r="AM650" s="128">
        <v>2984.6771289179605</v>
      </c>
      <c r="AN650" s="128">
        <v>3140.4662311629982</v>
      </c>
      <c r="AO650" s="128">
        <v>3304.4113249508596</v>
      </c>
      <c r="AP650" s="128">
        <v>3476.940692102778</v>
      </c>
      <c r="AQ650" s="128">
        <v>3658.5051724638502</v>
      </c>
      <c r="AR650" s="128">
        <v>3849.5793556618537</v>
      </c>
      <c r="AS650" s="128">
        <v>4050.6628360171858</v>
      </c>
      <c r="AT650" s="128">
        <v>4262.2815339602257</v>
      </c>
      <c r="AU650" s="128">
        <v>4484.9890874913135</v>
      </c>
      <c r="AV650" s="128">
        <v>4719.3683174070102</v>
      </c>
      <c r="AW650" s="128">
        <v>4966.0327702148261</v>
      </c>
      <c r="AX650" s="128">
        <v>5225.6283428677507</v>
      </c>
      <c r="AY650" s="128">
        <v>5498.8349936702834</v>
      </c>
      <c r="AZ650" s="128">
        <v>5786.3685439397304</v>
      </c>
      <c r="BA650" s="128">
        <v>6088.9825752511078</v>
      </c>
      <c r="BB650" s="128">
        <v>6407.4704273515963</v>
      </c>
      <c r="BC650" s="128">
        <f t="shared" ref="BC650:BG654" si="211">BB650*(1+((BB650-BA650)/BA650))</f>
        <v>6742.6169758240976</v>
      </c>
      <c r="BD650" s="128">
        <f t="shared" si="211"/>
        <v>7095.2935636821194</v>
      </c>
      <c r="BE650" s="128">
        <f t="shared" si="211"/>
        <v>7466.417110053304</v>
      </c>
      <c r="BF650" s="128">
        <f t="shared" si="211"/>
        <v>7856.9524940651645</v>
      </c>
      <c r="BG650" s="128">
        <f t="shared" si="211"/>
        <v>8267.9150634213747</v>
      </c>
    </row>
    <row r="651" spans="1:59" ht="13.75" customHeight="1" outlineLevel="1">
      <c r="A651" s="141" t="s">
        <v>166</v>
      </c>
      <c r="B651" s="142" t="s">
        <v>607</v>
      </c>
      <c r="D651" s="142" t="s">
        <v>608</v>
      </c>
      <c r="F651" s="168" t="s">
        <v>611</v>
      </c>
      <c r="G651" s="109" t="s">
        <v>610</v>
      </c>
      <c r="W651" s="128">
        <v>538</v>
      </c>
      <c r="X651" s="128">
        <v>596</v>
      </c>
      <c r="Y651" s="128">
        <v>668</v>
      </c>
      <c r="Z651" s="128">
        <v>753</v>
      </c>
      <c r="AA651" s="128">
        <v>795</v>
      </c>
      <c r="AB651" s="128">
        <v>853</v>
      </c>
      <c r="AC651" s="128">
        <v>928</v>
      </c>
      <c r="AD651" s="128">
        <v>996</v>
      </c>
      <c r="AE651" s="128">
        <v>1145.3999999999999</v>
      </c>
      <c r="AF651" s="128">
        <v>1204.0354838533215</v>
      </c>
      <c r="AG651" s="128">
        <v>1284.5105539335602</v>
      </c>
      <c r="AH651" s="128">
        <v>1359.782967002913</v>
      </c>
      <c r="AI651" s="128">
        <v>1441.3079475557061</v>
      </c>
      <c r="AJ651" s="128">
        <v>1513.0804050036311</v>
      </c>
      <c r="AK651" s="128">
        <v>1588.4268978662988</v>
      </c>
      <c r="AL651" s="128">
        <v>1667.5254015064045</v>
      </c>
      <c r="AM651" s="128">
        <v>1750.5627538820158</v>
      </c>
      <c r="AN651" s="128">
        <v>1837.735096875055</v>
      </c>
      <c r="AO651" s="128">
        <v>1929.2483395965071</v>
      </c>
      <c r="AP651" s="128">
        <v>2025.3186447627238</v>
      </c>
      <c r="AQ651" s="128">
        <v>2126.1729392916891</v>
      </c>
      <c r="AR651" s="128">
        <v>2232.0494503253203</v>
      </c>
      <c r="AS651" s="128">
        <v>2343.1982679439416</v>
      </c>
      <c r="AT651" s="128">
        <v>2459.881935902109</v>
      </c>
      <c r="AU651" s="128">
        <v>2582.376071781166</v>
      </c>
      <c r="AV651" s="128">
        <v>2710.9700180233795</v>
      </c>
      <c r="AW651" s="128">
        <v>2845.9675253854648</v>
      </c>
      <c r="AX651" s="128">
        <v>2987.6874704258776</v>
      </c>
      <c r="AY651" s="128">
        <v>3136.4646087206429</v>
      </c>
      <c r="AZ651" s="128">
        <v>3292.6503655868901</v>
      </c>
      <c r="BA651" s="128">
        <v>3456.6136661818491</v>
      </c>
      <c r="BB651" s="128">
        <v>3628.7418069380869</v>
      </c>
      <c r="BC651" s="128">
        <f t="shared" si="211"/>
        <v>3809.4413703933869</v>
      </c>
      <c r="BD651" s="128">
        <f t="shared" si="211"/>
        <v>3999.1391855761881</v>
      </c>
      <c r="BE651" s="128">
        <f t="shared" si="211"/>
        <v>4198.2833362151014</v>
      </c>
      <c r="BF651" s="128">
        <f t="shared" si="211"/>
        <v>4407.344219153988</v>
      </c>
      <c r="BG651" s="128">
        <f t="shared" si="211"/>
        <v>4626.8156554726738</v>
      </c>
    </row>
    <row r="652" spans="1:59" ht="13.75" customHeight="1" outlineLevel="1">
      <c r="A652" s="141" t="s">
        <v>166</v>
      </c>
      <c r="B652" s="142" t="s">
        <v>607</v>
      </c>
      <c r="D652" s="142" t="s">
        <v>608</v>
      </c>
      <c r="F652" s="168" t="s">
        <v>612</v>
      </c>
      <c r="G652" s="109" t="s">
        <v>610</v>
      </c>
      <c r="W652" s="128">
        <v>277</v>
      </c>
      <c r="X652" s="128">
        <v>306</v>
      </c>
      <c r="Y652" s="128">
        <v>317</v>
      </c>
      <c r="Z652" s="128">
        <v>373</v>
      </c>
      <c r="AA652" s="128">
        <v>381</v>
      </c>
      <c r="AB652" s="128">
        <v>482</v>
      </c>
      <c r="AC652" s="128">
        <v>594</v>
      </c>
      <c r="AD652" s="128">
        <v>753</v>
      </c>
      <c r="AE652" s="128">
        <v>831</v>
      </c>
      <c r="AF652" s="128">
        <v>861.55488298829925</v>
      </c>
      <c r="AG652" s="128">
        <v>898.72644872830892</v>
      </c>
      <c r="AH652" s="128">
        <v>944.29304263864549</v>
      </c>
      <c r="AI652" s="128">
        <v>993.93477321653609</v>
      </c>
      <c r="AJ652" s="128">
        <v>1049.1975466073754</v>
      </c>
      <c r="AK652" s="128">
        <v>1107.5329301987454</v>
      </c>
      <c r="AL652" s="128">
        <v>1169.1117611177954</v>
      </c>
      <c r="AM652" s="128">
        <v>1234.1143750359447</v>
      </c>
      <c r="AN652" s="128">
        <v>1302.731134287943</v>
      </c>
      <c r="AO652" s="128">
        <v>1375.1629853543525</v>
      </c>
      <c r="AP652" s="128">
        <v>1451.6220473400542</v>
      </c>
      <c r="AQ652" s="128">
        <v>1532.3322331721611</v>
      </c>
      <c r="AR652" s="128">
        <v>1617.5299053365336</v>
      </c>
      <c r="AS652" s="128">
        <v>1707.4645680732442</v>
      </c>
      <c r="AT652" s="128">
        <v>1802.3995980581165</v>
      </c>
      <c r="AU652" s="128">
        <v>1902.6130157101472</v>
      </c>
      <c r="AV652" s="128">
        <v>2008.3982993836312</v>
      </c>
      <c r="AW652" s="128">
        <v>2120.0652448293608</v>
      </c>
      <c r="AX652" s="128">
        <v>2237.9408724418731</v>
      </c>
      <c r="AY652" s="128">
        <v>2362.370384949641</v>
      </c>
      <c r="AZ652" s="128">
        <v>2493.7181783528408</v>
      </c>
      <c r="BA652" s="128">
        <v>2632.3689090692583</v>
      </c>
      <c r="BB652" s="128">
        <v>2778.7286204135089</v>
      </c>
      <c r="BC652" s="128">
        <f t="shared" si="211"/>
        <v>2933.2259317084995</v>
      </c>
      <c r="BD652" s="128">
        <f t="shared" si="211"/>
        <v>3096.3132935114918</v>
      </c>
      <c r="BE652" s="128">
        <f t="shared" si="211"/>
        <v>3268.4683126307305</v>
      </c>
      <c r="BF652" s="128">
        <f t="shared" si="211"/>
        <v>3450.1951508129987</v>
      </c>
      <c r="BG652" s="128">
        <f t="shared" si="211"/>
        <v>3642.0260011982009</v>
      </c>
    </row>
    <row r="653" spans="1:59" ht="13.75" customHeight="1" outlineLevel="1">
      <c r="A653" s="141" t="s">
        <v>166</v>
      </c>
      <c r="B653" s="142" t="s">
        <v>607</v>
      </c>
      <c r="D653" s="142" t="s">
        <v>608</v>
      </c>
      <c r="F653" s="168" t="s">
        <v>613</v>
      </c>
      <c r="G653" s="109" t="s">
        <v>3</v>
      </c>
      <c r="W653" s="107">
        <v>6.6000000000000003E-2</v>
      </c>
      <c r="X653" s="107">
        <v>2.8000000000000001E-2</v>
      </c>
      <c r="Y653" s="107">
        <v>1.2999999999999999E-2</v>
      </c>
      <c r="Z653" s="107">
        <v>-4.5999999999999999E-3</v>
      </c>
      <c r="AA653" s="107">
        <v>3.6999999999999998E-2</v>
      </c>
      <c r="AB653" s="107">
        <v>-6.4000000000000003E-3</v>
      </c>
      <c r="AC653" s="107">
        <v>5.0299999999999997E-2</v>
      </c>
      <c r="AD653" s="107">
        <v>2.3999999999999998E-3</v>
      </c>
      <c r="AE653" s="107">
        <v>0.01</v>
      </c>
      <c r="AF653" s="107">
        <v>1.0005675586143792E-2</v>
      </c>
      <c r="AG653" s="107">
        <v>1.1592490734869641E-2</v>
      </c>
      <c r="AH653" s="107">
        <v>9.3366541113779639E-3</v>
      </c>
      <c r="AI653" s="107">
        <v>9.2978705836754116E-3</v>
      </c>
      <c r="AJ653" s="107">
        <v>1.0086308728913073E-2</v>
      </c>
      <c r="AK653" s="107">
        <v>1.0086308728913109E-2</v>
      </c>
      <c r="AL653" s="107">
        <v>1.0086308728913073E-2</v>
      </c>
      <c r="AM653" s="107">
        <v>1.0086308728913073E-2</v>
      </c>
      <c r="AN653" s="107">
        <v>1.0086308728913073E-2</v>
      </c>
      <c r="AO653" s="107">
        <v>1.0086308728913073E-2</v>
      </c>
      <c r="AP653" s="107">
        <v>1.0086308728913073E-2</v>
      </c>
      <c r="AQ653" s="107">
        <v>1.0086308728913073E-2</v>
      </c>
      <c r="AR653" s="107">
        <v>1.0086308728913073E-2</v>
      </c>
      <c r="AS653" s="107">
        <v>1.0086308728913073E-2</v>
      </c>
      <c r="AT653" s="107">
        <v>1.0086308728913073E-2</v>
      </c>
      <c r="AU653" s="107">
        <v>1.0086308728913073E-2</v>
      </c>
      <c r="AV653" s="107">
        <v>1.0086308728913073E-2</v>
      </c>
      <c r="AW653" s="107">
        <v>1.0086308728913073E-2</v>
      </c>
      <c r="AX653" s="107">
        <v>1.0086308728913073E-2</v>
      </c>
      <c r="AY653" s="107">
        <v>1.0086308728913109E-2</v>
      </c>
      <c r="AZ653" s="107">
        <v>1.0086308728913109E-2</v>
      </c>
      <c r="BA653" s="107">
        <v>1.0086308728913109E-2</v>
      </c>
      <c r="BB653" s="107">
        <v>1.0086308728913109E-2</v>
      </c>
      <c r="BC653" s="107">
        <f t="shared" si="211"/>
        <v>1.0086308728913109E-2</v>
      </c>
      <c r="BD653" s="107">
        <f t="shared" si="211"/>
        <v>1.0086308728913109E-2</v>
      </c>
      <c r="BE653" s="107">
        <f t="shared" si="211"/>
        <v>1.0086308728913109E-2</v>
      </c>
      <c r="BF653" s="107">
        <f t="shared" si="211"/>
        <v>1.0086308728913109E-2</v>
      </c>
      <c r="BG653" s="107">
        <f t="shared" si="211"/>
        <v>1.0086308728913109E-2</v>
      </c>
    </row>
    <row r="654" spans="1:59" ht="13.75" customHeight="1" outlineLevel="1">
      <c r="A654" s="141" t="s">
        <v>166</v>
      </c>
      <c r="B654" s="142" t="s">
        <v>607</v>
      </c>
      <c r="D654" s="142" t="s">
        <v>608</v>
      </c>
      <c r="F654" s="168" t="s">
        <v>614</v>
      </c>
      <c r="G654" s="109" t="s">
        <v>3</v>
      </c>
      <c r="W654" s="107">
        <v>0.158</v>
      </c>
      <c r="X654" s="107">
        <v>0.14199999999999999</v>
      </c>
      <c r="Y654" s="107">
        <v>6.9000000000000006E-2</v>
      </c>
      <c r="Z654" s="107">
        <v>6.1000000000000004E-3</v>
      </c>
      <c r="AA654" s="107">
        <v>7.3999999999999996E-2</v>
      </c>
      <c r="AB654" s="107">
        <v>3.0800000000000001E-2</v>
      </c>
      <c r="AC654" s="107">
        <v>8.5099999999999995E-2</v>
      </c>
      <c r="AD654" s="107">
        <v>6.3600000000000004E-2</v>
      </c>
      <c r="AE654" s="107">
        <v>0.125</v>
      </c>
      <c r="AF654" s="107">
        <v>6.8467703255444115E-2</v>
      </c>
      <c r="AG654" s="107">
        <v>6.4527859542207758E-2</v>
      </c>
      <c r="AH654" s="107">
        <v>6.0501643784519485E-2</v>
      </c>
      <c r="AI654" s="107">
        <v>6.0432422969169369E-2</v>
      </c>
      <c r="AJ654" s="107">
        <v>6.1839626864726695E-2</v>
      </c>
      <c r="AK654" s="107">
        <v>6.1839626864726764E-2</v>
      </c>
      <c r="AL654" s="107">
        <v>6.1839626864726695E-2</v>
      </c>
      <c r="AM654" s="107">
        <v>6.1839626864726695E-2</v>
      </c>
      <c r="AN654" s="107">
        <v>6.1839626864726695E-2</v>
      </c>
      <c r="AO654" s="107">
        <v>6.1839626864726695E-2</v>
      </c>
      <c r="AP654" s="107">
        <v>6.1839626864726695E-2</v>
      </c>
      <c r="AQ654" s="107">
        <v>6.1839626864726695E-2</v>
      </c>
      <c r="AR654" s="107">
        <v>6.1839626864726695E-2</v>
      </c>
      <c r="AS654" s="107">
        <v>6.1839626864726695E-2</v>
      </c>
      <c r="AT654" s="107">
        <v>6.1839626864726695E-2</v>
      </c>
      <c r="AU654" s="107">
        <v>6.1839626864726695E-2</v>
      </c>
      <c r="AV654" s="107">
        <v>6.1839626864726695E-2</v>
      </c>
      <c r="AW654" s="107">
        <v>6.1839626864726695E-2</v>
      </c>
      <c r="AX654" s="107">
        <v>6.1839626864726695E-2</v>
      </c>
      <c r="AY654" s="107">
        <v>6.1839626864726764E-2</v>
      </c>
      <c r="AZ654" s="107">
        <v>6.1839626864726764E-2</v>
      </c>
      <c r="BA654" s="107">
        <v>6.1839626864726764E-2</v>
      </c>
      <c r="BB654" s="107">
        <v>6.1839626864726764E-2</v>
      </c>
      <c r="BC654" s="107">
        <f t="shared" si="211"/>
        <v>6.1839626864726764E-2</v>
      </c>
      <c r="BD654" s="107">
        <f t="shared" si="211"/>
        <v>6.1839626864726764E-2</v>
      </c>
      <c r="BE654" s="107">
        <f t="shared" si="211"/>
        <v>6.1839626864726764E-2</v>
      </c>
      <c r="BF654" s="107">
        <f t="shared" si="211"/>
        <v>6.1839626864726764E-2</v>
      </c>
      <c r="BG654" s="107">
        <f t="shared" si="211"/>
        <v>6.1839626864726764E-2</v>
      </c>
    </row>
    <row r="655" spans="1:59" ht="13.75" customHeight="1" outlineLevel="1">
      <c r="F655" s="168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</row>
    <row r="656" spans="1:59" ht="13.75" customHeight="1" outlineLevel="1">
      <c r="F656" s="168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</row>
    <row r="657" spans="1:59" ht="13.75" customHeight="1" outlineLevel="1">
      <c r="F657" s="168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</row>
    <row r="658" spans="1:59" ht="13.75" customHeight="1" outlineLevel="1">
      <c r="F658" s="168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</row>
    <row r="659" spans="1:59" ht="13.75" customHeight="1" outlineLevel="1">
      <c r="F659" s="168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</row>
    <row r="660" spans="1:59" ht="13.75" customHeight="1" outlineLevel="1">
      <c r="B660" s="141"/>
      <c r="C660" s="141"/>
      <c r="D660" s="141"/>
      <c r="E660" s="141"/>
      <c r="F660" s="141"/>
      <c r="G660" s="141"/>
      <c r="H660" s="141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</row>
    <row r="661" spans="1:59" ht="13.75" customHeight="1" outlineLevel="1">
      <c r="F661" s="141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</row>
    <row r="662" spans="1:59" ht="13.75" customHeight="1" outlineLevel="1">
      <c r="F662" s="141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</row>
    <row r="663" spans="1:59" ht="13.75" customHeight="1" outlineLevel="1">
      <c r="F663" s="141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</row>
    <row r="664" spans="1:59" ht="13.75" customHeight="1" outlineLevel="1">
      <c r="F664" s="141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</row>
    <row r="665" spans="1:59" ht="13.75" customHeight="1" outlineLevel="1">
      <c r="F665" s="141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</row>
    <row r="666" spans="1:59" ht="13.75" customHeight="1" outlineLevel="1">
      <c r="F666" s="141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</row>
    <row r="667" spans="1:59" ht="13.75" customHeight="1" outlineLevel="1">
      <c r="F667" s="141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</row>
    <row r="668" spans="1:59" ht="13.75" customHeight="1">
      <c r="A668" s="171" t="s">
        <v>166</v>
      </c>
      <c r="B668" s="165" t="s">
        <v>245</v>
      </c>
      <c r="C668" s="165"/>
      <c r="D668" s="165" t="s">
        <v>168</v>
      </c>
      <c r="E668" s="167"/>
      <c r="F668" s="168" t="s">
        <v>615</v>
      </c>
      <c r="G668" s="168" t="s">
        <v>247</v>
      </c>
      <c r="W668" s="112">
        <v>11.827118333333335</v>
      </c>
      <c r="X668" s="112">
        <v>18.2333125</v>
      </c>
      <c r="Y668" s="112">
        <v>23.207047500000002</v>
      </c>
      <c r="Z668" s="112">
        <v>20.847792499999997</v>
      </c>
      <c r="AA668" s="112">
        <v>22.728607297979799</v>
      </c>
      <c r="AB668" s="112">
        <v>23.364709595959596</v>
      </c>
      <c r="AC668" s="112">
        <v>28.96003787878788</v>
      </c>
      <c r="AD668" s="112">
        <v>47.804734848484848</v>
      </c>
      <c r="AE668" s="112">
        <v>38.037020202020202</v>
      </c>
      <c r="AF668" s="112">
        <v>30.250417617573227</v>
      </c>
      <c r="AG668" s="112">
        <v>33.821239946472772</v>
      </c>
      <c r="AH668" s="112">
        <v>35.131629183794601</v>
      </c>
      <c r="AI668" s="112">
        <v>35.734002204489727</v>
      </c>
      <c r="AJ668" s="112">
        <v>36.594476977573841</v>
      </c>
      <c r="AK668" s="112">
        <v>37.475671983193813</v>
      </c>
      <c r="AL668" s="112">
        <v>38.378086164549117</v>
      </c>
      <c r="AM668" s="112">
        <v>39.302230479391461</v>
      </c>
      <c r="AN668" s="112">
        <v>40.248628189335207</v>
      </c>
      <c r="AO668" s="112">
        <v>41.2178151561344</v>
      </c>
      <c r="AP668" s="112">
        <v>42.210340145094115</v>
      </c>
      <c r="AQ668" s="112">
        <v>43.226765135787979</v>
      </c>
      <c r="AR668" s="112">
        <v>44.267665640257754</v>
      </c>
      <c r="AS668" s="112">
        <v>45.33363102887516</v>
      </c>
      <c r="AT668" s="112">
        <v>46.425264864050476</v>
      </c>
      <c r="AU668" s="112">
        <v>47.543185241976808</v>
      </c>
      <c r="AV668" s="112">
        <v>48.688025142603614</v>
      </c>
      <c r="AW668" s="112">
        <v>49.860432788037507</v>
      </c>
      <c r="AX668" s="112">
        <v>51.061072009573451</v>
      </c>
      <c r="AY668" s="112">
        <v>52.290622623563983</v>
      </c>
      <c r="AZ668" s="112">
        <v>53.549780816339407</v>
      </c>
      <c r="BA668" s="112">
        <v>54.83925953839686</v>
      </c>
      <c r="BB668" s="112">
        <v>56.15978890808146</v>
      </c>
      <c r="BC668" s="112">
        <f t="shared" ref="BC668:BG675" si="212">BB668*(1+((BB668-BA668)/BA668))</f>
        <v>57.512116624988067</v>
      </c>
      <c r="BD668" s="112">
        <f t="shared" si="212"/>
        <v>58.897008393317783</v>
      </c>
      <c r="BE668" s="112">
        <f t="shared" si="212"/>
        <v>60.315248355428885</v>
      </c>
      <c r="BF668" s="112">
        <f t="shared" si="212"/>
        <v>61.76763953582762</v>
      </c>
      <c r="BG668" s="112">
        <f t="shared" si="212"/>
        <v>63.255004295850355</v>
      </c>
    </row>
    <row r="669" spans="1:59" ht="13.75" customHeight="1" outlineLevel="1">
      <c r="A669" s="171" t="s">
        <v>166</v>
      </c>
      <c r="B669" s="165" t="s">
        <v>245</v>
      </c>
      <c r="C669" s="165"/>
      <c r="D669" s="165" t="s">
        <v>168</v>
      </c>
      <c r="E669" s="167"/>
      <c r="F669" s="168" t="s">
        <v>616</v>
      </c>
      <c r="G669" s="168" t="s">
        <v>4</v>
      </c>
      <c r="W669" s="119">
        <v>914.59099962227231</v>
      </c>
      <c r="X669" s="119">
        <v>776.72680744413924</v>
      </c>
      <c r="Y669" s="119">
        <v>822.28101068588364</v>
      </c>
      <c r="Z669" s="119">
        <v>875.14927781642893</v>
      </c>
      <c r="AA669" s="119">
        <v>845.8768073333332</v>
      </c>
      <c r="AB669" s="119">
        <v>859.10722899999985</v>
      </c>
      <c r="AC669" s="119">
        <v>911.79510558333322</v>
      </c>
      <c r="AD669" s="119">
        <v>1509.0777068333334</v>
      </c>
      <c r="AE669" s="119">
        <v>1742.4902749098053</v>
      </c>
      <c r="AF669" s="119">
        <v>1076.7565342468729</v>
      </c>
      <c r="AG669" s="119">
        <v>1015.5886131666666</v>
      </c>
      <c r="AH669" s="119">
        <v>951.38481683093346</v>
      </c>
      <c r="AI669" s="119">
        <v>955.30296676315879</v>
      </c>
      <c r="AJ669" s="119">
        <v>959.12417863021142</v>
      </c>
      <c r="AK669" s="119">
        <v>962.96067534473229</v>
      </c>
      <c r="AL669" s="119">
        <v>966.81251804611122</v>
      </c>
      <c r="AM669" s="119">
        <v>970.67976811829567</v>
      </c>
      <c r="AN669" s="119">
        <v>974.56248719076882</v>
      </c>
      <c r="AO669" s="119">
        <v>978.46073713953194</v>
      </c>
      <c r="AP669" s="119">
        <v>982.37458008809006</v>
      </c>
      <c r="AQ669" s="119">
        <v>986.30407840844236</v>
      </c>
      <c r="AR669" s="119">
        <v>990.24929472207612</v>
      </c>
      <c r="AS669" s="119">
        <v>994.21029190096442</v>
      </c>
      <c r="AT669" s="119">
        <v>998.1871330685683</v>
      </c>
      <c r="AU669" s="119">
        <v>1002.1798816008426</v>
      </c>
      <c r="AV669" s="119">
        <v>1006.188601127246</v>
      </c>
      <c r="AW669" s="119">
        <v>1010.2133555317549</v>
      </c>
      <c r="AX669" s="119">
        <v>1014.254208953882</v>
      </c>
      <c r="AY669" s="119">
        <v>1018.3112257896975</v>
      </c>
      <c r="AZ669" s="119">
        <v>1022.3844706928562</v>
      </c>
      <c r="BA669" s="119">
        <v>1026.4740085756277</v>
      </c>
      <c r="BB669" s="119">
        <v>1030.5799046099303</v>
      </c>
      <c r="BC669" s="119">
        <f t="shared" si="212"/>
        <v>1034.7022242283699</v>
      </c>
      <c r="BD669" s="119">
        <f t="shared" si="212"/>
        <v>1038.8410331252835</v>
      </c>
      <c r="BE669" s="119">
        <f t="shared" si="212"/>
        <v>1042.9963972577846</v>
      </c>
      <c r="BF669" s="119">
        <f t="shared" si="212"/>
        <v>1047.1683828468158</v>
      </c>
      <c r="BG669" s="119">
        <f t="shared" si="212"/>
        <v>1051.357056378203</v>
      </c>
    </row>
    <row r="670" spans="1:59" ht="13.75" customHeight="1" outlineLevel="1">
      <c r="A670" s="171" t="s">
        <v>166</v>
      </c>
      <c r="B670" s="165" t="s">
        <v>245</v>
      </c>
      <c r="C670" s="165"/>
      <c r="D670" s="165" t="s">
        <v>168</v>
      </c>
      <c r="E670" s="167"/>
      <c r="F670" s="168" t="s">
        <v>617</v>
      </c>
      <c r="G670" s="168" t="s">
        <v>247</v>
      </c>
      <c r="W670" s="112">
        <v>12.589084166666668</v>
      </c>
      <c r="X670" s="112">
        <v>15.168315833333333</v>
      </c>
      <c r="Y670" s="112">
        <v>15.558869999999999</v>
      </c>
      <c r="Z670" s="112">
        <v>14.0741675</v>
      </c>
      <c r="AA670" s="112">
        <v>17.183060833333336</v>
      </c>
      <c r="AB670" s="112">
        <v>17.432308333333335</v>
      </c>
      <c r="AC670" s="112">
        <v>18.824400000000001</v>
      </c>
      <c r="AD670" s="112">
        <v>20.837076666666668</v>
      </c>
      <c r="AE670" s="112">
        <v>23.195639583333335</v>
      </c>
      <c r="AF670" s="112">
        <v>20.175497384726111</v>
      </c>
      <c r="AG670" s="112">
        <v>23.749306296647237</v>
      </c>
      <c r="AH670" s="112">
        <v>24.555942779513131</v>
      </c>
      <c r="AI670" s="112">
        <v>24.863302317723861</v>
      </c>
      <c r="AJ670" s="112">
        <v>25.300359391185737</v>
      </c>
      <c r="AK670" s="112">
        <v>25.745099228707758</v>
      </c>
      <c r="AL670" s="112">
        <v>26.197656880989676</v>
      </c>
      <c r="AM670" s="112">
        <v>26.658169772706461</v>
      </c>
      <c r="AN670" s="112">
        <v>27.126777744239007</v>
      </c>
      <c r="AO670" s="112">
        <v>27.603623094138342</v>
      </c>
      <c r="AP670" s="112">
        <v>28.088850622336345</v>
      </c>
      <c r="AQ670" s="112">
        <v>28.582607674116026</v>
      </c>
      <c r="AR670" s="112">
        <v>29.085044184854706</v>
      </c>
      <c r="AS670" s="112">
        <v>29.596312725553759</v>
      </c>
      <c r="AT670" s="112">
        <v>30.116568549168637</v>
      </c>
      <c r="AU670" s="112">
        <v>30.645969637753346</v>
      </c>
      <c r="AV670" s="112">
        <v>31.184676750433631</v>
      </c>
      <c r="AW670" s="112">
        <v>31.73285347222345</v>
      </c>
      <c r="AX670" s="112">
        <v>32.290666263699578</v>
      </c>
      <c r="AY670" s="112">
        <v>32.8582845115494</v>
      </c>
      <c r="AZ670" s="112">
        <v>33.435880580007222</v>
      </c>
      <c r="BA670" s="112">
        <v>34.023629863194827</v>
      </c>
      <c r="BB670" s="112">
        <v>34.621710838382008</v>
      </c>
      <c r="BC670" s="112">
        <f t="shared" si="212"/>
        <v>35.230305120183417</v>
      </c>
      <c r="BD670" s="112">
        <f t="shared" si="212"/>
        <v>35.849597515708048</v>
      </c>
      <c r="BE670" s="112">
        <f t="shared" si="212"/>
        <v>36.479776080678164</v>
      </c>
      <c r="BF670" s="112">
        <f t="shared" si="212"/>
        <v>37.121032176534754</v>
      </c>
      <c r="BG670" s="112">
        <f t="shared" si="212"/>
        <v>37.773560528546746</v>
      </c>
    </row>
    <row r="671" spans="1:59" ht="13.75" customHeight="1" outlineLevel="1">
      <c r="A671" s="171" t="s">
        <v>166</v>
      </c>
      <c r="B671" s="165" t="s">
        <v>245</v>
      </c>
      <c r="C671" s="165"/>
      <c r="D671" s="165" t="s">
        <v>168</v>
      </c>
      <c r="E671" s="167"/>
      <c r="F671" s="168" t="s">
        <v>618</v>
      </c>
      <c r="G671" s="168" t="s">
        <v>4</v>
      </c>
      <c r="W671" s="112">
        <v>262.185</v>
      </c>
      <c r="X671" s="112">
        <v>201.59</v>
      </c>
      <c r="Y671" s="112">
        <v>178.05250000000001</v>
      </c>
      <c r="Z671" s="112">
        <v>188.5025</v>
      </c>
      <c r="AA671" s="112">
        <v>213.93583333333336</v>
      </c>
      <c r="AB671" s="112">
        <v>208.99666666666667</v>
      </c>
      <c r="AC671" s="112">
        <v>224.50416666666669</v>
      </c>
      <c r="AD671" s="112">
        <v>284.96333333333337</v>
      </c>
      <c r="AE671" s="112">
        <v>349.51111666666668</v>
      </c>
      <c r="AF671" s="112">
        <v>258.72192404861113</v>
      </c>
      <c r="AG671" s="112">
        <v>262.49293061354649</v>
      </c>
      <c r="AH671" s="112">
        <v>269.40382606367484</v>
      </c>
      <c r="AI671" s="112">
        <v>270.51332935210098</v>
      </c>
      <c r="AJ671" s="112">
        <v>271.59538266950938</v>
      </c>
      <c r="AK671" s="112">
        <v>272.68176420018739</v>
      </c>
      <c r="AL671" s="112">
        <v>273.77249125698813</v>
      </c>
      <c r="AM671" s="112">
        <v>274.8675812220161</v>
      </c>
      <c r="AN671" s="112">
        <v>275.96705154690414</v>
      </c>
      <c r="AO671" s="112">
        <v>277.07091975309174</v>
      </c>
      <c r="AP671" s="112">
        <v>278.17920343210409</v>
      </c>
      <c r="AQ671" s="112">
        <v>279.2919202458325</v>
      </c>
      <c r="AR671" s="112">
        <v>280.40908792681586</v>
      </c>
      <c r="AS671" s="112">
        <v>281.53072427852311</v>
      </c>
      <c r="AT671" s="112">
        <v>282.65684717563721</v>
      </c>
      <c r="AU671" s="112">
        <v>283.78747456433979</v>
      </c>
      <c r="AV671" s="112">
        <v>284.92262446259713</v>
      </c>
      <c r="AW671" s="112">
        <v>286.06231496044751</v>
      </c>
      <c r="AX671" s="112">
        <v>287.20656422028929</v>
      </c>
      <c r="AY671" s="112">
        <v>288.35539047717043</v>
      </c>
      <c r="AZ671" s="112">
        <v>289.50881203907909</v>
      </c>
      <c r="BA671" s="112">
        <v>290.66684728723538</v>
      </c>
      <c r="BB671" s="112">
        <v>291.82951467638435</v>
      </c>
      <c r="BC671" s="112">
        <f t="shared" si="212"/>
        <v>292.99683273508987</v>
      </c>
      <c r="BD671" s="112">
        <f t="shared" si="212"/>
        <v>294.16882006603021</v>
      </c>
      <c r="BE671" s="112">
        <f t="shared" si="212"/>
        <v>295.34549534629434</v>
      </c>
      <c r="BF671" s="112">
        <f t="shared" si="212"/>
        <v>296.52687732767953</v>
      </c>
      <c r="BG671" s="112">
        <f t="shared" si="212"/>
        <v>297.71298483699024</v>
      </c>
    </row>
    <row r="672" spans="1:59" ht="13.75" customHeight="1" outlineLevel="1">
      <c r="A672" s="141" t="s">
        <v>166</v>
      </c>
      <c r="B672" s="170" t="s">
        <v>245</v>
      </c>
      <c r="C672" s="170"/>
      <c r="D672" s="170" t="s">
        <v>168</v>
      </c>
      <c r="E672" s="168"/>
      <c r="F672" s="168" t="s">
        <v>619</v>
      </c>
      <c r="G672" s="168" t="s">
        <v>4</v>
      </c>
      <c r="W672" s="112"/>
      <c r="X672" s="112"/>
      <c r="Y672" s="112">
        <v>10.35282383675731</v>
      </c>
      <c r="Z672" s="112">
        <v>13.066073309734026</v>
      </c>
      <c r="AA672" s="112">
        <v>14.119942684155323</v>
      </c>
      <c r="AB672" s="112">
        <v>19.534076779892366</v>
      </c>
      <c r="AC672" s="112">
        <v>19.534008996418954</v>
      </c>
      <c r="AD672" s="112">
        <v>31.618066832660922</v>
      </c>
      <c r="AE672" s="112">
        <v>18.183645813747141</v>
      </c>
      <c r="AF672" s="112">
        <v>11.053028219888771</v>
      </c>
      <c r="AG672" s="112">
        <v>13.263633863866525</v>
      </c>
      <c r="AH672" s="112">
        <v>13.536756291329045</v>
      </c>
      <c r="AI672" s="112">
        <v>13.815502808022968</v>
      </c>
      <c r="AJ672" s="112">
        <v>14.091812864183428</v>
      </c>
      <c r="AK672" s="112">
        <v>14.373649121467096</v>
      </c>
      <c r="AL672" s="112">
        <v>14.661122103896439</v>
      </c>
      <c r="AM672" s="112">
        <v>14.954344545974369</v>
      </c>
      <c r="AN672" s="112">
        <v>15.253431436893857</v>
      </c>
      <c r="AO672" s="112">
        <v>15.558500065631735</v>
      </c>
      <c r="AP672" s="112">
        <v>15.869670066944369</v>
      </c>
      <c r="AQ672" s="112">
        <v>16.187063468283256</v>
      </c>
      <c r="AR672" s="112">
        <v>16.510804737648922</v>
      </c>
      <c r="AS672" s="112">
        <v>16.841020832401899</v>
      </c>
      <c r="AT672" s="112">
        <v>17.177841249049937</v>
      </c>
      <c r="AU672" s="112">
        <v>17.521398074030937</v>
      </c>
      <c r="AV672" s="112">
        <v>17.871826035511557</v>
      </c>
      <c r="AW672" s="112">
        <v>18.229262556221787</v>
      </c>
      <c r="AX672" s="112">
        <v>18.593847807346222</v>
      </c>
      <c r="AY672" s="112">
        <v>18.965724763493146</v>
      </c>
      <c r="AZ672" s="112">
        <v>19.345039258763009</v>
      </c>
      <c r="BA672" s="112">
        <v>19.73194004393827</v>
      </c>
      <c r="BB672" s="112">
        <v>20.126578844817036</v>
      </c>
      <c r="BC672" s="112">
        <f t="shared" si="212"/>
        <v>20.529110421713376</v>
      </c>
      <c r="BD672" s="112">
        <f t="shared" si="212"/>
        <v>20.939692630147643</v>
      </c>
      <c r="BE672" s="112">
        <f t="shared" si="212"/>
        <v>21.358486482750596</v>
      </c>
      <c r="BF672" s="112">
        <f t="shared" si="212"/>
        <v>21.785656212405609</v>
      </c>
      <c r="BG672" s="112">
        <f t="shared" si="212"/>
        <v>22.221369336653723</v>
      </c>
    </row>
    <row r="673" spans="1:59" ht="13.75" customHeight="1" outlineLevel="1">
      <c r="A673" s="141" t="s">
        <v>166</v>
      </c>
      <c r="B673" s="170" t="s">
        <v>245</v>
      </c>
      <c r="C673" s="170"/>
      <c r="D673" s="170" t="s">
        <v>168</v>
      </c>
      <c r="E673" s="168"/>
      <c r="F673" s="168" t="s">
        <v>620</v>
      </c>
      <c r="G673" s="168" t="s">
        <v>4</v>
      </c>
      <c r="W673" s="112"/>
      <c r="X673" s="112"/>
      <c r="Y673" s="112">
        <v>11.038517710132222</v>
      </c>
      <c r="Z673" s="112">
        <v>12.47193044879112</v>
      </c>
      <c r="AA673" s="112">
        <v>15.332111357506392</v>
      </c>
      <c r="AB673" s="112">
        <v>18.455157746176841</v>
      </c>
      <c r="AC673" s="112">
        <v>21.375887021928882</v>
      </c>
      <c r="AD673" s="112">
        <v>30.430985127259774</v>
      </c>
      <c r="AE673" s="112">
        <v>27.120075194875419</v>
      </c>
      <c r="AF673" s="112">
        <v>24.299839089338761</v>
      </c>
      <c r="AG673" s="112">
        <v>23.084847134871822</v>
      </c>
      <c r="AH673" s="112">
        <v>23.560206267353138</v>
      </c>
      <c r="AI673" s="112">
        <v>24.045353911905305</v>
      </c>
      <c r="AJ673" s="112">
        <v>24.526260990143413</v>
      </c>
      <c r="AK673" s="112">
        <v>25.016786209946282</v>
      </c>
      <c r="AL673" s="112">
        <v>25.517121934145209</v>
      </c>
      <c r="AM673" s="112">
        <v>26.027464372828113</v>
      </c>
      <c r="AN673" s="112">
        <v>26.548013660284678</v>
      </c>
      <c r="AO673" s="112">
        <v>27.078973933490371</v>
      </c>
      <c r="AP673" s="112">
        <v>27.620553412160177</v>
      </c>
      <c r="AQ673" s="112">
        <v>28.17296448040338</v>
      </c>
      <c r="AR673" s="112">
        <v>28.736423770011449</v>
      </c>
      <c r="AS673" s="112">
        <v>29.311152245411677</v>
      </c>
      <c r="AT673" s="112">
        <v>29.897375290319911</v>
      </c>
      <c r="AU673" s="112">
        <v>30.49532279612631</v>
      </c>
      <c r="AV673" s="112">
        <v>31.105229252048836</v>
      </c>
      <c r="AW673" s="112">
        <v>31.727333837089812</v>
      </c>
      <c r="AX673" s="112">
        <v>32.361880513831608</v>
      </c>
      <c r="AY673" s="112">
        <v>33.009118124108241</v>
      </c>
      <c r="AZ673" s="112">
        <v>33.669300486590409</v>
      </c>
      <c r="BA673" s="112">
        <v>34.342686496322216</v>
      </c>
      <c r="BB673" s="112">
        <v>35.029540226248663</v>
      </c>
      <c r="BC673" s="112">
        <f t="shared" si="212"/>
        <v>35.730131030773634</v>
      </c>
      <c r="BD673" s="112">
        <f t="shared" si="212"/>
        <v>36.444733651389107</v>
      </c>
      <c r="BE673" s="112">
        <f t="shared" si="212"/>
        <v>37.173628324416889</v>
      </c>
      <c r="BF673" s="112">
        <f t="shared" si="212"/>
        <v>37.917100890905225</v>
      </c>
      <c r="BG673" s="112">
        <f t="shared" si="212"/>
        <v>38.675442908723333</v>
      </c>
    </row>
    <row r="674" spans="1:59" ht="13.75" customHeight="1" outlineLevel="1">
      <c r="A674" s="171" t="s">
        <v>166</v>
      </c>
      <c r="B674" s="165" t="s">
        <v>245</v>
      </c>
      <c r="C674" s="165"/>
      <c r="D674" s="165" t="s">
        <v>168</v>
      </c>
      <c r="E674" s="167"/>
      <c r="F674" s="168" t="s">
        <v>621</v>
      </c>
      <c r="G674" s="168" t="s">
        <v>247</v>
      </c>
      <c r="W674" s="112"/>
      <c r="X674" s="112">
        <v>155.9848484848485</v>
      </c>
      <c r="Y674" s="112">
        <v>171.43939393939394</v>
      </c>
      <c r="Z674" s="112">
        <v>171.89393939393935</v>
      </c>
      <c r="AA674" s="112">
        <v>218.63636363636363</v>
      </c>
      <c r="AB674" s="112">
        <v>237.19696969696969</v>
      </c>
      <c r="AC674" s="112">
        <v>199.84848484848484</v>
      </c>
      <c r="AD674" s="112">
        <v>204.24242424242422</v>
      </c>
      <c r="AE674" s="112">
        <v>237.84469696969697</v>
      </c>
      <c r="AF674" s="112">
        <v>245.92424242424241</v>
      </c>
      <c r="AG674" s="112">
        <v>246.35833333333335</v>
      </c>
      <c r="AH674" s="112">
        <v>268.63541666666669</v>
      </c>
      <c r="AI674" s="112">
        <v>275.61993750000005</v>
      </c>
      <c r="AJ674" s="112">
        <v>286.75498297500002</v>
      </c>
      <c r="AK674" s="112">
        <v>298.33988428719005</v>
      </c>
      <c r="AL674" s="112">
        <v>310.39281561239255</v>
      </c>
      <c r="AM674" s="112">
        <v>322.93268536313326</v>
      </c>
      <c r="AN674" s="112">
        <v>335.97916585180383</v>
      </c>
      <c r="AO674" s="112">
        <v>349.55272415221674</v>
      </c>
      <c r="AP674" s="112">
        <v>363.67465420796634</v>
      </c>
      <c r="AQ674" s="112">
        <v>378.36711023796818</v>
      </c>
      <c r="AR674" s="112">
        <v>393.65314149158212</v>
      </c>
      <c r="AS674" s="112">
        <v>409.55672840784206</v>
      </c>
      <c r="AT674" s="112">
        <v>426.10282023551889</v>
      </c>
      <c r="AU674" s="112">
        <v>443.31737417303384</v>
      </c>
      <c r="AV674" s="112">
        <v>461.22739608962445</v>
      </c>
      <c r="AW674" s="112">
        <v>479.86098289164534</v>
      </c>
      <c r="AX674" s="112">
        <v>499.24736660046784</v>
      </c>
      <c r="AY674" s="112">
        <v>519.41696021112682</v>
      </c>
      <c r="AZ674" s="112">
        <v>540.40140540365644</v>
      </c>
      <c r="BA674" s="112">
        <v>562.23362218196417</v>
      </c>
      <c r="BB674" s="112">
        <v>584.94786051811548</v>
      </c>
      <c r="BC674" s="112">
        <f t="shared" si="212"/>
        <v>608.57975408304731</v>
      </c>
      <c r="BD674" s="112">
        <f t="shared" si="212"/>
        <v>633.16637614800243</v>
      </c>
      <c r="BE674" s="112">
        <f t="shared" si="212"/>
        <v>658.74629774438176</v>
      </c>
      <c r="BF674" s="112">
        <f t="shared" si="212"/>
        <v>685.35964817325475</v>
      </c>
      <c r="BG674" s="112">
        <f t="shared" si="212"/>
        <v>713.04817795945428</v>
      </c>
    </row>
    <row r="675" spans="1:59" ht="13.75" customHeight="1" outlineLevel="1">
      <c r="A675" s="171" t="s">
        <v>166</v>
      </c>
      <c r="B675" s="165" t="s">
        <v>245</v>
      </c>
      <c r="C675" s="165"/>
      <c r="D675" s="165" t="s">
        <v>168</v>
      </c>
      <c r="E675" s="167"/>
      <c r="F675" s="168" t="s">
        <v>622</v>
      </c>
      <c r="G675" s="168" t="s">
        <v>247</v>
      </c>
      <c r="W675" s="112"/>
      <c r="X675" s="112"/>
      <c r="Y675" s="112"/>
      <c r="Z675" s="112">
        <v>143.25757575757575</v>
      </c>
      <c r="AA675" s="112">
        <v>141.47348484848484</v>
      </c>
      <c r="AB675" s="112">
        <v>104.52840909090908</v>
      </c>
      <c r="AC675" s="112">
        <v>136.68560606060606</v>
      </c>
      <c r="AD675" s="112">
        <v>202.87878787878788</v>
      </c>
      <c r="AE675" s="112">
        <v>170.625</v>
      </c>
      <c r="AF675" s="112">
        <v>214.15351162902914</v>
      </c>
      <c r="AG675" s="112">
        <v>128.32304752340278</v>
      </c>
      <c r="AH675" s="112">
        <v>140.90169647692599</v>
      </c>
      <c r="AI675" s="112">
        <v>145.66887524048255</v>
      </c>
      <c r="AJ675" s="112">
        <v>151.55389780019806</v>
      </c>
      <c r="AK675" s="112">
        <v>157.67667527132608</v>
      </c>
      <c r="AL675" s="112">
        <v>164.04681295228767</v>
      </c>
      <c r="AM675" s="112">
        <v>170.6743041955601</v>
      </c>
      <c r="AN675" s="112">
        <v>177.56954608506072</v>
      </c>
      <c r="AO675" s="112">
        <v>184.74335574689718</v>
      </c>
      <c r="AP675" s="112">
        <v>192.20698731907183</v>
      </c>
      <c r="AQ675" s="112">
        <v>199.97214960676234</v>
      </c>
      <c r="AR675" s="112">
        <v>208.05102445087553</v>
      </c>
      <c r="AS675" s="112">
        <v>216.45628583869092</v>
      </c>
      <c r="AT675" s="112">
        <v>225.20111978657405</v>
      </c>
      <c r="AU675" s="112">
        <v>234.29924502595165</v>
      </c>
      <c r="AV675" s="112">
        <v>243.76493452500009</v>
      </c>
      <c r="AW675" s="112">
        <v>253.61303787981012</v>
      </c>
      <c r="AX675" s="112">
        <v>263.85900461015444</v>
      </c>
      <c r="AY675" s="112">
        <v>274.5189083964047</v>
      </c>
      <c r="AZ675" s="112">
        <v>285.60947229561947</v>
      </c>
      <c r="BA675" s="112">
        <v>297.14809497636247</v>
      </c>
      <c r="BB675" s="112">
        <v>309.15287801340753</v>
      </c>
      <c r="BC675" s="112">
        <f t="shared" si="212"/>
        <v>321.64265428514921</v>
      </c>
      <c r="BD675" s="112">
        <f t="shared" si="212"/>
        <v>334.6370175182692</v>
      </c>
      <c r="BE675" s="112">
        <f t="shared" si="212"/>
        <v>348.15635302600725</v>
      </c>
      <c r="BF675" s="112">
        <f t="shared" si="212"/>
        <v>362.22186968825793</v>
      </c>
      <c r="BG675" s="112">
        <f t="shared" si="212"/>
        <v>376.85563322366352</v>
      </c>
    </row>
    <row r="676" spans="1:59" ht="13.75" customHeight="1" outlineLevel="1">
      <c r="B676" s="165"/>
      <c r="C676" s="165"/>
      <c r="F676" s="168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</row>
    <row r="677" spans="1:59" ht="13.75" customHeight="1" outlineLevel="1">
      <c r="B677" s="165"/>
      <c r="C677" s="165"/>
      <c r="F677" s="168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</row>
    <row r="678" spans="1:59" ht="13.75" customHeight="1" outlineLevel="1">
      <c r="B678" s="165"/>
      <c r="C678" s="165"/>
      <c r="F678" s="168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</row>
    <row r="679" spans="1:59" ht="13.75" customHeight="1" outlineLevel="1">
      <c r="B679" s="165"/>
      <c r="C679" s="165"/>
      <c r="F679" s="168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</row>
    <row r="680" spans="1:59" ht="13.75" customHeight="1" outlineLevel="1">
      <c r="B680" s="165"/>
      <c r="C680" s="165"/>
      <c r="F680" s="168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</row>
    <row r="681" spans="1:59" ht="13.75" customHeight="1" outlineLevel="1">
      <c r="B681" s="165"/>
      <c r="C681" s="165"/>
      <c r="F681" s="168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</row>
    <row r="682" spans="1:59" ht="13.75" customHeight="1" outlineLevel="1">
      <c r="B682" s="165"/>
      <c r="C682" s="165"/>
      <c r="F682" s="168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</row>
    <row r="683" spans="1:59" ht="13.75" customHeight="1" outlineLevel="1">
      <c r="B683" s="165"/>
      <c r="C683" s="165"/>
      <c r="F683" s="168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</row>
    <row r="684" spans="1:59" ht="13.75" customHeight="1" outlineLevel="1">
      <c r="B684" s="165"/>
      <c r="C684" s="165"/>
      <c r="F684" s="168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</row>
    <row r="685" spans="1:59" ht="13.75" customHeight="1" outlineLevel="1">
      <c r="B685" s="165"/>
      <c r="C685" s="165"/>
      <c r="F685" s="168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</row>
    <row r="686" spans="1:59" ht="13.75" customHeight="1" outlineLevel="1">
      <c r="B686" s="165"/>
      <c r="C686" s="165"/>
      <c r="F686" s="168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</row>
    <row r="687" spans="1:59" ht="13.75" customHeight="1" outlineLevel="1">
      <c r="B687" s="165"/>
      <c r="C687" s="165"/>
      <c r="F687" s="168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</row>
    <row r="688" spans="1:59" ht="13.75" customHeight="1">
      <c r="B688" s="165"/>
      <c r="C688" s="165"/>
      <c r="F688" s="168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</row>
    <row r="689" spans="1:59" ht="13.75" customHeight="1" outlineLevel="1">
      <c r="B689" s="165"/>
      <c r="C689" s="165"/>
      <c r="F689" s="168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</row>
    <row r="690" spans="1:59" ht="13.75" customHeight="1" outlineLevel="1">
      <c r="B690" s="165"/>
      <c r="C690" s="165"/>
      <c r="F690" s="168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</row>
    <row r="691" spans="1:59" ht="13.75" customHeight="1" outlineLevel="1">
      <c r="B691" s="165"/>
      <c r="C691" s="165"/>
      <c r="F691" s="168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</row>
    <row r="692" spans="1:59" ht="13.75" customHeight="1" outlineLevel="1">
      <c r="B692" s="165"/>
      <c r="C692" s="165"/>
      <c r="F692" s="168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</row>
    <row r="693" spans="1:59" ht="13.75" customHeight="1" outlineLevel="1">
      <c r="B693" s="165"/>
      <c r="C693" s="165"/>
      <c r="F693" s="168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</row>
    <row r="694" spans="1:59" ht="13.75" customHeight="1" outlineLevel="1">
      <c r="B694" s="165"/>
      <c r="C694" s="165"/>
      <c r="F694" s="168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</row>
    <row r="695" spans="1:59" ht="13.75" customHeight="1" outlineLevel="1">
      <c r="B695" s="165"/>
      <c r="C695" s="165"/>
      <c r="F695" s="168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</row>
    <row r="696" spans="1:59" ht="13.75" customHeight="1" outlineLevel="1">
      <c r="B696" s="165"/>
      <c r="C696" s="165"/>
      <c r="F696" s="168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</row>
    <row r="697" spans="1:59" ht="13.75" customHeight="1" outlineLevel="1">
      <c r="B697" s="165"/>
      <c r="C697" s="165"/>
      <c r="F697" s="168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</row>
    <row r="698" spans="1:59" ht="13.75" customHeight="1" outlineLevel="1">
      <c r="B698" s="165"/>
      <c r="C698" s="165"/>
      <c r="F698" s="168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</row>
    <row r="699" spans="1:59" ht="13.75" customHeight="1" outlineLevel="1">
      <c r="B699" s="165"/>
      <c r="C699" s="165"/>
      <c r="F699" s="168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  <c r="AQ699" s="107"/>
      <c r="AR699" s="107"/>
      <c r="AS699" s="107"/>
      <c r="AT699" s="107"/>
      <c r="AU699" s="107"/>
      <c r="AV699" s="107"/>
      <c r="AW699" s="107"/>
      <c r="AX699" s="107"/>
      <c r="AY699" s="107"/>
      <c r="AZ699" s="107"/>
      <c r="BA699" s="107"/>
      <c r="BB699" s="107"/>
      <c r="BC699" s="107"/>
      <c r="BD699" s="107"/>
      <c r="BE699" s="107"/>
      <c r="BF699" s="107"/>
      <c r="BG699" s="107"/>
    </row>
    <row r="700" spans="1:59" ht="13.75" customHeight="1" outlineLevel="1">
      <c r="A700" s="141" t="s">
        <v>166</v>
      </c>
      <c r="B700" s="165" t="s">
        <v>623</v>
      </c>
      <c r="C700" s="165"/>
      <c r="F700" s="168" t="s">
        <v>624</v>
      </c>
      <c r="G700" s="109" t="s">
        <v>625</v>
      </c>
      <c r="Q700" s="161">
        <v>22</v>
      </c>
      <c r="R700" s="161">
        <v>13</v>
      </c>
      <c r="S700" s="161">
        <v>15</v>
      </c>
      <c r="T700" s="161">
        <v>13</v>
      </c>
      <c r="U700" s="161">
        <v>7</v>
      </c>
      <c r="V700" s="161">
        <v>4</v>
      </c>
      <c r="W700" s="161">
        <v>6</v>
      </c>
      <c r="X700" s="161">
        <v>8</v>
      </c>
      <c r="Y700" s="161">
        <v>5</v>
      </c>
      <c r="Z700" s="161">
        <v>6</v>
      </c>
      <c r="AA700" s="161">
        <v>18</v>
      </c>
      <c r="AB700" s="161">
        <v>25</v>
      </c>
      <c r="AC700" s="161">
        <v>25</v>
      </c>
      <c r="AD700" s="119">
        <v>54</v>
      </c>
      <c r="AE700" s="119">
        <v>80</v>
      </c>
      <c r="AF700" s="119">
        <v>81.430492823964173</v>
      </c>
      <c r="AG700" s="119">
        <v>79.513923437179614</v>
      </c>
      <c r="AH700" s="119">
        <v>75.868430132716867</v>
      </c>
      <c r="AI700" s="119">
        <v>79.807325123172532</v>
      </c>
      <c r="AJ700" s="119">
        <v>82.205890672102655</v>
      </c>
      <c r="AK700" s="119">
        <v>82.909855763186783</v>
      </c>
      <c r="AL700" s="119">
        <v>83.789566225718815</v>
      </c>
      <c r="AM700" s="119">
        <v>83.491033510189197</v>
      </c>
      <c r="AN700" s="119">
        <v>85.85788998195531</v>
      </c>
      <c r="AO700" s="119">
        <v>91.826230389893738</v>
      </c>
      <c r="AP700" s="119">
        <v>99.628982469112259</v>
      </c>
      <c r="AQ700" s="119">
        <v>109.77754093286408</v>
      </c>
      <c r="AR700" s="119">
        <v>121.11420475779646</v>
      </c>
      <c r="AS700" s="119">
        <v>134.81223850327513</v>
      </c>
      <c r="AT700" s="119">
        <v>149.94677881207005</v>
      </c>
      <c r="AU700" s="119">
        <v>164.19746503941298</v>
      </c>
      <c r="AV700" s="119">
        <v>178.87613985442511</v>
      </c>
      <c r="AW700" s="119">
        <v>195.73145788983058</v>
      </c>
      <c r="AX700" s="119">
        <v>211.97820144226088</v>
      </c>
      <c r="AY700" s="119">
        <v>229.33520375664699</v>
      </c>
      <c r="AZ700" s="119">
        <v>247.96989378719115</v>
      </c>
      <c r="BA700" s="119">
        <v>268.4863743880112</v>
      </c>
      <c r="BB700" s="119">
        <v>289.37200569653379</v>
      </c>
      <c r="BC700" s="119">
        <f t="shared" ref="BC700:BG700" si="213">BB700*(1+((BB700-BA700)/BA700))</f>
        <v>311.8823361956571</v>
      </c>
      <c r="BD700" s="119">
        <f t="shared" si="213"/>
        <v>336.14375169680085</v>
      </c>
      <c r="BE700" s="119">
        <f t="shared" si="213"/>
        <v>362.29246959954605</v>
      </c>
      <c r="BF700" s="119">
        <f t="shared" si="213"/>
        <v>390.47530369367024</v>
      </c>
      <c r="BG700" s="119">
        <f t="shared" si="213"/>
        <v>420.85048845535005</v>
      </c>
    </row>
    <row r="701" spans="1:59" ht="13.75" customHeight="1" outlineLevel="1">
      <c r="B701" s="165"/>
      <c r="C701" s="165"/>
      <c r="F701" s="168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</row>
    <row r="702" spans="1:59" ht="13.75" customHeight="1" outlineLevel="1">
      <c r="B702" s="165"/>
      <c r="C702" s="165"/>
      <c r="F702" s="168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</row>
    <row r="703" spans="1:59" ht="13.75" customHeight="1" outlineLevel="1">
      <c r="B703" s="165"/>
      <c r="C703" s="165"/>
      <c r="F703" s="168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</row>
    <row r="704" spans="1:59" ht="13.75" customHeight="1" outlineLevel="1">
      <c r="B704" s="165"/>
      <c r="C704" s="165"/>
      <c r="F704" s="168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</row>
    <row r="705" spans="2:34" ht="13.75" customHeight="1" outlineLevel="1">
      <c r="B705" s="165"/>
      <c r="C705" s="165"/>
      <c r="F705" s="168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</row>
    <row r="706" spans="2:34" ht="13.75" customHeight="1" outlineLevel="1">
      <c r="B706" s="165"/>
      <c r="C706" s="165"/>
      <c r="F706" s="168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</row>
    <row r="707" spans="2:34" ht="13.75" customHeight="1" outlineLevel="1">
      <c r="B707" s="165"/>
      <c r="C707" s="165"/>
      <c r="F707" s="168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</row>
    <row r="708" spans="2:34" ht="13.75" customHeight="1">
      <c r="B708" s="165"/>
      <c r="C708" s="165"/>
      <c r="F708" s="168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</row>
    <row r="709" spans="2:34" ht="13.75" customHeight="1" outlineLevel="1">
      <c r="B709" s="165"/>
      <c r="C709" s="165"/>
      <c r="F709" s="168"/>
      <c r="W709" s="109"/>
      <c r="X709" s="109"/>
      <c r="Y709" s="109"/>
      <c r="Z709" s="109"/>
      <c r="AA709" s="109"/>
      <c r="AB709" s="109"/>
      <c r="AC709" s="140"/>
      <c r="AD709" s="140"/>
      <c r="AE709" s="109"/>
      <c r="AF709" s="109"/>
      <c r="AG709" s="109"/>
      <c r="AH709" s="109"/>
    </row>
    <row r="710" spans="2:34" ht="13.75" customHeight="1" outlineLevel="1">
      <c r="B710" s="165"/>
      <c r="C710" s="165"/>
      <c r="F710" s="168"/>
      <c r="W710" s="109"/>
      <c r="X710" s="109"/>
      <c r="Y710" s="109"/>
      <c r="Z710" s="109"/>
      <c r="AA710" s="109"/>
      <c r="AB710" s="109"/>
      <c r="AC710" s="140"/>
      <c r="AD710" s="140"/>
      <c r="AE710" s="109"/>
      <c r="AF710" s="109"/>
      <c r="AG710" s="109"/>
      <c r="AH710" s="109"/>
    </row>
    <row r="711" spans="2:34" ht="13.75" customHeight="1" outlineLevel="1">
      <c r="B711" s="165"/>
      <c r="C711" s="165"/>
      <c r="F711" s="168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</row>
    <row r="712" spans="2:34" ht="13.75" customHeight="1" outlineLevel="1">
      <c r="B712" s="165"/>
      <c r="C712" s="165"/>
      <c r="F712" s="168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</row>
    <row r="713" spans="2:34" ht="13.75" customHeight="1" outlineLevel="1">
      <c r="B713" s="165"/>
      <c r="C713" s="165"/>
      <c r="F713" s="168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</row>
    <row r="714" spans="2:34" ht="13.75" customHeight="1" outlineLevel="1">
      <c r="B714" s="165"/>
      <c r="C714" s="165"/>
      <c r="F714" s="168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</row>
    <row r="715" spans="2:34" ht="13.75" customHeight="1" outlineLevel="1">
      <c r="B715" s="165"/>
      <c r="C715" s="165"/>
      <c r="F715" s="168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</row>
    <row r="716" spans="2:34" ht="13.75" customHeight="1" outlineLevel="1">
      <c r="B716" s="165"/>
      <c r="C716" s="165"/>
      <c r="F716" s="168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</row>
    <row r="717" spans="2:34" ht="13.75" customHeight="1" outlineLevel="1">
      <c r="B717" s="165"/>
      <c r="C717" s="165"/>
      <c r="F717" s="168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</row>
    <row r="718" spans="2:34" ht="13.75" customHeight="1" outlineLevel="1">
      <c r="B718" s="165"/>
      <c r="C718" s="165"/>
      <c r="F718" s="168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</row>
    <row r="719" spans="2:34" ht="13.75" customHeight="1" outlineLevel="1">
      <c r="B719" s="165"/>
      <c r="C719" s="165"/>
      <c r="F719" s="168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</row>
    <row r="720" spans="2:34" ht="13.75" customHeight="1" outlineLevel="1">
      <c r="B720" s="165"/>
      <c r="C720" s="165"/>
      <c r="F720" s="168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</row>
    <row r="721" spans="2:34" ht="13.75" customHeight="1" outlineLevel="1">
      <c r="B721" s="165"/>
      <c r="C721" s="165"/>
      <c r="F721" s="168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</row>
    <row r="722" spans="2:34" ht="13.75" customHeight="1" outlineLevel="1">
      <c r="B722" s="165"/>
      <c r="C722" s="165"/>
      <c r="F722" s="168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</row>
    <row r="723" spans="2:34" ht="13.75" customHeight="1" outlineLevel="1">
      <c r="B723" s="165"/>
      <c r="C723" s="165"/>
      <c r="F723" s="168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</row>
    <row r="724" spans="2:34" ht="13.75" customHeight="1" outlineLevel="1">
      <c r="B724" s="165"/>
      <c r="C724" s="165"/>
      <c r="F724" s="168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</row>
    <row r="725" spans="2:34" ht="13.75" customHeight="1" outlineLevel="1">
      <c r="B725" s="165"/>
      <c r="C725" s="165"/>
      <c r="F725" s="168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</row>
    <row r="726" spans="2:34" ht="13.75" customHeight="1" outlineLevel="1">
      <c r="B726" s="165"/>
      <c r="C726" s="165"/>
      <c r="F726" s="168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</row>
    <row r="727" spans="2:34" ht="13.75" customHeight="1" outlineLevel="1">
      <c r="B727" s="165"/>
      <c r="C727" s="165"/>
      <c r="F727" s="168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</row>
    <row r="728" spans="2:34" ht="13.75" customHeight="1">
      <c r="B728" s="165"/>
      <c r="C728" s="165"/>
      <c r="F728" s="168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</row>
    <row r="729" spans="2:34" ht="13.75" customHeight="1" outlineLevel="1">
      <c r="B729" s="165"/>
      <c r="C729" s="165"/>
      <c r="F729" s="168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</row>
    <row r="730" spans="2:34" ht="13.75" customHeight="1" outlineLevel="1">
      <c r="B730" s="165"/>
      <c r="C730" s="165"/>
      <c r="F730" s="168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</row>
    <row r="731" spans="2:34" ht="13.75" customHeight="1" outlineLevel="1">
      <c r="B731" s="165"/>
      <c r="C731" s="165"/>
      <c r="F731" s="168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</row>
    <row r="732" spans="2:34" ht="13.75" customHeight="1" outlineLevel="1">
      <c r="B732" s="165"/>
      <c r="C732" s="165"/>
      <c r="F732" s="168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</row>
    <row r="733" spans="2:34" ht="13.75" customHeight="1" outlineLevel="1">
      <c r="B733" s="165"/>
      <c r="C733" s="165"/>
      <c r="F733" s="168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</row>
    <row r="734" spans="2:34" ht="13.75" customHeight="1" outlineLevel="1">
      <c r="B734" s="165"/>
      <c r="C734" s="165"/>
      <c r="F734" s="168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</row>
    <row r="735" spans="2:34" ht="13.75" customHeight="1" outlineLevel="1">
      <c r="B735" s="165"/>
      <c r="C735" s="165"/>
      <c r="F735" s="168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</row>
    <row r="736" spans="2:34" ht="13.75" customHeight="1" outlineLevel="1">
      <c r="B736" s="165"/>
      <c r="C736" s="165"/>
      <c r="F736" s="168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</row>
    <row r="737" spans="1:59" ht="13.75" customHeight="1" outlineLevel="1">
      <c r="B737" s="165"/>
      <c r="C737" s="165"/>
      <c r="F737" s="168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</row>
    <row r="738" spans="1:59" ht="13.75" customHeight="1" outlineLevel="1">
      <c r="B738" s="165"/>
      <c r="C738" s="165"/>
      <c r="F738" s="168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</row>
    <row r="739" spans="1:59" ht="13.75" customHeight="1" outlineLevel="1">
      <c r="B739" s="165"/>
      <c r="C739" s="165"/>
      <c r="F739" s="168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</row>
    <row r="740" spans="1:59" ht="13.75" customHeight="1" outlineLevel="1">
      <c r="B740" s="165"/>
      <c r="C740" s="165"/>
      <c r="F740" s="168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</row>
    <row r="741" spans="1:59" ht="13.75" customHeight="1" outlineLevel="1">
      <c r="B741" s="165"/>
      <c r="C741" s="165"/>
      <c r="F741" s="168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</row>
    <row r="742" spans="1:59" ht="13.75" customHeight="1" outlineLevel="1">
      <c r="B742" s="165"/>
      <c r="C742" s="165"/>
      <c r="F742" s="168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</row>
    <row r="743" spans="1:59" ht="13.75" customHeight="1" outlineLevel="1">
      <c r="B743" s="165"/>
      <c r="C743" s="165"/>
      <c r="F743" s="168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</row>
    <row r="744" spans="1:59" ht="13.75" customHeight="1" outlineLevel="1">
      <c r="B744" s="165"/>
      <c r="C744" s="165"/>
      <c r="F744" s="168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</row>
    <row r="745" spans="1:59" ht="13.75" customHeight="1" outlineLevel="1">
      <c r="B745" s="165"/>
      <c r="C745" s="165"/>
      <c r="F745" s="168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</row>
    <row r="746" spans="1:59" ht="13.75" customHeight="1" outlineLevel="1">
      <c r="B746" s="165"/>
      <c r="C746" s="165"/>
      <c r="F746" s="168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</row>
    <row r="747" spans="1:59" ht="13.75" customHeight="1" outlineLevel="1">
      <c r="B747" s="165"/>
      <c r="C747" s="165"/>
      <c r="F747" s="168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</row>
    <row r="748" spans="1:59" ht="13.75" customHeight="1">
      <c r="B748" s="165"/>
      <c r="C748" s="165"/>
      <c r="F748" s="168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</row>
    <row r="749" spans="1:59" ht="13.75" customHeight="1" outlineLevel="1">
      <c r="B749" s="165"/>
      <c r="C749" s="165"/>
      <c r="F749" s="168"/>
      <c r="W749" s="109"/>
      <c r="X749" s="123"/>
      <c r="Y749" s="123"/>
      <c r="Z749" s="123"/>
      <c r="AA749" s="123"/>
      <c r="AB749" s="123"/>
      <c r="AC749" s="123"/>
      <c r="AD749" s="123"/>
      <c r="AE749" s="109"/>
      <c r="AF749" s="109"/>
      <c r="AG749" s="109"/>
      <c r="AH749" s="109"/>
    </row>
    <row r="750" spans="1:59" ht="13.75" customHeight="1" outlineLevel="1">
      <c r="A750" s="141" t="s">
        <v>166</v>
      </c>
      <c r="B750" s="165" t="s">
        <v>626</v>
      </c>
      <c r="C750" s="165"/>
      <c r="D750" s="142" t="s">
        <v>168</v>
      </c>
      <c r="E750" s="109" t="s">
        <v>627</v>
      </c>
      <c r="F750" s="168" t="s">
        <v>627</v>
      </c>
      <c r="G750" s="109" t="s">
        <v>3</v>
      </c>
      <c r="H750" s="109" t="s">
        <v>628</v>
      </c>
      <c r="W750" s="109"/>
      <c r="X750" s="107">
        <v>-0.24060530444412909</v>
      </c>
      <c r="Y750" s="107">
        <v>-5.7138695298975639E-2</v>
      </c>
      <c r="Z750" s="107">
        <v>0.11973935298590788</v>
      </c>
      <c r="AA750" s="107">
        <v>5.9797316063086692E-2</v>
      </c>
      <c r="AB750" s="107">
        <v>-3.1308734691344431E-2</v>
      </c>
      <c r="AC750" s="107">
        <v>1.1460802108551604E-2</v>
      </c>
      <c r="AD750" s="107">
        <v>0.495564974588387</v>
      </c>
      <c r="AE750" s="107">
        <v>7.0624291330132927E-2</v>
      </c>
      <c r="AF750" s="107">
        <v>-0.17</v>
      </c>
      <c r="AG750" s="107">
        <v>0.04</v>
      </c>
      <c r="AH750" s="107">
        <v>3.5000000000000003E-2</v>
      </c>
      <c r="AI750" s="107">
        <v>1.54E-2</v>
      </c>
      <c r="AJ750" s="107">
        <v>1.54E-2</v>
      </c>
      <c r="AK750" s="107">
        <v>1.54E-2</v>
      </c>
      <c r="AL750" s="107">
        <v>1.54E-2</v>
      </c>
      <c r="AM750" s="107">
        <v>1.54E-2</v>
      </c>
      <c r="AN750" s="107">
        <f>+AM750</f>
        <v>1.54E-2</v>
      </c>
      <c r="AO750" s="107">
        <f t="shared" ref="AO750:BG756" si="214">+AN750</f>
        <v>1.54E-2</v>
      </c>
      <c r="AP750" s="107">
        <f t="shared" si="214"/>
        <v>1.54E-2</v>
      </c>
      <c r="AQ750" s="107">
        <f t="shared" si="214"/>
        <v>1.54E-2</v>
      </c>
      <c r="AR750" s="107">
        <f t="shared" si="214"/>
        <v>1.54E-2</v>
      </c>
      <c r="AS750" s="107">
        <f t="shared" si="214"/>
        <v>1.54E-2</v>
      </c>
      <c r="AT750" s="107">
        <f t="shared" si="214"/>
        <v>1.54E-2</v>
      </c>
      <c r="AU750" s="107">
        <f t="shared" si="214"/>
        <v>1.54E-2</v>
      </c>
      <c r="AV750" s="107">
        <f t="shared" si="214"/>
        <v>1.54E-2</v>
      </c>
      <c r="AW750" s="107">
        <f t="shared" si="214"/>
        <v>1.54E-2</v>
      </c>
      <c r="AX750" s="107">
        <f t="shared" si="214"/>
        <v>1.54E-2</v>
      </c>
      <c r="AY750" s="107">
        <f t="shared" si="214"/>
        <v>1.54E-2</v>
      </c>
      <c r="AZ750" s="107">
        <f t="shared" si="214"/>
        <v>1.54E-2</v>
      </c>
      <c r="BA750" s="107">
        <f t="shared" si="214"/>
        <v>1.54E-2</v>
      </c>
      <c r="BB750" s="107">
        <f t="shared" si="214"/>
        <v>1.54E-2</v>
      </c>
      <c r="BC750" s="107">
        <f t="shared" si="214"/>
        <v>1.54E-2</v>
      </c>
      <c r="BD750" s="107">
        <f t="shared" si="214"/>
        <v>1.54E-2</v>
      </c>
      <c r="BE750" s="107">
        <f t="shared" si="214"/>
        <v>1.54E-2</v>
      </c>
      <c r="BF750" s="107">
        <f t="shared" si="214"/>
        <v>1.54E-2</v>
      </c>
      <c r="BG750" s="107">
        <f t="shared" si="214"/>
        <v>1.54E-2</v>
      </c>
    </row>
    <row r="751" spans="1:59" ht="13.75" customHeight="1" outlineLevel="1">
      <c r="A751" s="141" t="s">
        <v>166</v>
      </c>
      <c r="B751" s="165" t="s">
        <v>626</v>
      </c>
      <c r="C751" s="165"/>
      <c r="D751" s="142" t="s">
        <v>168</v>
      </c>
      <c r="E751" s="109" t="s">
        <v>629</v>
      </c>
      <c r="F751" s="168" t="s">
        <v>629</v>
      </c>
      <c r="G751" s="109" t="s">
        <v>3</v>
      </c>
      <c r="H751" s="109" t="s">
        <v>630</v>
      </c>
      <c r="W751" s="109"/>
      <c r="X751" s="107">
        <v>-0.19164163611645157</v>
      </c>
      <c r="Y751" s="107">
        <v>-0.12624122808495675</v>
      </c>
      <c r="Z751" s="107">
        <v>0.12470586704411879</v>
      </c>
      <c r="AA751" s="107">
        <v>0.1226329484888582</v>
      </c>
      <c r="AB751" s="107">
        <v>-0.13765718279790518</v>
      </c>
      <c r="AC751" s="107">
        <v>-1.9079336718261897E-2</v>
      </c>
      <c r="AD751" s="107">
        <v>0.46661453684939214</v>
      </c>
      <c r="AE751" s="107">
        <v>-5.9771736050965307E-3</v>
      </c>
      <c r="AF751" s="107">
        <v>-0.2</v>
      </c>
      <c r="AG751" s="107">
        <v>6.5000000000000002E-2</v>
      </c>
      <c r="AH751" s="107">
        <v>4.4999999999999998E-2</v>
      </c>
      <c r="AI751" s="107">
        <v>1.3999999999999999E-2</v>
      </c>
      <c r="AJ751" s="107">
        <v>1.3999999999999999E-2</v>
      </c>
      <c r="AK751" s="107">
        <v>1.3999999999999999E-2</v>
      </c>
      <c r="AL751" s="107">
        <v>1.3999999999999999E-2</v>
      </c>
      <c r="AM751" s="107">
        <v>1.3999999999999999E-2</v>
      </c>
      <c r="AN751" s="107">
        <f t="shared" ref="AN751:BC760" si="215">+AM751</f>
        <v>1.3999999999999999E-2</v>
      </c>
      <c r="AO751" s="107">
        <f t="shared" si="215"/>
        <v>1.3999999999999999E-2</v>
      </c>
      <c r="AP751" s="107">
        <f t="shared" si="215"/>
        <v>1.3999999999999999E-2</v>
      </c>
      <c r="AQ751" s="107">
        <f t="shared" si="215"/>
        <v>1.3999999999999999E-2</v>
      </c>
      <c r="AR751" s="107">
        <f t="shared" si="215"/>
        <v>1.3999999999999999E-2</v>
      </c>
      <c r="AS751" s="107">
        <f t="shared" si="215"/>
        <v>1.3999999999999999E-2</v>
      </c>
      <c r="AT751" s="107">
        <f t="shared" si="215"/>
        <v>1.3999999999999999E-2</v>
      </c>
      <c r="AU751" s="107">
        <f t="shared" si="215"/>
        <v>1.3999999999999999E-2</v>
      </c>
      <c r="AV751" s="107">
        <f t="shared" si="215"/>
        <v>1.3999999999999999E-2</v>
      </c>
      <c r="AW751" s="107">
        <f t="shared" si="215"/>
        <v>1.3999999999999999E-2</v>
      </c>
      <c r="AX751" s="107">
        <f t="shared" si="215"/>
        <v>1.3999999999999999E-2</v>
      </c>
      <c r="AY751" s="107">
        <f t="shared" si="214"/>
        <v>1.3999999999999999E-2</v>
      </c>
      <c r="AZ751" s="107">
        <f t="shared" si="214"/>
        <v>1.3999999999999999E-2</v>
      </c>
      <c r="BA751" s="107">
        <f t="shared" si="214"/>
        <v>1.3999999999999999E-2</v>
      </c>
      <c r="BB751" s="107">
        <f t="shared" si="214"/>
        <v>1.3999999999999999E-2</v>
      </c>
      <c r="BC751" s="107">
        <f t="shared" si="214"/>
        <v>1.3999999999999999E-2</v>
      </c>
      <c r="BD751" s="107">
        <f t="shared" si="214"/>
        <v>1.3999999999999999E-2</v>
      </c>
      <c r="BE751" s="107">
        <f t="shared" si="214"/>
        <v>1.3999999999999999E-2</v>
      </c>
      <c r="BF751" s="107">
        <f t="shared" si="214"/>
        <v>1.3999999999999999E-2</v>
      </c>
      <c r="BG751" s="107">
        <f t="shared" si="214"/>
        <v>1.3999999999999999E-2</v>
      </c>
    </row>
    <row r="752" spans="1:59" ht="13.75" customHeight="1" outlineLevel="1">
      <c r="A752" s="141" t="s">
        <v>166</v>
      </c>
      <c r="B752" s="165" t="s">
        <v>626</v>
      </c>
      <c r="C752" s="165"/>
      <c r="D752" s="170" t="s">
        <v>168</v>
      </c>
      <c r="E752" s="109" t="s">
        <v>631</v>
      </c>
      <c r="F752" s="168" t="s">
        <v>631</v>
      </c>
      <c r="G752" s="109" t="s">
        <v>3</v>
      </c>
      <c r="H752" s="109" t="s">
        <v>630</v>
      </c>
      <c r="W752" s="109"/>
      <c r="X752" s="107">
        <v>-8.5655611966961698E-2</v>
      </c>
      <c r="Y752" s="107">
        <v>-0.10498924685030631</v>
      </c>
      <c r="Z752" s="107">
        <v>0.11276921767664239</v>
      </c>
      <c r="AA752" s="107">
        <v>0.36938169521787434</v>
      </c>
      <c r="AB752" s="107">
        <v>-0.31272441704725606</v>
      </c>
      <c r="AC752" s="107">
        <v>-9.4299367224451869E-2</v>
      </c>
      <c r="AD752" s="107">
        <v>0.50654120741936648</v>
      </c>
      <c r="AE752" s="107">
        <v>7.8846435388632674E-2</v>
      </c>
      <c r="AF752" s="107">
        <v>-0.2</v>
      </c>
      <c r="AG752" s="107">
        <v>1.3142857142857123E-2</v>
      </c>
      <c r="AH752" s="107">
        <v>0.10998307952622666</v>
      </c>
      <c r="AI752" s="107">
        <v>4.2682926829268331E-2</v>
      </c>
      <c r="AJ752" s="107">
        <v>1.4399999999999968E-2</v>
      </c>
      <c r="AK752" s="107">
        <v>1.4399999999999968E-2</v>
      </c>
      <c r="AL752" s="107">
        <v>1.4399999999999968E-2</v>
      </c>
      <c r="AM752" s="107">
        <v>1.4399999999999968E-2</v>
      </c>
      <c r="AN752" s="107">
        <f t="shared" si="215"/>
        <v>1.4399999999999968E-2</v>
      </c>
      <c r="AO752" s="107">
        <f t="shared" si="215"/>
        <v>1.4399999999999968E-2</v>
      </c>
      <c r="AP752" s="107">
        <f t="shared" si="215"/>
        <v>1.4399999999999968E-2</v>
      </c>
      <c r="AQ752" s="107">
        <f t="shared" si="215"/>
        <v>1.4399999999999968E-2</v>
      </c>
      <c r="AR752" s="107">
        <f t="shared" si="215"/>
        <v>1.4399999999999968E-2</v>
      </c>
      <c r="AS752" s="107">
        <f t="shared" si="215"/>
        <v>1.4399999999999968E-2</v>
      </c>
      <c r="AT752" s="107">
        <f t="shared" si="215"/>
        <v>1.4399999999999968E-2</v>
      </c>
      <c r="AU752" s="107">
        <f t="shared" si="215"/>
        <v>1.4399999999999968E-2</v>
      </c>
      <c r="AV752" s="107">
        <f t="shared" si="215"/>
        <v>1.4399999999999968E-2</v>
      </c>
      <c r="AW752" s="107">
        <f t="shared" si="215"/>
        <v>1.4399999999999968E-2</v>
      </c>
      <c r="AX752" s="107">
        <f t="shared" si="215"/>
        <v>1.4399999999999968E-2</v>
      </c>
      <c r="AY752" s="107">
        <f t="shared" si="214"/>
        <v>1.4399999999999968E-2</v>
      </c>
      <c r="AZ752" s="107">
        <f t="shared" si="214"/>
        <v>1.4399999999999968E-2</v>
      </c>
      <c r="BA752" s="107">
        <f t="shared" si="214"/>
        <v>1.4399999999999968E-2</v>
      </c>
      <c r="BB752" s="107">
        <f t="shared" si="214"/>
        <v>1.4399999999999968E-2</v>
      </c>
      <c r="BC752" s="107">
        <f t="shared" si="214"/>
        <v>1.4399999999999968E-2</v>
      </c>
      <c r="BD752" s="107">
        <f t="shared" si="214"/>
        <v>1.4399999999999968E-2</v>
      </c>
      <c r="BE752" s="107">
        <f t="shared" si="214"/>
        <v>1.4399999999999968E-2</v>
      </c>
      <c r="BF752" s="107">
        <f t="shared" si="214"/>
        <v>1.4399999999999968E-2</v>
      </c>
      <c r="BG752" s="107">
        <f t="shared" si="214"/>
        <v>1.4399999999999968E-2</v>
      </c>
    </row>
    <row r="753" spans="1:59" ht="13.75" customHeight="1" outlineLevel="1">
      <c r="A753" s="141" t="s">
        <v>166</v>
      </c>
      <c r="B753" s="165" t="s">
        <v>626</v>
      </c>
      <c r="C753" s="165"/>
      <c r="D753" s="142" t="s">
        <v>168</v>
      </c>
      <c r="E753" s="109" t="s">
        <v>632</v>
      </c>
      <c r="F753" s="168" t="s">
        <v>632</v>
      </c>
      <c r="G753" s="109" t="s">
        <v>3</v>
      </c>
      <c r="H753" s="109" t="s">
        <v>630</v>
      </c>
      <c r="W753" s="109"/>
      <c r="X753" s="107">
        <v>-5.0314239736676258E-2</v>
      </c>
      <c r="Y753" s="107">
        <v>-7.3835905383325962E-2</v>
      </c>
      <c r="Z753" s="107">
        <v>0.16064006384648377</v>
      </c>
      <c r="AA753" s="107">
        <v>0.2899839166908198</v>
      </c>
      <c r="AB753" s="107">
        <v>-0.25064239992974113</v>
      </c>
      <c r="AC753" s="107">
        <v>-0.21571183086213597</v>
      </c>
      <c r="AD753" s="107">
        <v>0.41374595520237367</v>
      </c>
      <c r="AE753" s="107">
        <v>0.13696280185315746</v>
      </c>
      <c r="AF753" s="107">
        <v>-0.25</v>
      </c>
      <c r="AG753" s="107">
        <v>-3.6576444769567118E-3</v>
      </c>
      <c r="AH753" s="107">
        <v>0.19823788546255505</v>
      </c>
      <c r="AI753" s="107">
        <v>1.4705882352941124E-2</v>
      </c>
      <c r="AJ753" s="107">
        <v>1.4399999999999968E-2</v>
      </c>
      <c r="AK753" s="107">
        <v>1.4399999999999968E-2</v>
      </c>
      <c r="AL753" s="107">
        <v>1.4399999999999968E-2</v>
      </c>
      <c r="AM753" s="107">
        <v>1.4399999999999968E-2</v>
      </c>
      <c r="AN753" s="107">
        <f t="shared" si="215"/>
        <v>1.4399999999999968E-2</v>
      </c>
      <c r="AO753" s="107">
        <f t="shared" si="215"/>
        <v>1.4399999999999968E-2</v>
      </c>
      <c r="AP753" s="107">
        <f t="shared" si="215"/>
        <v>1.4399999999999968E-2</v>
      </c>
      <c r="AQ753" s="107">
        <f t="shared" si="215"/>
        <v>1.4399999999999968E-2</v>
      </c>
      <c r="AR753" s="107">
        <f t="shared" si="215"/>
        <v>1.4399999999999968E-2</v>
      </c>
      <c r="AS753" s="107">
        <f t="shared" si="215"/>
        <v>1.4399999999999968E-2</v>
      </c>
      <c r="AT753" s="107">
        <f t="shared" si="215"/>
        <v>1.4399999999999968E-2</v>
      </c>
      <c r="AU753" s="107">
        <f t="shared" si="215"/>
        <v>1.4399999999999968E-2</v>
      </c>
      <c r="AV753" s="107">
        <f t="shared" si="215"/>
        <v>1.4399999999999968E-2</v>
      </c>
      <c r="AW753" s="107">
        <f t="shared" si="215"/>
        <v>1.4399999999999968E-2</v>
      </c>
      <c r="AX753" s="107">
        <f t="shared" si="215"/>
        <v>1.4399999999999968E-2</v>
      </c>
      <c r="AY753" s="107">
        <f t="shared" si="214"/>
        <v>1.4399999999999968E-2</v>
      </c>
      <c r="AZ753" s="107">
        <f t="shared" si="214"/>
        <v>1.4399999999999968E-2</v>
      </c>
      <c r="BA753" s="107">
        <f t="shared" si="214"/>
        <v>1.4399999999999968E-2</v>
      </c>
      <c r="BB753" s="107">
        <f t="shared" si="214"/>
        <v>1.4399999999999968E-2</v>
      </c>
      <c r="BC753" s="107">
        <f t="shared" si="214"/>
        <v>1.4399999999999968E-2</v>
      </c>
      <c r="BD753" s="107">
        <f t="shared" si="214"/>
        <v>1.4399999999999968E-2</v>
      </c>
      <c r="BE753" s="107">
        <f t="shared" si="214"/>
        <v>1.4399999999999968E-2</v>
      </c>
      <c r="BF753" s="107">
        <f t="shared" si="214"/>
        <v>1.4399999999999968E-2</v>
      </c>
      <c r="BG753" s="107">
        <f t="shared" si="214"/>
        <v>1.4399999999999968E-2</v>
      </c>
    </row>
    <row r="754" spans="1:59" ht="13.75" customHeight="1" outlineLevel="1">
      <c r="A754" s="141" t="s">
        <v>166</v>
      </c>
      <c r="B754" s="165" t="s">
        <v>626</v>
      </c>
      <c r="C754" s="165"/>
      <c r="D754" s="142" t="s">
        <v>168</v>
      </c>
      <c r="E754" s="109" t="s">
        <v>633</v>
      </c>
      <c r="F754" s="168" t="s">
        <v>633</v>
      </c>
      <c r="G754" s="109" t="s">
        <v>3</v>
      </c>
      <c r="H754" s="109" t="s">
        <v>630</v>
      </c>
      <c r="W754" s="109"/>
      <c r="X754" s="107">
        <v>-0.18478542697723521</v>
      </c>
      <c r="Y754" s="107">
        <v>-3.4354423245972598E-2</v>
      </c>
      <c r="Z754" s="107">
        <v>0.16777302989984633</v>
      </c>
      <c r="AA754" s="107">
        <v>0.31179042447746386</v>
      </c>
      <c r="AB754" s="107">
        <v>-0.2220932716184405</v>
      </c>
      <c r="AC754" s="107">
        <v>-0.22647187646199729</v>
      </c>
      <c r="AD754" s="107">
        <v>0.51110815705544743</v>
      </c>
      <c r="AE754" s="107">
        <v>-4.6978295867671327E-2</v>
      </c>
      <c r="AF754" s="107">
        <v>-0.14761999999999997</v>
      </c>
      <c r="AG754" s="107">
        <v>4.9771599999999985E-2</v>
      </c>
      <c r="AH754" s="107">
        <v>0.13945532994923851</v>
      </c>
      <c r="AI754" s="107">
        <v>7.7128658536585404E-2</v>
      </c>
      <c r="AJ754" s="107">
        <v>1.24E-2</v>
      </c>
      <c r="AK754" s="107">
        <v>1.24E-2</v>
      </c>
      <c r="AL754" s="107">
        <v>1.24E-2</v>
      </c>
      <c r="AM754" s="107">
        <v>1.24E-2</v>
      </c>
      <c r="AN754" s="107">
        <f t="shared" si="215"/>
        <v>1.24E-2</v>
      </c>
      <c r="AO754" s="107">
        <f t="shared" si="215"/>
        <v>1.24E-2</v>
      </c>
      <c r="AP754" s="107">
        <f t="shared" si="215"/>
        <v>1.24E-2</v>
      </c>
      <c r="AQ754" s="107">
        <f t="shared" si="215"/>
        <v>1.24E-2</v>
      </c>
      <c r="AR754" s="107">
        <f t="shared" si="215"/>
        <v>1.24E-2</v>
      </c>
      <c r="AS754" s="107">
        <f t="shared" si="215"/>
        <v>1.24E-2</v>
      </c>
      <c r="AT754" s="107">
        <f t="shared" si="215"/>
        <v>1.24E-2</v>
      </c>
      <c r="AU754" s="107">
        <f t="shared" si="215"/>
        <v>1.24E-2</v>
      </c>
      <c r="AV754" s="107">
        <f t="shared" si="215"/>
        <v>1.24E-2</v>
      </c>
      <c r="AW754" s="107">
        <f t="shared" si="215"/>
        <v>1.24E-2</v>
      </c>
      <c r="AX754" s="107">
        <f t="shared" si="215"/>
        <v>1.24E-2</v>
      </c>
      <c r="AY754" s="107">
        <f t="shared" si="214"/>
        <v>1.24E-2</v>
      </c>
      <c r="AZ754" s="107">
        <f t="shared" si="214"/>
        <v>1.24E-2</v>
      </c>
      <c r="BA754" s="107">
        <f t="shared" si="214"/>
        <v>1.24E-2</v>
      </c>
      <c r="BB754" s="107">
        <f t="shared" si="214"/>
        <v>1.24E-2</v>
      </c>
      <c r="BC754" s="107">
        <f t="shared" si="214"/>
        <v>1.24E-2</v>
      </c>
      <c r="BD754" s="107">
        <f t="shared" si="214"/>
        <v>1.24E-2</v>
      </c>
      <c r="BE754" s="107">
        <f t="shared" si="214"/>
        <v>1.24E-2</v>
      </c>
      <c r="BF754" s="107">
        <f t="shared" si="214"/>
        <v>1.24E-2</v>
      </c>
      <c r="BG754" s="107">
        <f t="shared" si="214"/>
        <v>1.24E-2</v>
      </c>
    </row>
    <row r="755" spans="1:59" ht="13.75" customHeight="1" outlineLevel="1">
      <c r="A755" s="141" t="s">
        <v>166</v>
      </c>
      <c r="B755" s="165" t="s">
        <v>626</v>
      </c>
      <c r="C755" s="165"/>
      <c r="D755" s="142" t="s">
        <v>168</v>
      </c>
      <c r="E755" s="109" t="s">
        <v>634</v>
      </c>
      <c r="F755" s="168" t="s">
        <v>634</v>
      </c>
      <c r="G755" s="109" t="s">
        <v>3</v>
      </c>
      <c r="H755" s="109" t="s">
        <v>630</v>
      </c>
      <c r="W755" s="109"/>
      <c r="X755" s="107">
        <v>-0.14607224672400509</v>
      </c>
      <c r="Y755" s="107">
        <v>-8.7019617347763867E-2</v>
      </c>
      <c r="Z755" s="107">
        <v>8.3136808896251857E-2</v>
      </c>
      <c r="AA755" s="107">
        <v>0.2161700742120336</v>
      </c>
      <c r="AB755" s="107">
        <v>-1.1329868789465958E-2</v>
      </c>
      <c r="AC755" s="107">
        <v>-0.1907095251025408</v>
      </c>
      <c r="AD755" s="107">
        <v>0.25162596412204841</v>
      </c>
      <c r="AE755" s="107">
        <v>0.24744950170240676</v>
      </c>
      <c r="AF755" s="107">
        <v>-0.20938599999999993</v>
      </c>
      <c r="AG755" s="107">
        <v>2.9532222857142833E-2</v>
      </c>
      <c r="AH755" s="107">
        <v>0.13808333333333325</v>
      </c>
      <c r="AI755" s="107">
        <v>6.2644573170731743E-2</v>
      </c>
      <c r="AJ755" s="107">
        <v>1.24E-2</v>
      </c>
      <c r="AK755" s="107">
        <v>1.24E-2</v>
      </c>
      <c r="AL755" s="107">
        <v>1.24E-2</v>
      </c>
      <c r="AM755" s="107">
        <v>1.24E-2</v>
      </c>
      <c r="AN755" s="107">
        <f t="shared" si="215"/>
        <v>1.24E-2</v>
      </c>
      <c r="AO755" s="107">
        <f t="shared" si="215"/>
        <v>1.24E-2</v>
      </c>
      <c r="AP755" s="107">
        <f t="shared" si="215"/>
        <v>1.24E-2</v>
      </c>
      <c r="AQ755" s="107">
        <f t="shared" si="215"/>
        <v>1.24E-2</v>
      </c>
      <c r="AR755" s="107">
        <f t="shared" si="215"/>
        <v>1.24E-2</v>
      </c>
      <c r="AS755" s="107">
        <f t="shared" si="215"/>
        <v>1.24E-2</v>
      </c>
      <c r="AT755" s="107">
        <f t="shared" si="215"/>
        <v>1.24E-2</v>
      </c>
      <c r="AU755" s="107">
        <f t="shared" si="215"/>
        <v>1.24E-2</v>
      </c>
      <c r="AV755" s="107">
        <f t="shared" si="215"/>
        <v>1.24E-2</v>
      </c>
      <c r="AW755" s="107">
        <f t="shared" si="215"/>
        <v>1.24E-2</v>
      </c>
      <c r="AX755" s="107">
        <f t="shared" si="215"/>
        <v>1.24E-2</v>
      </c>
      <c r="AY755" s="107">
        <f t="shared" si="214"/>
        <v>1.24E-2</v>
      </c>
      <c r="AZ755" s="107">
        <f t="shared" si="214"/>
        <v>1.24E-2</v>
      </c>
      <c r="BA755" s="107">
        <f t="shared" si="214"/>
        <v>1.24E-2</v>
      </c>
      <c r="BB755" s="107">
        <f t="shared" si="214"/>
        <v>1.24E-2</v>
      </c>
      <c r="BC755" s="107">
        <f t="shared" si="214"/>
        <v>1.24E-2</v>
      </c>
      <c r="BD755" s="107">
        <f t="shared" si="214"/>
        <v>1.24E-2</v>
      </c>
      <c r="BE755" s="107">
        <f t="shared" si="214"/>
        <v>1.24E-2</v>
      </c>
      <c r="BF755" s="107">
        <f t="shared" si="214"/>
        <v>1.24E-2</v>
      </c>
      <c r="BG755" s="107">
        <f t="shared" si="214"/>
        <v>1.24E-2</v>
      </c>
    </row>
    <row r="756" spans="1:59" ht="13.75" customHeight="1" outlineLevel="1">
      <c r="A756" s="141" t="s">
        <v>166</v>
      </c>
      <c r="B756" s="165" t="s">
        <v>626</v>
      </c>
      <c r="C756" s="165"/>
      <c r="D756" s="142" t="s">
        <v>168</v>
      </c>
      <c r="E756" s="109" t="s">
        <v>635</v>
      </c>
      <c r="F756" s="168" t="s">
        <v>635</v>
      </c>
      <c r="G756" s="109" t="s">
        <v>3</v>
      </c>
      <c r="H756" s="109" t="s">
        <v>630</v>
      </c>
      <c r="W756" s="109"/>
      <c r="X756" s="107">
        <v>-0.21166955777901131</v>
      </c>
      <c r="Y756" s="107">
        <v>-2.4111321226262916E-2</v>
      </c>
      <c r="Z756" s="107">
        <v>0.17704977657392029</v>
      </c>
      <c r="AA756" s="107">
        <v>0.17172773495189664</v>
      </c>
      <c r="AB756" s="107">
        <v>-0.1584286555004093</v>
      </c>
      <c r="AC756" s="107">
        <v>-0.22629852956405783</v>
      </c>
      <c r="AD756" s="107">
        <v>0.40980419185987471</v>
      </c>
      <c r="AE756" s="107">
        <v>5.5164621288595894E-2</v>
      </c>
      <c r="AF756" s="107">
        <v>-0.17529999999999996</v>
      </c>
      <c r="AG756" s="107">
        <v>5.7878285714285688E-2</v>
      </c>
      <c r="AH756" s="107">
        <v>0.16382148900169197</v>
      </c>
      <c r="AI756" s="107">
        <v>9.0195121951219565E-2</v>
      </c>
      <c r="AJ756" s="107">
        <v>1.24E-2</v>
      </c>
      <c r="AK756" s="107">
        <v>1.24E-2</v>
      </c>
      <c r="AL756" s="107">
        <v>1.24E-2</v>
      </c>
      <c r="AM756" s="107">
        <v>1.24E-2</v>
      </c>
      <c r="AN756" s="107">
        <f t="shared" si="215"/>
        <v>1.24E-2</v>
      </c>
      <c r="AO756" s="107">
        <f t="shared" si="215"/>
        <v>1.24E-2</v>
      </c>
      <c r="AP756" s="107">
        <f t="shared" si="215"/>
        <v>1.24E-2</v>
      </c>
      <c r="AQ756" s="107">
        <f t="shared" si="215"/>
        <v>1.24E-2</v>
      </c>
      <c r="AR756" s="107">
        <f t="shared" si="215"/>
        <v>1.24E-2</v>
      </c>
      <c r="AS756" s="107">
        <f t="shared" si="215"/>
        <v>1.24E-2</v>
      </c>
      <c r="AT756" s="107">
        <f t="shared" si="215"/>
        <v>1.24E-2</v>
      </c>
      <c r="AU756" s="107">
        <f t="shared" si="215"/>
        <v>1.24E-2</v>
      </c>
      <c r="AV756" s="107">
        <f t="shared" si="215"/>
        <v>1.24E-2</v>
      </c>
      <c r="AW756" s="107">
        <f t="shared" si="215"/>
        <v>1.24E-2</v>
      </c>
      <c r="AX756" s="107">
        <f t="shared" si="215"/>
        <v>1.24E-2</v>
      </c>
      <c r="AY756" s="107">
        <f t="shared" si="214"/>
        <v>1.24E-2</v>
      </c>
      <c r="AZ756" s="107">
        <f t="shared" si="214"/>
        <v>1.24E-2</v>
      </c>
      <c r="BA756" s="107">
        <f t="shared" si="214"/>
        <v>1.24E-2</v>
      </c>
      <c r="BB756" s="107">
        <f t="shared" si="214"/>
        <v>1.24E-2</v>
      </c>
      <c r="BC756" s="107">
        <f t="shared" si="214"/>
        <v>1.24E-2</v>
      </c>
      <c r="BD756" s="107">
        <f t="shared" si="214"/>
        <v>1.24E-2</v>
      </c>
      <c r="BE756" s="107">
        <f t="shared" si="214"/>
        <v>1.24E-2</v>
      </c>
      <c r="BF756" s="107">
        <f t="shared" si="214"/>
        <v>1.24E-2</v>
      </c>
      <c r="BG756" s="107">
        <f t="shared" si="214"/>
        <v>1.24E-2</v>
      </c>
    </row>
    <row r="757" spans="1:59" ht="13.75" customHeight="1" outlineLevel="1">
      <c r="A757" s="141" t="s">
        <v>166</v>
      </c>
      <c r="B757" s="165" t="s">
        <v>626</v>
      </c>
      <c r="C757" s="165"/>
      <c r="D757" s="142" t="s">
        <v>168</v>
      </c>
      <c r="E757" s="109" t="s">
        <v>636</v>
      </c>
      <c r="F757" s="168" t="s">
        <v>636</v>
      </c>
      <c r="G757" s="109" t="s">
        <v>3</v>
      </c>
      <c r="H757" s="109" t="s">
        <v>637</v>
      </c>
      <c r="W757" s="109"/>
      <c r="X757" s="107">
        <v>0.24308202748753494</v>
      </c>
      <c r="Y757" s="107">
        <v>0.13899870763363276</v>
      </c>
      <c r="Z757" s="107">
        <v>-2.003073179713688E-2</v>
      </c>
      <c r="AA757" s="107">
        <v>6.0517335273295281E-2</v>
      </c>
      <c r="AB757" s="107">
        <v>8.77976247175003E-2</v>
      </c>
      <c r="AC757" s="107">
        <v>-9.7064757311052352E-2</v>
      </c>
      <c r="AD757" s="107">
        <v>0.13879391384278095</v>
      </c>
      <c r="AE757" s="107">
        <v>0.24178548539933065</v>
      </c>
      <c r="AF757" s="107">
        <f t="shared" ref="AF757:AG757" si="216">AF3</f>
        <v>7.0965337750225954E-2</v>
      </c>
      <c r="AG757" s="107">
        <f t="shared" si="216"/>
        <v>6.3441420107429369E-2</v>
      </c>
      <c r="AH757" s="107">
        <f>AH3/2</f>
        <v>1.579481171250563E-2</v>
      </c>
      <c r="AI757" s="107">
        <f t="shared" ref="AI757:BG757" si="217">AI3/2</f>
        <v>1.9832822040830145E-2</v>
      </c>
      <c r="AJ757" s="107">
        <f t="shared" si="217"/>
        <v>0.02</v>
      </c>
      <c r="AK757" s="107">
        <f t="shared" si="217"/>
        <v>0.02</v>
      </c>
      <c r="AL757" s="107">
        <f t="shared" si="217"/>
        <v>0.02</v>
      </c>
      <c r="AM757" s="107">
        <f t="shared" si="217"/>
        <v>0.02</v>
      </c>
      <c r="AN757" s="107">
        <f t="shared" si="217"/>
        <v>0.02</v>
      </c>
      <c r="AO757" s="107">
        <f t="shared" si="217"/>
        <v>0.02</v>
      </c>
      <c r="AP757" s="107">
        <f t="shared" si="217"/>
        <v>0.02</v>
      </c>
      <c r="AQ757" s="107">
        <f t="shared" si="217"/>
        <v>0.02</v>
      </c>
      <c r="AR757" s="107">
        <f t="shared" si="217"/>
        <v>0.02</v>
      </c>
      <c r="AS757" s="107">
        <f t="shared" si="217"/>
        <v>0.02</v>
      </c>
      <c r="AT757" s="107">
        <f t="shared" si="217"/>
        <v>0.02</v>
      </c>
      <c r="AU757" s="107">
        <f t="shared" si="217"/>
        <v>0.02</v>
      </c>
      <c r="AV757" s="107">
        <f t="shared" si="217"/>
        <v>0.02</v>
      </c>
      <c r="AW757" s="107">
        <f t="shared" si="217"/>
        <v>0.02</v>
      </c>
      <c r="AX757" s="107">
        <f t="shared" si="217"/>
        <v>0.02</v>
      </c>
      <c r="AY757" s="107">
        <f t="shared" si="217"/>
        <v>0.02</v>
      </c>
      <c r="AZ757" s="107">
        <f t="shared" si="217"/>
        <v>0.02</v>
      </c>
      <c r="BA757" s="107">
        <f t="shared" si="217"/>
        <v>0.02</v>
      </c>
      <c r="BB757" s="107">
        <f t="shared" si="217"/>
        <v>0.02</v>
      </c>
      <c r="BC757" s="107">
        <f t="shared" si="217"/>
        <v>0.02</v>
      </c>
      <c r="BD757" s="107">
        <f t="shared" si="217"/>
        <v>0.02</v>
      </c>
      <c r="BE757" s="107">
        <f t="shared" si="217"/>
        <v>0.02</v>
      </c>
      <c r="BF757" s="107">
        <f t="shared" si="217"/>
        <v>0.02</v>
      </c>
      <c r="BG757" s="107">
        <f t="shared" si="217"/>
        <v>0.02</v>
      </c>
    </row>
    <row r="758" spans="1:59" ht="13.75" customHeight="1" outlineLevel="1">
      <c r="A758" s="141" t="s">
        <v>166</v>
      </c>
      <c r="B758" s="165" t="s">
        <v>626</v>
      </c>
      <c r="C758" s="165"/>
      <c r="D758" s="142" t="s">
        <v>168</v>
      </c>
      <c r="E758" s="109" t="s">
        <v>638</v>
      </c>
      <c r="F758" s="168" t="s">
        <v>639</v>
      </c>
      <c r="G758" s="109" t="s">
        <v>3</v>
      </c>
      <c r="H758" s="109" t="s">
        <v>640</v>
      </c>
      <c r="W758" s="109"/>
      <c r="X758" s="107">
        <v>6.5485797740845175E-2</v>
      </c>
      <c r="Y758" s="107">
        <v>-3.3424596655658889E-2</v>
      </c>
      <c r="Z758" s="107">
        <v>9.7976155239153373E-2</v>
      </c>
      <c r="AA758" s="107">
        <v>6.6898582353910552E-2</v>
      </c>
      <c r="AB758" s="107">
        <v>-6.6748932777744741E-2</v>
      </c>
      <c r="AC758" s="107">
        <v>5.5863463716705475E-2</v>
      </c>
      <c r="AD758" s="107">
        <v>0.42300291225592868</v>
      </c>
      <c r="AE758" s="107">
        <v>7.6299065102370278E-2</v>
      </c>
      <c r="AF758" s="107">
        <v>-0.1</v>
      </c>
      <c r="AG758" s="107">
        <v>0.04</v>
      </c>
      <c r="AH758" s="107">
        <f>AH3</f>
        <v>3.158962342501126E-2</v>
      </c>
      <c r="AI758" s="107">
        <f>AI3/2</f>
        <v>1.9832822040830145E-2</v>
      </c>
      <c r="AJ758" s="107">
        <f t="shared" ref="AJ758:BG758" si="218">AJ3/2</f>
        <v>0.02</v>
      </c>
      <c r="AK758" s="107">
        <f t="shared" si="218"/>
        <v>0.02</v>
      </c>
      <c r="AL758" s="107">
        <f t="shared" si="218"/>
        <v>0.02</v>
      </c>
      <c r="AM758" s="107">
        <f t="shared" si="218"/>
        <v>0.02</v>
      </c>
      <c r="AN758" s="107">
        <f t="shared" si="218"/>
        <v>0.02</v>
      </c>
      <c r="AO758" s="107">
        <f t="shared" si="218"/>
        <v>0.02</v>
      </c>
      <c r="AP758" s="107">
        <f t="shared" si="218"/>
        <v>0.02</v>
      </c>
      <c r="AQ758" s="107">
        <f t="shared" si="218"/>
        <v>0.02</v>
      </c>
      <c r="AR758" s="107">
        <f t="shared" si="218"/>
        <v>0.02</v>
      </c>
      <c r="AS758" s="107">
        <f t="shared" si="218"/>
        <v>0.02</v>
      </c>
      <c r="AT758" s="107">
        <f t="shared" si="218"/>
        <v>0.02</v>
      </c>
      <c r="AU758" s="107">
        <f t="shared" si="218"/>
        <v>0.02</v>
      </c>
      <c r="AV758" s="107">
        <f t="shared" si="218"/>
        <v>0.02</v>
      </c>
      <c r="AW758" s="107">
        <f t="shared" si="218"/>
        <v>0.02</v>
      </c>
      <c r="AX758" s="107">
        <f t="shared" si="218"/>
        <v>0.02</v>
      </c>
      <c r="AY758" s="107">
        <f t="shared" si="218"/>
        <v>0.02</v>
      </c>
      <c r="AZ758" s="107">
        <f t="shared" si="218"/>
        <v>0.02</v>
      </c>
      <c r="BA758" s="107">
        <f t="shared" si="218"/>
        <v>0.02</v>
      </c>
      <c r="BB758" s="107">
        <f t="shared" si="218"/>
        <v>0.02</v>
      </c>
      <c r="BC758" s="107">
        <f t="shared" si="218"/>
        <v>0.02</v>
      </c>
      <c r="BD758" s="107">
        <f t="shared" si="218"/>
        <v>0.02</v>
      </c>
      <c r="BE758" s="107">
        <f t="shared" si="218"/>
        <v>0.02</v>
      </c>
      <c r="BF758" s="107">
        <f t="shared" si="218"/>
        <v>0.02</v>
      </c>
      <c r="BG758" s="107">
        <f t="shared" si="218"/>
        <v>0.02</v>
      </c>
    </row>
    <row r="759" spans="1:59" ht="13.75" customHeight="1" outlineLevel="1">
      <c r="A759" s="141" t="s">
        <v>166</v>
      </c>
      <c r="B759" s="165" t="s">
        <v>626</v>
      </c>
      <c r="C759" s="165"/>
      <c r="D759" s="142" t="s">
        <v>168</v>
      </c>
      <c r="E759" s="109" t="s">
        <v>641</v>
      </c>
      <c r="F759" s="168" t="s">
        <v>642</v>
      </c>
      <c r="G759" s="109" t="s">
        <v>3</v>
      </c>
      <c r="H759" s="109" t="s">
        <v>640</v>
      </c>
      <c r="W759" s="109"/>
      <c r="X759" s="107">
        <v>2.2932168524773644E-2</v>
      </c>
      <c r="Y759" s="107">
        <v>-6.4672293942403258E-2</v>
      </c>
      <c r="Z759" s="107">
        <v>0.390537491705375</v>
      </c>
      <c r="AA759" s="107">
        <v>-0.28272426200406575</v>
      </c>
      <c r="AB759" s="107">
        <v>0.65404369694227826</v>
      </c>
      <c r="AC759" s="107">
        <v>-1.5308749235769192E-2</v>
      </c>
      <c r="AD759" s="107">
        <v>0.43786610024100314</v>
      </c>
      <c r="AE759" s="107">
        <v>0.30578061612936214</v>
      </c>
      <c r="AF759" s="107">
        <v>-0.15</v>
      </c>
      <c r="AG759" s="107">
        <v>0.05</v>
      </c>
      <c r="AH759" s="107">
        <f>AH3</f>
        <v>3.158962342501126E-2</v>
      </c>
      <c r="AI759" s="107">
        <f>AI3/2</f>
        <v>1.9832822040830145E-2</v>
      </c>
      <c r="AJ759" s="107">
        <f t="shared" ref="AJ759:BG759" si="219">AJ3/2</f>
        <v>0.02</v>
      </c>
      <c r="AK759" s="107">
        <f t="shared" si="219"/>
        <v>0.02</v>
      </c>
      <c r="AL759" s="107">
        <f t="shared" si="219"/>
        <v>0.02</v>
      </c>
      <c r="AM759" s="107">
        <f t="shared" si="219"/>
        <v>0.02</v>
      </c>
      <c r="AN759" s="107">
        <f t="shared" si="219"/>
        <v>0.02</v>
      </c>
      <c r="AO759" s="107">
        <f t="shared" si="219"/>
        <v>0.02</v>
      </c>
      <c r="AP759" s="107">
        <f t="shared" si="219"/>
        <v>0.02</v>
      </c>
      <c r="AQ759" s="107">
        <f t="shared" si="219"/>
        <v>0.02</v>
      </c>
      <c r="AR759" s="107">
        <f t="shared" si="219"/>
        <v>0.02</v>
      </c>
      <c r="AS759" s="107">
        <f t="shared" si="219"/>
        <v>0.02</v>
      </c>
      <c r="AT759" s="107">
        <f t="shared" si="219"/>
        <v>0.02</v>
      </c>
      <c r="AU759" s="107">
        <f t="shared" si="219"/>
        <v>0.02</v>
      </c>
      <c r="AV759" s="107">
        <f t="shared" si="219"/>
        <v>0.02</v>
      </c>
      <c r="AW759" s="107">
        <f t="shared" si="219"/>
        <v>0.02</v>
      </c>
      <c r="AX759" s="107">
        <f t="shared" si="219"/>
        <v>0.02</v>
      </c>
      <c r="AY759" s="107">
        <f t="shared" si="219"/>
        <v>0.02</v>
      </c>
      <c r="AZ759" s="107">
        <f t="shared" si="219"/>
        <v>0.02</v>
      </c>
      <c r="BA759" s="107">
        <f t="shared" si="219"/>
        <v>0.02</v>
      </c>
      <c r="BB759" s="107">
        <f t="shared" si="219"/>
        <v>0.02</v>
      </c>
      <c r="BC759" s="107">
        <f t="shared" si="219"/>
        <v>0.02</v>
      </c>
      <c r="BD759" s="107">
        <f t="shared" si="219"/>
        <v>0.02</v>
      </c>
      <c r="BE759" s="107">
        <f t="shared" si="219"/>
        <v>0.02</v>
      </c>
      <c r="BF759" s="107">
        <f t="shared" si="219"/>
        <v>0.02</v>
      </c>
      <c r="BG759" s="107">
        <f t="shared" si="219"/>
        <v>0.02</v>
      </c>
    </row>
    <row r="760" spans="1:59" ht="13.75" customHeight="1" outlineLevel="1">
      <c r="A760" s="141" t="s">
        <v>166</v>
      </c>
      <c r="B760" s="165" t="s">
        <v>626</v>
      </c>
      <c r="C760" s="165"/>
      <c r="D760" s="142" t="s">
        <v>168</v>
      </c>
      <c r="E760" s="109" t="s">
        <v>643</v>
      </c>
      <c r="F760" s="168" t="s">
        <v>643</v>
      </c>
      <c r="G760" s="109" t="s">
        <v>3</v>
      </c>
      <c r="H760" s="109" t="s">
        <v>630</v>
      </c>
      <c r="W760" s="109"/>
      <c r="X760" s="107">
        <v>-0.32424994973755972</v>
      </c>
      <c r="Y760" s="107">
        <v>-6.2653951352830695E-2</v>
      </c>
      <c r="Z760" s="107">
        <v>3.291649518986639E-2</v>
      </c>
      <c r="AA760" s="107">
        <v>0.13398569145386086</v>
      </c>
      <c r="AB760" s="107">
        <v>-0.10378683560189783</v>
      </c>
      <c r="AC760" s="107">
        <v>-0.1153151984378924</v>
      </c>
      <c r="AD760" s="107">
        <v>0.71222908321158007</v>
      </c>
      <c r="AE760" s="107">
        <v>-0.17600590603085531</v>
      </c>
      <c r="AF760" s="107">
        <v>-0.19</v>
      </c>
      <c r="AG760" s="107">
        <v>0.05</v>
      </c>
      <c r="AH760" s="107">
        <v>0.03</v>
      </c>
      <c r="AI760" s="107">
        <v>1.540000000000008E-2</v>
      </c>
      <c r="AJ760" s="107">
        <v>1.540000000000008E-2</v>
      </c>
      <c r="AK760" s="107">
        <v>1.540000000000008E-2</v>
      </c>
      <c r="AL760" s="107">
        <v>1.540000000000008E-2</v>
      </c>
      <c r="AM760" s="107">
        <v>1.540000000000008E-2</v>
      </c>
      <c r="AN760" s="107">
        <f t="shared" si="215"/>
        <v>1.540000000000008E-2</v>
      </c>
      <c r="AO760" s="107">
        <f t="shared" si="215"/>
        <v>1.540000000000008E-2</v>
      </c>
      <c r="AP760" s="107">
        <f t="shared" si="215"/>
        <v>1.540000000000008E-2</v>
      </c>
      <c r="AQ760" s="107">
        <f t="shared" si="215"/>
        <v>1.540000000000008E-2</v>
      </c>
      <c r="AR760" s="107">
        <f t="shared" si="215"/>
        <v>1.540000000000008E-2</v>
      </c>
      <c r="AS760" s="107">
        <f t="shared" si="215"/>
        <v>1.540000000000008E-2</v>
      </c>
      <c r="AT760" s="107">
        <f t="shared" si="215"/>
        <v>1.540000000000008E-2</v>
      </c>
      <c r="AU760" s="107">
        <f t="shared" si="215"/>
        <v>1.540000000000008E-2</v>
      </c>
      <c r="AV760" s="107">
        <f t="shared" si="215"/>
        <v>1.540000000000008E-2</v>
      </c>
      <c r="AW760" s="107">
        <f t="shared" si="215"/>
        <v>1.540000000000008E-2</v>
      </c>
      <c r="AX760" s="107">
        <f t="shared" si="215"/>
        <v>1.540000000000008E-2</v>
      </c>
      <c r="AY760" s="107">
        <f t="shared" si="215"/>
        <v>1.540000000000008E-2</v>
      </c>
      <c r="AZ760" s="107">
        <f t="shared" si="215"/>
        <v>1.540000000000008E-2</v>
      </c>
      <c r="BA760" s="107">
        <f t="shared" si="215"/>
        <v>1.540000000000008E-2</v>
      </c>
      <c r="BB760" s="107">
        <f t="shared" si="215"/>
        <v>1.540000000000008E-2</v>
      </c>
      <c r="BC760" s="107">
        <f t="shared" si="215"/>
        <v>1.540000000000008E-2</v>
      </c>
      <c r="BD760" s="107">
        <f t="shared" ref="BD760:BG760" si="220">+BC760</f>
        <v>1.540000000000008E-2</v>
      </c>
      <c r="BE760" s="107">
        <f t="shared" si="220"/>
        <v>1.540000000000008E-2</v>
      </c>
      <c r="BF760" s="107">
        <f t="shared" si="220"/>
        <v>1.540000000000008E-2</v>
      </c>
      <c r="BG760" s="107">
        <f t="shared" si="220"/>
        <v>1.540000000000008E-2</v>
      </c>
    </row>
    <row r="761" spans="1:59" ht="13.75" customHeight="1" outlineLevel="1">
      <c r="B761" s="165"/>
      <c r="C761" s="165"/>
      <c r="F761" s="168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</row>
    <row r="762" spans="1:59" ht="13.75" customHeight="1" outlineLevel="1">
      <c r="B762" s="165"/>
      <c r="C762" s="165"/>
      <c r="F762" s="168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</row>
    <row r="763" spans="1:59" ht="13.75" customHeight="1" outlineLevel="1">
      <c r="B763" s="165"/>
      <c r="C763" s="165"/>
      <c r="F763" s="168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</row>
    <row r="764" spans="1:59" ht="13.75" customHeight="1" outlineLevel="1">
      <c r="B764" s="165"/>
      <c r="C764" s="165"/>
      <c r="F764" s="168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</row>
    <row r="765" spans="1:59" ht="13.75" customHeight="1" outlineLevel="1">
      <c r="B765" s="165"/>
      <c r="C765" s="165"/>
      <c r="F765" s="168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</row>
    <row r="766" spans="1:59" ht="13.75" customHeight="1" outlineLevel="1">
      <c r="B766" s="165"/>
      <c r="C766" s="165"/>
      <c r="F766" s="168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</row>
    <row r="767" spans="1:59" ht="13.75" customHeight="1" outlineLevel="1">
      <c r="B767" s="165"/>
      <c r="C767" s="165"/>
      <c r="F767" s="168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</row>
    <row r="768" spans="1:59" ht="13.75" customHeight="1">
      <c r="B768" s="165"/>
      <c r="C768" s="165"/>
      <c r="F768" s="168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</row>
    <row r="769" spans="2:34" ht="13.75" customHeight="1" outlineLevel="1">
      <c r="B769" s="165"/>
      <c r="C769" s="165"/>
      <c r="F769" s="168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</row>
    <row r="770" spans="2:34" ht="13.75" customHeight="1" outlineLevel="1">
      <c r="B770" s="165"/>
      <c r="C770" s="165"/>
      <c r="F770" s="168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</row>
    <row r="771" spans="2:34" ht="13.75" customHeight="1" outlineLevel="1">
      <c r="B771" s="165"/>
      <c r="C771" s="165"/>
      <c r="F771" s="168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</row>
    <row r="772" spans="2:34" ht="13.75" customHeight="1" outlineLevel="1">
      <c r="B772" s="165"/>
      <c r="C772" s="165"/>
      <c r="F772" s="168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</row>
    <row r="773" spans="2:34" ht="13.75" customHeight="1" outlineLevel="1">
      <c r="B773" s="165"/>
      <c r="C773" s="165"/>
      <c r="F773" s="168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</row>
    <row r="774" spans="2:34" ht="13.75" customHeight="1" outlineLevel="1">
      <c r="B774" s="165"/>
      <c r="C774" s="165"/>
      <c r="F774" s="168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</row>
    <row r="775" spans="2:34" ht="13.75" customHeight="1" outlineLevel="1">
      <c r="B775" s="165"/>
      <c r="C775" s="165"/>
      <c r="F775" s="168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</row>
    <row r="776" spans="2:34" ht="13.75" customHeight="1" outlineLevel="1">
      <c r="B776" s="165"/>
      <c r="C776" s="165"/>
      <c r="F776" s="168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</row>
    <row r="777" spans="2:34" ht="13.75" customHeight="1" outlineLevel="1">
      <c r="B777" s="165"/>
      <c r="C777" s="165"/>
      <c r="F777" s="168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</row>
    <row r="778" spans="2:34" ht="13.75" customHeight="1" outlineLevel="1">
      <c r="B778" s="165"/>
      <c r="C778" s="165"/>
      <c r="F778" s="168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</row>
    <row r="779" spans="2:34" ht="13.75" customHeight="1" outlineLevel="1">
      <c r="B779" s="165"/>
      <c r="C779" s="165"/>
      <c r="F779" s="168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</row>
    <row r="780" spans="2:34" ht="13.75" customHeight="1" outlineLevel="1">
      <c r="B780" s="165"/>
      <c r="C780" s="165"/>
      <c r="F780" s="168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</row>
    <row r="781" spans="2:34" ht="13.75" customHeight="1" outlineLevel="1">
      <c r="B781" s="165"/>
      <c r="C781" s="165"/>
      <c r="F781" s="168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</row>
    <row r="782" spans="2:34" ht="13.75" customHeight="1" outlineLevel="1">
      <c r="B782" s="165"/>
      <c r="C782" s="165"/>
      <c r="F782" s="168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</row>
    <row r="783" spans="2:34" ht="13.75" customHeight="1" outlineLevel="1">
      <c r="B783" s="165"/>
      <c r="C783" s="165"/>
      <c r="F783" s="168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</row>
    <row r="784" spans="2:34" ht="13.75" customHeight="1" outlineLevel="1">
      <c r="B784" s="165"/>
      <c r="C784" s="165"/>
      <c r="F784" s="168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</row>
    <row r="785" spans="2:34" ht="13.75" customHeight="1" outlineLevel="1">
      <c r="B785" s="165"/>
      <c r="C785" s="165"/>
      <c r="F785" s="168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</row>
    <row r="786" spans="2:34" ht="13.75" customHeight="1" outlineLevel="1">
      <c r="B786" s="165"/>
      <c r="C786" s="165"/>
      <c r="F786" s="168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</row>
    <row r="787" spans="2:34" ht="13.75" customHeight="1" outlineLevel="1">
      <c r="B787" s="165"/>
      <c r="C787" s="165"/>
      <c r="F787" s="168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</row>
    <row r="788" spans="2:34" ht="13.75" customHeight="1">
      <c r="B788" s="165"/>
      <c r="C788" s="165"/>
      <c r="F788" s="168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</row>
    <row r="789" spans="2:34" ht="13.75" customHeight="1" outlineLevel="1">
      <c r="B789" s="165"/>
      <c r="C789" s="165"/>
      <c r="F789" s="168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</row>
    <row r="790" spans="2:34" ht="13.75" customHeight="1" outlineLevel="1">
      <c r="B790" s="165"/>
      <c r="C790" s="165"/>
      <c r="F790" s="168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</row>
    <row r="791" spans="2:34" ht="13.75" customHeight="1" outlineLevel="1">
      <c r="B791" s="165"/>
      <c r="C791" s="165"/>
      <c r="F791" s="168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</row>
    <row r="792" spans="2:34" ht="13.75" customHeight="1" outlineLevel="1">
      <c r="B792" s="165"/>
      <c r="C792" s="165"/>
      <c r="F792" s="168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</row>
    <row r="793" spans="2:34" ht="13.75" customHeight="1" outlineLevel="1">
      <c r="B793" s="165"/>
      <c r="C793" s="165"/>
      <c r="F793" s="168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</row>
    <row r="794" spans="2:34" ht="13.75" customHeight="1" outlineLevel="1">
      <c r="B794" s="165"/>
      <c r="C794" s="165"/>
      <c r="F794" s="168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</row>
    <row r="795" spans="2:34" ht="13.75" customHeight="1" outlineLevel="1">
      <c r="B795" s="165"/>
      <c r="C795" s="165"/>
      <c r="F795" s="168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</row>
    <row r="796" spans="2:34" ht="13.75" customHeight="1" outlineLevel="1">
      <c r="B796" s="165"/>
      <c r="C796" s="165"/>
      <c r="F796" s="168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</row>
    <row r="797" spans="2:34" ht="13.75" customHeight="1" outlineLevel="1">
      <c r="B797" s="165"/>
      <c r="C797" s="165"/>
      <c r="F797" s="168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</row>
    <row r="798" spans="2:34" ht="13.75" customHeight="1" outlineLevel="1">
      <c r="B798" s="165"/>
      <c r="C798" s="165"/>
      <c r="F798" s="168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</row>
    <row r="799" spans="2:34" ht="13.75" customHeight="1" outlineLevel="1">
      <c r="B799" s="165"/>
      <c r="C799" s="165"/>
      <c r="F799" s="168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</row>
    <row r="800" spans="2:34" ht="13.75" customHeight="1" outlineLevel="1">
      <c r="B800" s="165"/>
      <c r="C800" s="165"/>
      <c r="F800" s="168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</row>
    <row r="801" spans="2:34" ht="13.75" customHeight="1" outlineLevel="1">
      <c r="B801" s="165"/>
      <c r="C801" s="165"/>
      <c r="F801" s="168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</row>
    <row r="802" spans="2:34" ht="13.75" customHeight="1" outlineLevel="1">
      <c r="B802" s="165"/>
      <c r="C802" s="165"/>
      <c r="F802" s="168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</row>
    <row r="803" spans="2:34" ht="13.75" customHeight="1" outlineLevel="1">
      <c r="B803" s="165"/>
      <c r="C803" s="165"/>
      <c r="F803" s="168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</row>
    <row r="804" spans="2:34" ht="13.75" customHeight="1" outlineLevel="1">
      <c r="B804" s="165"/>
      <c r="C804" s="165"/>
      <c r="F804" s="168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</row>
    <row r="805" spans="2:34" ht="13.75" customHeight="1" outlineLevel="1">
      <c r="B805" s="165"/>
      <c r="C805" s="165"/>
      <c r="F805" s="168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</row>
    <row r="806" spans="2:34" ht="13.75" customHeight="1" outlineLevel="1">
      <c r="B806" s="165"/>
      <c r="C806" s="165"/>
      <c r="F806" s="168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</row>
    <row r="807" spans="2:34" ht="13.75" customHeight="1" outlineLevel="1">
      <c r="B807" s="165"/>
      <c r="C807" s="165"/>
      <c r="F807" s="168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</row>
    <row r="808" spans="2:34" ht="13.75" customHeight="1">
      <c r="B808" s="165"/>
      <c r="C808" s="165"/>
      <c r="F808" s="168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</row>
    <row r="809" spans="2:34" ht="13.75" customHeight="1" outlineLevel="1">
      <c r="B809" s="165"/>
      <c r="C809" s="165"/>
      <c r="F809" s="168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</row>
    <row r="810" spans="2:34" ht="13.75" customHeight="1" outlineLevel="1">
      <c r="B810" s="165"/>
      <c r="C810" s="165"/>
      <c r="F810" s="168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</row>
    <row r="811" spans="2:34" ht="13.75" customHeight="1" outlineLevel="1">
      <c r="B811" s="165"/>
      <c r="C811" s="165"/>
      <c r="F811" s="168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</row>
    <row r="812" spans="2:34" ht="13.75" customHeight="1" outlineLevel="1">
      <c r="B812" s="165"/>
      <c r="C812" s="165"/>
      <c r="F812" s="168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</row>
    <row r="813" spans="2:34" ht="13.75" customHeight="1" outlineLevel="1">
      <c r="B813" s="165"/>
      <c r="C813" s="165"/>
      <c r="F813" s="168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</row>
    <row r="814" spans="2:34" ht="13.75" customHeight="1" outlineLevel="1">
      <c r="B814" s="165"/>
      <c r="C814" s="165"/>
      <c r="F814" s="168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</row>
    <row r="815" spans="2:34" ht="13.75" customHeight="1" outlineLevel="1">
      <c r="B815" s="165"/>
      <c r="C815" s="165"/>
      <c r="F815" s="168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</row>
    <row r="816" spans="2:34" ht="13.75" customHeight="1" outlineLevel="1">
      <c r="B816" s="165"/>
      <c r="C816" s="165"/>
      <c r="F816" s="168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</row>
    <row r="817" spans="2:34" ht="13.75" customHeight="1" outlineLevel="1">
      <c r="B817" s="165"/>
      <c r="C817" s="165"/>
      <c r="F817" s="168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</row>
    <row r="818" spans="2:34" ht="13.75" customHeight="1" outlineLevel="1">
      <c r="B818" s="165"/>
      <c r="C818" s="165"/>
      <c r="F818" s="168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</row>
    <row r="819" spans="2:34" ht="13.75" customHeight="1" outlineLevel="1">
      <c r="B819" s="165"/>
      <c r="C819" s="165"/>
      <c r="F819" s="168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</row>
    <row r="820" spans="2:34" ht="13.75" customHeight="1" outlineLevel="1">
      <c r="B820" s="165"/>
      <c r="C820" s="165"/>
      <c r="F820" s="168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</row>
    <row r="821" spans="2:34" ht="13.75" customHeight="1" outlineLevel="1">
      <c r="B821" s="165"/>
      <c r="C821" s="165"/>
      <c r="F821" s="168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</row>
    <row r="822" spans="2:34" ht="13.75" customHeight="1" outlineLevel="1">
      <c r="B822" s="165"/>
      <c r="C822" s="165"/>
      <c r="F822" s="168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</row>
    <row r="823" spans="2:34" ht="13.75" customHeight="1" outlineLevel="1">
      <c r="B823" s="165"/>
      <c r="C823" s="165"/>
      <c r="F823" s="168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</row>
    <row r="824" spans="2:34" ht="13.75" customHeight="1" outlineLevel="1">
      <c r="B824" s="165"/>
      <c r="C824" s="165"/>
      <c r="F824" s="168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</row>
    <row r="825" spans="2:34" ht="13.75" customHeight="1" outlineLevel="1">
      <c r="B825" s="165"/>
      <c r="C825" s="165"/>
      <c r="F825" s="168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</row>
    <row r="826" spans="2:34" ht="13.75" customHeight="1" outlineLevel="1">
      <c r="B826" s="165"/>
      <c r="C826" s="165"/>
      <c r="F826" s="168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</row>
    <row r="827" spans="2:34" ht="13.75" customHeight="1" outlineLevel="1">
      <c r="B827" s="165"/>
      <c r="C827" s="165"/>
      <c r="F827" s="168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</row>
    <row r="828" spans="2:34" ht="13.75" customHeight="1">
      <c r="B828" s="165"/>
      <c r="C828" s="165"/>
      <c r="F828" s="168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</row>
    <row r="829" spans="2:34" ht="13.75" customHeight="1" outlineLevel="1">
      <c r="B829" s="165"/>
      <c r="C829" s="165"/>
      <c r="F829" s="168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</row>
    <row r="830" spans="2:34" ht="13.75" customHeight="1" outlineLevel="1">
      <c r="B830" s="165"/>
      <c r="C830" s="165"/>
      <c r="F830" s="168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</row>
    <row r="831" spans="2:34" ht="13.75" customHeight="1" outlineLevel="1">
      <c r="B831" s="165"/>
      <c r="C831" s="165"/>
      <c r="F831" s="168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</row>
    <row r="832" spans="2:34" ht="13.75" customHeight="1" outlineLevel="1">
      <c r="B832" s="165"/>
      <c r="C832" s="165"/>
      <c r="F832" s="168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</row>
    <row r="833" spans="2:34" ht="13.75" customHeight="1" outlineLevel="1">
      <c r="B833" s="165"/>
      <c r="C833" s="165"/>
      <c r="F833" s="168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</row>
    <row r="834" spans="2:34" ht="13.75" customHeight="1" outlineLevel="1">
      <c r="B834" s="165"/>
      <c r="C834" s="165"/>
      <c r="F834" s="168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</row>
    <row r="835" spans="2:34" ht="13.75" customHeight="1" outlineLevel="1">
      <c r="B835" s="165"/>
      <c r="C835" s="165"/>
      <c r="F835" s="168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</row>
    <row r="836" spans="2:34" ht="13.75" customHeight="1" outlineLevel="1">
      <c r="B836" s="165"/>
      <c r="C836" s="165"/>
      <c r="F836" s="168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</row>
    <row r="837" spans="2:34" ht="13.75" customHeight="1" outlineLevel="1">
      <c r="B837" s="165"/>
      <c r="C837" s="165"/>
      <c r="F837" s="168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</row>
    <row r="838" spans="2:34" ht="13.75" customHeight="1" outlineLevel="1">
      <c r="B838" s="165"/>
      <c r="C838" s="165"/>
      <c r="F838" s="168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</row>
    <row r="839" spans="2:34" ht="13.75" customHeight="1" outlineLevel="1">
      <c r="B839" s="165"/>
      <c r="C839" s="165"/>
      <c r="F839" s="168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</row>
    <row r="840" spans="2:34" ht="13.75" customHeight="1" outlineLevel="1">
      <c r="B840" s="165"/>
      <c r="C840" s="165"/>
      <c r="F840" s="168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</row>
    <row r="841" spans="2:34" ht="13.75" customHeight="1" outlineLevel="1">
      <c r="B841" s="165"/>
      <c r="C841" s="165"/>
      <c r="F841" s="168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</row>
    <row r="842" spans="2:34" ht="13.75" customHeight="1" outlineLevel="1">
      <c r="B842" s="165"/>
      <c r="C842" s="165"/>
      <c r="F842" s="168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</row>
    <row r="843" spans="2:34" ht="13.75" customHeight="1" outlineLevel="1">
      <c r="B843" s="165"/>
      <c r="C843" s="165"/>
      <c r="F843" s="168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</row>
    <row r="844" spans="2:34" ht="13.75" customHeight="1" outlineLevel="1">
      <c r="B844" s="165"/>
      <c r="C844" s="165"/>
      <c r="F844" s="168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</row>
    <row r="845" spans="2:34" ht="13.75" customHeight="1" outlineLevel="1">
      <c r="B845" s="165"/>
      <c r="C845" s="165"/>
      <c r="F845" s="168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</row>
    <row r="846" spans="2:34" ht="13.75" customHeight="1" outlineLevel="1">
      <c r="B846" s="165"/>
      <c r="C846" s="165"/>
      <c r="F846" s="168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</row>
    <row r="847" spans="2:34" ht="13.75" customHeight="1" outlineLevel="1">
      <c r="B847" s="165"/>
      <c r="C847" s="165"/>
      <c r="F847" s="168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</row>
    <row r="848" spans="2:34" ht="13.75" customHeight="1">
      <c r="F848" s="168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</row>
    <row r="849" spans="6:34" ht="13.75" customHeight="1" outlineLevel="1">
      <c r="F849" s="168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</row>
    <row r="850" spans="6:34" ht="13.75" customHeight="1" outlineLevel="1">
      <c r="F850" s="168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</row>
    <row r="851" spans="6:34" ht="13.75" customHeight="1" outlineLevel="1">
      <c r="F851" s="168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</row>
    <row r="852" spans="6:34" ht="13.75" customHeight="1" outlineLevel="1">
      <c r="F852" s="168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</row>
    <row r="853" spans="6:34" ht="13.75" customHeight="1" outlineLevel="1">
      <c r="F853" s="168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</row>
    <row r="854" spans="6:34" ht="13.75" customHeight="1" outlineLevel="1">
      <c r="F854" s="168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</row>
    <row r="855" spans="6:34" ht="13.75" customHeight="1" outlineLevel="1">
      <c r="F855" s="168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</row>
    <row r="856" spans="6:34" ht="13.75" customHeight="1" outlineLevel="1">
      <c r="F856" s="168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</row>
    <row r="857" spans="6:34" ht="13.75" customHeight="1" outlineLevel="1">
      <c r="F857" s="168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</row>
    <row r="858" spans="6:34" ht="13.75" customHeight="1" outlineLevel="1">
      <c r="F858" s="168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</row>
    <row r="859" spans="6:34" ht="13.75" customHeight="1" outlineLevel="1">
      <c r="F859" s="168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</row>
    <row r="860" spans="6:34" ht="13.75" customHeight="1" outlineLevel="1">
      <c r="F860" s="168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</row>
    <row r="861" spans="6:34" ht="13.75" customHeight="1" outlineLevel="1">
      <c r="F861" s="168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</row>
    <row r="862" spans="6:34" ht="13.75" customHeight="1" outlineLevel="1">
      <c r="F862" s="168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</row>
    <row r="863" spans="6:34" ht="13.75" customHeight="1" outlineLevel="1">
      <c r="F863" s="168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</row>
    <row r="864" spans="6:34" ht="13.75" customHeight="1" outlineLevel="1">
      <c r="F864" s="168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</row>
    <row r="865" spans="6:34" ht="13.75" customHeight="1" outlineLevel="1">
      <c r="F865" s="168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</row>
    <row r="866" spans="6:34" ht="13.75" customHeight="1" outlineLevel="1">
      <c r="F866" s="168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</row>
    <row r="867" spans="6:34" ht="13.75" customHeight="1" outlineLevel="1">
      <c r="F867" s="168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</row>
    <row r="868" spans="6:34" ht="13.75" customHeight="1">
      <c r="F868" s="168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</row>
    <row r="869" spans="6:34" ht="13.75" customHeight="1" outlineLevel="1">
      <c r="F869" s="168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</row>
    <row r="870" spans="6:34" ht="13.75" customHeight="1" outlineLevel="1">
      <c r="F870" s="168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</row>
    <row r="871" spans="6:34" ht="13.75" customHeight="1" outlineLevel="1">
      <c r="F871" s="168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</row>
    <row r="872" spans="6:34" ht="13.75" customHeight="1" outlineLevel="1">
      <c r="F872" s="168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</row>
    <row r="873" spans="6:34" ht="13.75" customHeight="1" outlineLevel="1">
      <c r="F873" s="168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</row>
    <row r="874" spans="6:34" ht="13.75" customHeight="1" outlineLevel="1">
      <c r="F874" s="168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</row>
    <row r="875" spans="6:34" ht="13.75" customHeight="1" outlineLevel="1">
      <c r="F875" s="168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</row>
    <row r="876" spans="6:34" ht="13.75" customHeight="1" outlineLevel="1">
      <c r="F876" s="168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</row>
    <row r="877" spans="6:34" ht="13.75" customHeight="1" outlineLevel="1">
      <c r="F877" s="168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</row>
    <row r="878" spans="6:34" ht="13.75" customHeight="1" outlineLevel="1">
      <c r="F878" s="168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</row>
    <row r="879" spans="6:34" ht="13.75" customHeight="1" outlineLevel="1">
      <c r="F879" s="168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</row>
    <row r="880" spans="6:34" ht="13.75" customHeight="1" outlineLevel="1">
      <c r="F880" s="168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</row>
    <row r="881" spans="6:34" ht="13.75" customHeight="1" outlineLevel="1">
      <c r="F881" s="168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</row>
    <row r="882" spans="6:34" ht="13.75" customHeight="1" outlineLevel="1">
      <c r="F882" s="168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</row>
    <row r="883" spans="6:34" ht="13.75" customHeight="1" outlineLevel="1">
      <c r="F883" s="168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</row>
    <row r="884" spans="6:34" ht="13.75" customHeight="1" outlineLevel="1">
      <c r="F884" s="168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</row>
    <row r="885" spans="6:34" ht="13.75" customHeight="1" outlineLevel="1">
      <c r="F885" s="168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</row>
    <row r="886" spans="6:34" ht="13.75" customHeight="1" outlineLevel="1">
      <c r="F886" s="168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</row>
    <row r="887" spans="6:34" ht="13.75" customHeight="1" outlineLevel="1">
      <c r="F887" s="168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</row>
    <row r="888" spans="6:34" ht="13.75" customHeight="1">
      <c r="F888" s="168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</row>
    <row r="889" spans="6:34" ht="13.75" customHeight="1" outlineLevel="1">
      <c r="F889" s="168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</row>
    <row r="890" spans="6:34" ht="13.75" customHeight="1" outlineLevel="1">
      <c r="F890" s="168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</row>
    <row r="891" spans="6:34" ht="13.75" customHeight="1" outlineLevel="1">
      <c r="F891" s="168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</row>
    <row r="892" spans="6:34" ht="13.75" customHeight="1" outlineLevel="1">
      <c r="F892" s="168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</row>
    <row r="893" spans="6:34" ht="13.75" customHeight="1" outlineLevel="1">
      <c r="F893" s="168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</row>
    <row r="894" spans="6:34" ht="13.75" customHeight="1" outlineLevel="1">
      <c r="F894" s="168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</row>
    <row r="895" spans="6:34" ht="13.75" customHeight="1" outlineLevel="1">
      <c r="F895" s="168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</row>
    <row r="896" spans="6:34" ht="13.75" customHeight="1" outlineLevel="1">
      <c r="F896" s="168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</row>
    <row r="897" spans="6:34" ht="13.75" customHeight="1" outlineLevel="1">
      <c r="F897" s="168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</row>
    <row r="898" spans="6:34" ht="13.75" customHeight="1" outlineLevel="1">
      <c r="F898" s="168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</row>
    <row r="899" spans="6:34" ht="13.75" customHeight="1" outlineLevel="1">
      <c r="F899" s="168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</row>
    <row r="900" spans="6:34" ht="13.75" customHeight="1" outlineLevel="1">
      <c r="F900" s="168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</row>
    <row r="901" spans="6:34" ht="13.75" customHeight="1" outlineLevel="1">
      <c r="F901" s="168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</row>
    <row r="902" spans="6:34" ht="13.75" customHeight="1" outlineLevel="1">
      <c r="F902" s="168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</row>
    <row r="903" spans="6:34" ht="13.75" customHeight="1" outlineLevel="1">
      <c r="F903" s="168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</row>
    <row r="904" spans="6:34" ht="13.75" customHeight="1" outlineLevel="1">
      <c r="F904" s="168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</row>
    <row r="905" spans="6:34" ht="13.75" customHeight="1" outlineLevel="1">
      <c r="F905" s="168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</row>
    <row r="906" spans="6:34" ht="13.75" customHeight="1" outlineLevel="1">
      <c r="F906" s="168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</row>
    <row r="907" spans="6:34" ht="13.75" customHeight="1" outlineLevel="1">
      <c r="F907" s="168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</row>
    <row r="908" spans="6:34" ht="13.75" customHeight="1">
      <c r="F908" s="168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</row>
    <row r="909" spans="6:34" ht="13.75" customHeight="1" outlineLevel="1">
      <c r="F909" s="168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</row>
    <row r="910" spans="6:34" ht="13.75" customHeight="1" outlineLevel="1">
      <c r="F910" s="168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</row>
    <row r="911" spans="6:34" ht="13.75" customHeight="1" outlineLevel="1">
      <c r="F911" s="168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</row>
    <row r="912" spans="6:34" ht="13.75" customHeight="1" outlineLevel="1">
      <c r="F912" s="168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</row>
    <row r="913" spans="6:34" ht="13.75" customHeight="1" outlineLevel="1">
      <c r="F913" s="168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</row>
    <row r="914" spans="6:34" ht="13.75" customHeight="1" outlineLevel="1">
      <c r="F914" s="168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</row>
    <row r="915" spans="6:34" ht="13.75" customHeight="1" outlineLevel="1">
      <c r="F915" s="168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</row>
    <row r="916" spans="6:34" ht="13.75" customHeight="1" outlineLevel="1">
      <c r="F916" s="168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</row>
    <row r="917" spans="6:34" ht="13.75" customHeight="1" outlineLevel="1">
      <c r="F917" s="168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</row>
    <row r="918" spans="6:34" ht="13.75" customHeight="1" outlineLevel="1">
      <c r="F918" s="168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</row>
    <row r="919" spans="6:34" ht="13.75" customHeight="1" outlineLevel="1">
      <c r="F919" s="168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</row>
    <row r="920" spans="6:34" ht="13.75" customHeight="1" outlineLevel="1">
      <c r="F920" s="168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</row>
    <row r="921" spans="6:34" ht="13.75" customHeight="1" outlineLevel="1">
      <c r="F921" s="168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</row>
    <row r="922" spans="6:34" ht="13.75" customHeight="1" outlineLevel="1">
      <c r="F922" s="168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</row>
    <row r="923" spans="6:34" ht="13.75" customHeight="1" outlineLevel="1">
      <c r="F923" s="168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</row>
    <row r="924" spans="6:34" ht="13.75" customHeight="1" outlineLevel="1">
      <c r="F924" s="168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</row>
    <row r="925" spans="6:34" ht="13.75" customHeight="1" outlineLevel="1">
      <c r="F925" s="168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</row>
    <row r="926" spans="6:34" ht="13.75" customHeight="1" outlineLevel="1">
      <c r="F926" s="168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</row>
    <row r="927" spans="6:34" ht="13.75" customHeight="1" outlineLevel="1">
      <c r="F927" s="168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</row>
    <row r="928" spans="6:34" ht="13.75" customHeight="1">
      <c r="F928" s="168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</row>
    <row r="929" spans="6:34" ht="13.75" customHeight="1" outlineLevel="1">
      <c r="F929" s="168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</row>
    <row r="930" spans="6:34" ht="13.75" customHeight="1" outlineLevel="1">
      <c r="F930" s="168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</row>
    <row r="931" spans="6:34" ht="13.75" customHeight="1" outlineLevel="1">
      <c r="F931" s="168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</row>
    <row r="932" spans="6:34" ht="13.75" customHeight="1" outlineLevel="1">
      <c r="F932" s="168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</row>
    <row r="933" spans="6:34" ht="13.75" customHeight="1" outlineLevel="1">
      <c r="F933" s="168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</row>
    <row r="934" spans="6:34" ht="13.75" customHeight="1" outlineLevel="1">
      <c r="F934" s="168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</row>
    <row r="935" spans="6:34" ht="13.75" customHeight="1" outlineLevel="1">
      <c r="F935" s="168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</row>
    <row r="936" spans="6:34" ht="13.75" customHeight="1" outlineLevel="1">
      <c r="F936" s="168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</row>
    <row r="937" spans="6:34" ht="13.75" customHeight="1" outlineLevel="1">
      <c r="F937" s="168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</row>
    <row r="938" spans="6:34" ht="13.75" customHeight="1" outlineLevel="1">
      <c r="F938" s="168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</row>
    <row r="939" spans="6:34" ht="13.75" customHeight="1" outlineLevel="1">
      <c r="F939" s="168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</row>
    <row r="940" spans="6:34" ht="13.75" customHeight="1" outlineLevel="1">
      <c r="F940" s="168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</row>
    <row r="941" spans="6:34" ht="13.75" customHeight="1" outlineLevel="1">
      <c r="F941" s="168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</row>
    <row r="942" spans="6:34" ht="13.75" customHeight="1" outlineLevel="1">
      <c r="F942" s="168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</row>
    <row r="943" spans="6:34" ht="13.75" customHeight="1" outlineLevel="1">
      <c r="F943" s="168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</row>
    <row r="944" spans="6:34" ht="13.75" customHeight="1" outlineLevel="1">
      <c r="F944" s="168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</row>
    <row r="945" spans="6:34" ht="13.75" customHeight="1" outlineLevel="1">
      <c r="F945" s="168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</row>
    <row r="946" spans="6:34" ht="13.75" customHeight="1" outlineLevel="1">
      <c r="F946" s="168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</row>
    <row r="947" spans="6:34" ht="13.75" customHeight="1" outlineLevel="1">
      <c r="F947" s="168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</row>
    <row r="948" spans="6:34" ht="13.75" customHeight="1">
      <c r="F948" s="168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</row>
    <row r="949" spans="6:34" ht="13.75" customHeight="1" outlineLevel="1">
      <c r="F949" s="168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</row>
    <row r="950" spans="6:34" ht="13.75" customHeight="1" outlineLevel="1">
      <c r="F950" s="168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</row>
    <row r="951" spans="6:34" ht="13.75" customHeight="1" outlineLevel="1">
      <c r="F951" s="168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</row>
    <row r="952" spans="6:34" ht="13.75" customHeight="1" outlineLevel="1">
      <c r="F952" s="168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</row>
    <row r="953" spans="6:34" ht="13.75" customHeight="1" outlineLevel="1">
      <c r="F953" s="168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</row>
    <row r="954" spans="6:34" ht="13.75" customHeight="1" outlineLevel="1">
      <c r="F954" s="168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</row>
    <row r="955" spans="6:34" ht="13.75" customHeight="1" outlineLevel="1">
      <c r="F955" s="168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</row>
    <row r="956" spans="6:34" ht="13.75" customHeight="1" outlineLevel="1">
      <c r="F956" s="168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</row>
    <row r="957" spans="6:34" ht="13.75" customHeight="1" outlineLevel="1">
      <c r="F957" s="168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</row>
    <row r="958" spans="6:34" ht="13.75" customHeight="1" outlineLevel="1">
      <c r="F958" s="168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</row>
    <row r="959" spans="6:34" ht="13.75" customHeight="1" outlineLevel="1">
      <c r="F959" s="168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</row>
    <row r="960" spans="6:34" ht="13.75" customHeight="1" outlineLevel="1">
      <c r="F960" s="168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</row>
    <row r="961" spans="1:34" ht="13.75" customHeight="1" outlineLevel="1">
      <c r="F961" s="168"/>
    </row>
    <row r="962" spans="1:34" ht="13.75" customHeight="1" outlineLevel="1">
      <c r="F962" s="168"/>
    </row>
    <row r="963" spans="1:34" ht="13.75" customHeight="1" outlineLevel="1">
      <c r="F963" s="168"/>
    </row>
    <row r="964" spans="1:34" ht="13.75" customHeight="1" outlineLevel="1">
      <c r="F964" s="168"/>
    </row>
    <row r="965" spans="1:34" ht="13.75" customHeight="1" outlineLevel="1">
      <c r="F965" s="168"/>
    </row>
    <row r="966" spans="1:34" ht="13.75" customHeight="1" outlineLevel="1">
      <c r="F966" s="168"/>
    </row>
    <row r="967" spans="1:34" ht="13.75" customHeight="1" outlineLevel="1">
      <c r="F967" s="168"/>
    </row>
    <row r="968" spans="1:34" ht="13.75" customHeight="1">
      <c r="A968" s="170"/>
      <c r="F968" s="168"/>
      <c r="W968" s="109"/>
    </row>
    <row r="969" spans="1:34" outlineLevel="1">
      <c r="A969" s="170"/>
      <c r="F969" s="168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</row>
    <row r="970" spans="1:34" outlineLevel="1">
      <c r="A970" s="170"/>
      <c r="F970" s="168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</row>
    <row r="971" spans="1:34" outlineLevel="1">
      <c r="A971" s="170"/>
      <c r="F971" s="168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</row>
    <row r="972" spans="1:34" outlineLevel="1">
      <c r="A972" s="170"/>
      <c r="F972" s="168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</row>
    <row r="973" spans="1:34" outlineLevel="1">
      <c r="A973" s="170"/>
      <c r="F973" s="168"/>
    </row>
    <row r="974" spans="1:34" outlineLevel="1">
      <c r="A974" s="170"/>
      <c r="F974" s="168"/>
    </row>
    <row r="975" spans="1:34" outlineLevel="1">
      <c r="A975" s="170"/>
      <c r="F975" s="168"/>
    </row>
    <row r="976" spans="1:34" outlineLevel="1">
      <c r="A976" s="170"/>
      <c r="F976" s="168"/>
    </row>
    <row r="977" spans="1:59" outlineLevel="1">
      <c r="A977" s="170"/>
      <c r="F977" s="168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</row>
    <row r="978" spans="1:59" outlineLevel="1">
      <c r="A978" s="170"/>
      <c r="F978" s="168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</row>
    <row r="979" spans="1:59" outlineLevel="1">
      <c r="A979" s="170"/>
      <c r="F979" s="168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</row>
    <row r="980" spans="1:59" outlineLevel="1">
      <c r="A980" s="170"/>
      <c r="F980" s="168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</row>
    <row r="981" spans="1:59" outlineLevel="1">
      <c r="A981" s="170"/>
      <c r="F981" s="168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</row>
    <row r="982" spans="1:59" outlineLevel="1">
      <c r="A982" s="170"/>
      <c r="F982" s="168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</row>
    <row r="983" spans="1:59" outlineLevel="1">
      <c r="A983" s="170"/>
      <c r="F983" s="168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</row>
    <row r="984" spans="1:59" outlineLevel="1">
      <c r="A984" s="170"/>
      <c r="F984" s="168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</row>
    <row r="985" spans="1:59" outlineLevel="1">
      <c r="A985" s="170"/>
      <c r="F985" s="168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</row>
    <row r="986" spans="1:59" outlineLevel="1">
      <c r="A986" s="170"/>
      <c r="F986" s="168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</row>
    <row r="987" spans="1:59" outlineLevel="1">
      <c r="A987" s="170"/>
      <c r="F987" s="168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</row>
    <row r="988" spans="1:59" outlineLevel="1">
      <c r="A988" s="141" t="s">
        <v>644</v>
      </c>
      <c r="F988" s="168" t="s">
        <v>645</v>
      </c>
      <c r="G988" s="109" t="s">
        <v>3</v>
      </c>
      <c r="J988" s="131">
        <v>1</v>
      </c>
      <c r="K988" s="131">
        <v>1</v>
      </c>
      <c r="L988" s="131">
        <v>1</v>
      </c>
      <c r="M988" s="131">
        <v>1</v>
      </c>
      <c r="N988" s="131">
        <v>1</v>
      </c>
      <c r="O988" s="131">
        <v>1</v>
      </c>
      <c r="P988" s="131">
        <v>1</v>
      </c>
      <c r="Q988" s="131">
        <v>1</v>
      </c>
      <c r="R988" s="131">
        <v>1</v>
      </c>
      <c r="S988" s="131">
        <v>1</v>
      </c>
      <c r="T988" s="131">
        <v>1</v>
      </c>
      <c r="U988" s="131">
        <v>1</v>
      </c>
      <c r="V988" s="131">
        <v>1</v>
      </c>
      <c r="W988" s="131">
        <v>1</v>
      </c>
      <c r="X988" s="131">
        <v>1</v>
      </c>
      <c r="Y988" s="131">
        <v>1</v>
      </c>
      <c r="Z988" s="131">
        <v>1</v>
      </c>
      <c r="AA988" s="131">
        <v>1</v>
      </c>
      <c r="AB988" s="131">
        <v>1</v>
      </c>
      <c r="AC988" s="131">
        <v>1</v>
      </c>
      <c r="AD988" s="131">
        <v>1</v>
      </c>
      <c r="AE988" s="131">
        <v>1</v>
      </c>
      <c r="AF988" s="131">
        <v>1</v>
      </c>
      <c r="AG988" s="131">
        <v>1</v>
      </c>
      <c r="AH988" s="131">
        <v>1</v>
      </c>
      <c r="AI988" s="131">
        <v>1</v>
      </c>
      <c r="AJ988" s="131">
        <v>1</v>
      </c>
      <c r="AK988" s="131">
        <v>1</v>
      </c>
      <c r="AL988" s="131">
        <v>1</v>
      </c>
      <c r="AM988" s="131">
        <v>1</v>
      </c>
      <c r="AN988" s="131">
        <v>1</v>
      </c>
      <c r="AO988" s="131">
        <v>1</v>
      </c>
      <c r="AP988" s="131">
        <v>1</v>
      </c>
      <c r="AQ988" s="131">
        <v>1</v>
      </c>
      <c r="AR988" s="131">
        <v>1</v>
      </c>
      <c r="AS988" s="131">
        <v>1</v>
      </c>
      <c r="AT988" s="131">
        <v>1</v>
      </c>
      <c r="AU988" s="131">
        <v>1</v>
      </c>
      <c r="AV988" s="131">
        <v>1</v>
      </c>
      <c r="AW988" s="131">
        <v>1</v>
      </c>
      <c r="AX988" s="131">
        <v>1</v>
      </c>
      <c r="AY988" s="131">
        <v>1</v>
      </c>
      <c r="AZ988" s="131">
        <v>1</v>
      </c>
      <c r="BA988" s="131">
        <v>1</v>
      </c>
      <c r="BB988" s="131">
        <v>1</v>
      </c>
      <c r="BC988" s="131">
        <f>BB988</f>
        <v>1</v>
      </c>
      <c r="BD988" s="131">
        <f t="shared" ref="BD988:BG988" si="221">BC988</f>
        <v>1</v>
      </c>
      <c r="BE988" s="131">
        <f t="shared" si="221"/>
        <v>1</v>
      </c>
      <c r="BF988" s="131">
        <f t="shared" si="221"/>
        <v>1</v>
      </c>
      <c r="BG988" s="131">
        <f t="shared" si="221"/>
        <v>1</v>
      </c>
    </row>
    <row r="989" spans="1:59">
      <c r="A989" s="141" t="s">
        <v>644</v>
      </c>
      <c r="F989" s="168" t="s">
        <v>646</v>
      </c>
      <c r="G989" s="109" t="s">
        <v>3</v>
      </c>
      <c r="J989" s="131">
        <v>1</v>
      </c>
      <c r="K989" s="131">
        <v>1</v>
      </c>
      <c r="L989" s="131">
        <v>1</v>
      </c>
      <c r="M989" s="131">
        <v>1</v>
      </c>
      <c r="N989" s="131">
        <v>1</v>
      </c>
      <c r="O989" s="131">
        <v>1</v>
      </c>
      <c r="P989" s="131">
        <v>1</v>
      </c>
      <c r="Q989" s="131">
        <v>1</v>
      </c>
      <c r="R989" s="131">
        <v>1</v>
      </c>
      <c r="S989" s="131">
        <v>1</v>
      </c>
      <c r="T989" s="131">
        <v>1</v>
      </c>
      <c r="U989" s="131">
        <v>1</v>
      </c>
      <c r="V989" s="131">
        <v>1</v>
      </c>
      <c r="W989" s="131">
        <v>1</v>
      </c>
      <c r="X989" s="131">
        <v>1</v>
      </c>
      <c r="Y989" s="131">
        <v>1</v>
      </c>
      <c r="Z989" s="131">
        <v>1</v>
      </c>
      <c r="AA989" s="131">
        <v>1</v>
      </c>
      <c r="AB989" s="131">
        <v>1</v>
      </c>
      <c r="AC989" s="131">
        <v>1</v>
      </c>
      <c r="AD989" s="131">
        <v>1</v>
      </c>
      <c r="AE989" s="131">
        <v>1</v>
      </c>
      <c r="AF989" s="131">
        <v>1</v>
      </c>
      <c r="AG989" s="131">
        <v>1</v>
      </c>
      <c r="AH989" s="131">
        <v>1</v>
      </c>
      <c r="AI989" s="131">
        <v>1</v>
      </c>
      <c r="AJ989" s="131">
        <v>1</v>
      </c>
      <c r="AK989" s="131">
        <v>1</v>
      </c>
      <c r="AL989" s="131">
        <v>1</v>
      </c>
      <c r="AM989" s="131">
        <v>1</v>
      </c>
      <c r="AN989" s="131">
        <v>1</v>
      </c>
      <c r="AO989" s="131">
        <v>1</v>
      </c>
      <c r="AP989" s="131">
        <v>1</v>
      </c>
      <c r="AQ989" s="131">
        <v>1</v>
      </c>
      <c r="AR989" s="131">
        <v>1</v>
      </c>
      <c r="AS989" s="131">
        <v>1</v>
      </c>
      <c r="AT989" s="131">
        <v>1</v>
      </c>
      <c r="AU989" s="131">
        <v>1</v>
      </c>
      <c r="AV989" s="131">
        <v>1</v>
      </c>
      <c r="AW989" s="131">
        <v>1</v>
      </c>
      <c r="AX989" s="131">
        <v>1</v>
      </c>
      <c r="AY989" s="131">
        <v>1</v>
      </c>
      <c r="AZ989" s="131">
        <v>1</v>
      </c>
      <c r="BA989" s="131">
        <v>1</v>
      </c>
      <c r="BB989" s="131">
        <v>1</v>
      </c>
      <c r="BC989" s="131">
        <f t="shared" ref="BC989:BG998" si="222">BB989</f>
        <v>1</v>
      </c>
      <c r="BD989" s="131">
        <f t="shared" si="222"/>
        <v>1</v>
      </c>
      <c r="BE989" s="131">
        <f t="shared" si="222"/>
        <v>1</v>
      </c>
      <c r="BF989" s="131">
        <f t="shared" si="222"/>
        <v>1</v>
      </c>
      <c r="BG989" s="131">
        <f t="shared" si="222"/>
        <v>1</v>
      </c>
    </row>
    <row r="990" spans="1:59">
      <c r="A990" s="141" t="s">
        <v>644</v>
      </c>
      <c r="F990" s="168" t="s">
        <v>647</v>
      </c>
      <c r="G990" s="109" t="s">
        <v>3</v>
      </c>
      <c r="J990" s="131">
        <v>1</v>
      </c>
      <c r="K990" s="131">
        <v>1</v>
      </c>
      <c r="L990" s="131">
        <v>1</v>
      </c>
      <c r="M990" s="131">
        <v>1</v>
      </c>
      <c r="N990" s="131">
        <v>1</v>
      </c>
      <c r="O990" s="131">
        <v>1</v>
      </c>
      <c r="P990" s="131">
        <v>1</v>
      </c>
      <c r="Q990" s="131">
        <v>1</v>
      </c>
      <c r="R990" s="131">
        <v>1</v>
      </c>
      <c r="S990" s="131">
        <v>1</v>
      </c>
      <c r="T990" s="131">
        <v>1</v>
      </c>
      <c r="U990" s="131">
        <v>1</v>
      </c>
      <c r="V990" s="131">
        <v>1</v>
      </c>
      <c r="W990" s="131">
        <v>1</v>
      </c>
      <c r="X990" s="131">
        <v>1</v>
      </c>
      <c r="Y990" s="131">
        <v>1</v>
      </c>
      <c r="Z990" s="131">
        <v>1</v>
      </c>
      <c r="AA990" s="131">
        <v>1</v>
      </c>
      <c r="AB990" s="131">
        <v>1</v>
      </c>
      <c r="AC990" s="131">
        <v>1</v>
      </c>
      <c r="AD990" s="131">
        <v>1</v>
      </c>
      <c r="AE990" s="131">
        <v>1</v>
      </c>
      <c r="AF990" s="131">
        <v>1</v>
      </c>
      <c r="AG990" s="131">
        <v>1</v>
      </c>
      <c r="AH990" s="131">
        <v>1</v>
      </c>
      <c r="AI990" s="131">
        <v>1</v>
      </c>
      <c r="AJ990" s="131">
        <v>1</v>
      </c>
      <c r="AK990" s="131">
        <v>1</v>
      </c>
      <c r="AL990" s="131">
        <v>1</v>
      </c>
      <c r="AM990" s="131">
        <v>1</v>
      </c>
      <c r="AN990" s="131">
        <v>1</v>
      </c>
      <c r="AO990" s="131">
        <v>1</v>
      </c>
      <c r="AP990" s="131">
        <v>1</v>
      </c>
      <c r="AQ990" s="131">
        <v>1</v>
      </c>
      <c r="AR990" s="131">
        <v>1</v>
      </c>
      <c r="AS990" s="131">
        <v>1</v>
      </c>
      <c r="AT990" s="131">
        <v>1</v>
      </c>
      <c r="AU990" s="131">
        <v>1</v>
      </c>
      <c r="AV990" s="131">
        <v>1</v>
      </c>
      <c r="AW990" s="131">
        <v>1</v>
      </c>
      <c r="AX990" s="131">
        <v>1</v>
      </c>
      <c r="AY990" s="131">
        <v>1</v>
      </c>
      <c r="AZ990" s="131">
        <v>1</v>
      </c>
      <c r="BA990" s="131">
        <v>1</v>
      </c>
      <c r="BB990" s="131">
        <v>1</v>
      </c>
      <c r="BC990" s="131">
        <f t="shared" si="222"/>
        <v>1</v>
      </c>
      <c r="BD990" s="131">
        <f t="shared" si="222"/>
        <v>1</v>
      </c>
      <c r="BE990" s="131">
        <f t="shared" si="222"/>
        <v>1</v>
      </c>
      <c r="BF990" s="131">
        <f t="shared" si="222"/>
        <v>1</v>
      </c>
      <c r="BG990" s="131">
        <f t="shared" si="222"/>
        <v>1</v>
      </c>
    </row>
    <row r="991" spans="1:59">
      <c r="A991" s="141" t="s">
        <v>644</v>
      </c>
      <c r="F991" s="168" t="s">
        <v>648</v>
      </c>
      <c r="G991" s="109" t="s">
        <v>3</v>
      </c>
      <c r="J991" s="131">
        <v>1</v>
      </c>
      <c r="K991" s="131">
        <v>1</v>
      </c>
      <c r="L991" s="131">
        <v>1</v>
      </c>
      <c r="M991" s="131">
        <v>1</v>
      </c>
      <c r="N991" s="131">
        <v>1</v>
      </c>
      <c r="O991" s="131">
        <v>1</v>
      </c>
      <c r="P991" s="131">
        <v>1</v>
      </c>
      <c r="Q991" s="131">
        <v>1</v>
      </c>
      <c r="R991" s="131">
        <v>1</v>
      </c>
      <c r="S991" s="131">
        <v>1</v>
      </c>
      <c r="T991" s="131">
        <v>1</v>
      </c>
      <c r="U991" s="131">
        <v>1</v>
      </c>
      <c r="V991" s="131">
        <v>1</v>
      </c>
      <c r="W991" s="131">
        <v>1</v>
      </c>
      <c r="X991" s="131">
        <v>1</v>
      </c>
      <c r="Y991" s="131">
        <v>1</v>
      </c>
      <c r="Z991" s="131">
        <v>1</v>
      </c>
      <c r="AA991" s="131">
        <v>1</v>
      </c>
      <c r="AB991" s="131">
        <v>1</v>
      </c>
      <c r="AC991" s="131">
        <v>1</v>
      </c>
      <c r="AD991" s="131">
        <v>1</v>
      </c>
      <c r="AE991" s="131">
        <v>1</v>
      </c>
      <c r="AF991" s="131">
        <v>1</v>
      </c>
      <c r="AG991" s="131">
        <v>1</v>
      </c>
      <c r="AH991" s="131">
        <v>1</v>
      </c>
      <c r="AI991" s="131">
        <v>1</v>
      </c>
      <c r="AJ991" s="131">
        <v>1</v>
      </c>
      <c r="AK991" s="131">
        <v>1</v>
      </c>
      <c r="AL991" s="131">
        <v>1</v>
      </c>
      <c r="AM991" s="131">
        <v>1</v>
      </c>
      <c r="AN991" s="131">
        <v>1</v>
      </c>
      <c r="AO991" s="131">
        <v>1</v>
      </c>
      <c r="AP991" s="131">
        <v>1</v>
      </c>
      <c r="AQ991" s="131">
        <v>1</v>
      </c>
      <c r="AR991" s="131">
        <v>1</v>
      </c>
      <c r="AS991" s="131">
        <v>1</v>
      </c>
      <c r="AT991" s="131">
        <v>1</v>
      </c>
      <c r="AU991" s="131">
        <v>1</v>
      </c>
      <c r="AV991" s="131">
        <v>1</v>
      </c>
      <c r="AW991" s="131">
        <v>1</v>
      </c>
      <c r="AX991" s="131">
        <v>1</v>
      </c>
      <c r="AY991" s="131">
        <v>1</v>
      </c>
      <c r="AZ991" s="131">
        <v>1</v>
      </c>
      <c r="BA991" s="131">
        <v>1</v>
      </c>
      <c r="BB991" s="131">
        <v>1</v>
      </c>
      <c r="BC991" s="131">
        <f t="shared" si="222"/>
        <v>1</v>
      </c>
      <c r="BD991" s="131">
        <f t="shared" si="222"/>
        <v>1</v>
      </c>
      <c r="BE991" s="131">
        <f t="shared" si="222"/>
        <v>1</v>
      </c>
      <c r="BF991" s="131">
        <f t="shared" si="222"/>
        <v>1</v>
      </c>
      <c r="BG991" s="131">
        <f t="shared" si="222"/>
        <v>1</v>
      </c>
    </row>
    <row r="992" spans="1:59">
      <c r="A992" s="141" t="s">
        <v>644</v>
      </c>
      <c r="F992" s="168" t="s">
        <v>649</v>
      </c>
      <c r="G992" s="109" t="s">
        <v>3</v>
      </c>
      <c r="J992" s="131">
        <v>1</v>
      </c>
      <c r="K992" s="131">
        <v>1</v>
      </c>
      <c r="L992" s="131">
        <v>1</v>
      </c>
      <c r="M992" s="131">
        <v>1</v>
      </c>
      <c r="N992" s="131">
        <v>1</v>
      </c>
      <c r="O992" s="131">
        <v>1</v>
      </c>
      <c r="P992" s="131">
        <v>1</v>
      </c>
      <c r="Q992" s="131">
        <v>1</v>
      </c>
      <c r="R992" s="131">
        <v>1</v>
      </c>
      <c r="S992" s="131">
        <v>1</v>
      </c>
      <c r="T992" s="131">
        <v>1</v>
      </c>
      <c r="U992" s="131">
        <v>1</v>
      </c>
      <c r="V992" s="131">
        <v>1</v>
      </c>
      <c r="W992" s="131">
        <v>1</v>
      </c>
      <c r="X992" s="131">
        <v>1</v>
      </c>
      <c r="Y992" s="131">
        <v>1</v>
      </c>
      <c r="Z992" s="131">
        <v>1</v>
      </c>
      <c r="AA992" s="131">
        <v>1</v>
      </c>
      <c r="AB992" s="131">
        <v>1</v>
      </c>
      <c r="AC992" s="131">
        <v>1</v>
      </c>
      <c r="AD992" s="131">
        <v>1</v>
      </c>
      <c r="AE992" s="131">
        <v>1</v>
      </c>
      <c r="AF992" s="131">
        <v>1</v>
      </c>
      <c r="AG992" s="131">
        <v>1</v>
      </c>
      <c r="AH992" s="131">
        <v>1</v>
      </c>
      <c r="AI992" s="131">
        <v>1</v>
      </c>
      <c r="AJ992" s="131">
        <v>1</v>
      </c>
      <c r="AK992" s="131">
        <v>1</v>
      </c>
      <c r="AL992" s="131">
        <v>1</v>
      </c>
      <c r="AM992" s="131">
        <v>1</v>
      </c>
      <c r="AN992" s="131">
        <v>1</v>
      </c>
      <c r="AO992" s="131">
        <v>1</v>
      </c>
      <c r="AP992" s="131">
        <v>1</v>
      </c>
      <c r="AQ992" s="131">
        <v>1</v>
      </c>
      <c r="AR992" s="131">
        <v>1</v>
      </c>
      <c r="AS992" s="131">
        <v>1</v>
      </c>
      <c r="AT992" s="131">
        <v>1</v>
      </c>
      <c r="AU992" s="131">
        <v>1</v>
      </c>
      <c r="AV992" s="131">
        <v>1</v>
      </c>
      <c r="AW992" s="131">
        <v>1</v>
      </c>
      <c r="AX992" s="131">
        <v>1</v>
      </c>
      <c r="AY992" s="131">
        <v>1</v>
      </c>
      <c r="AZ992" s="131">
        <v>1</v>
      </c>
      <c r="BA992" s="131">
        <v>1</v>
      </c>
      <c r="BB992" s="131">
        <v>1</v>
      </c>
      <c r="BC992" s="131">
        <f t="shared" si="222"/>
        <v>1</v>
      </c>
      <c r="BD992" s="131">
        <f t="shared" si="222"/>
        <v>1</v>
      </c>
      <c r="BE992" s="131">
        <f t="shared" si="222"/>
        <v>1</v>
      </c>
      <c r="BF992" s="131">
        <f t="shared" si="222"/>
        <v>1</v>
      </c>
      <c r="BG992" s="131">
        <f t="shared" si="222"/>
        <v>1</v>
      </c>
    </row>
    <row r="993" spans="1:59">
      <c r="A993" s="141" t="s">
        <v>644</v>
      </c>
      <c r="F993" s="168" t="s">
        <v>650</v>
      </c>
      <c r="G993" s="109" t="s">
        <v>3</v>
      </c>
      <c r="J993" s="131">
        <v>1</v>
      </c>
      <c r="K993" s="131">
        <v>1</v>
      </c>
      <c r="L993" s="131">
        <v>1</v>
      </c>
      <c r="M993" s="131">
        <v>1</v>
      </c>
      <c r="N993" s="131">
        <v>1</v>
      </c>
      <c r="O993" s="131">
        <v>1</v>
      </c>
      <c r="P993" s="131">
        <v>1</v>
      </c>
      <c r="Q993" s="131">
        <v>1</v>
      </c>
      <c r="R993" s="131">
        <v>1</v>
      </c>
      <c r="S993" s="131">
        <v>1</v>
      </c>
      <c r="T993" s="131">
        <v>1</v>
      </c>
      <c r="U993" s="131">
        <v>1</v>
      </c>
      <c r="V993" s="131">
        <v>1</v>
      </c>
      <c r="W993" s="131">
        <v>1</v>
      </c>
      <c r="X993" s="131">
        <v>1</v>
      </c>
      <c r="Y993" s="131">
        <v>1</v>
      </c>
      <c r="Z993" s="131">
        <v>1</v>
      </c>
      <c r="AA993" s="131">
        <v>1</v>
      </c>
      <c r="AB993" s="131">
        <v>1</v>
      </c>
      <c r="AC993" s="131">
        <v>1</v>
      </c>
      <c r="AD993" s="131">
        <v>1</v>
      </c>
      <c r="AE993" s="131">
        <v>1</v>
      </c>
      <c r="AF993" s="131">
        <v>1</v>
      </c>
      <c r="AG993" s="131">
        <v>1</v>
      </c>
      <c r="AH993" s="131">
        <v>1</v>
      </c>
      <c r="AI993" s="131">
        <v>1</v>
      </c>
      <c r="AJ993" s="131">
        <v>1</v>
      </c>
      <c r="AK993" s="131">
        <v>1</v>
      </c>
      <c r="AL993" s="131">
        <v>1</v>
      </c>
      <c r="AM993" s="131">
        <v>1</v>
      </c>
      <c r="AN993" s="131">
        <v>1</v>
      </c>
      <c r="AO993" s="131">
        <v>1</v>
      </c>
      <c r="AP993" s="131">
        <v>1</v>
      </c>
      <c r="AQ993" s="131">
        <v>1</v>
      </c>
      <c r="AR993" s="131">
        <v>1</v>
      </c>
      <c r="AS993" s="131">
        <v>1</v>
      </c>
      <c r="AT993" s="131">
        <v>1</v>
      </c>
      <c r="AU993" s="131">
        <v>1</v>
      </c>
      <c r="AV993" s="131">
        <v>1</v>
      </c>
      <c r="AW993" s="131">
        <v>1</v>
      </c>
      <c r="AX993" s="131">
        <v>1</v>
      </c>
      <c r="AY993" s="131">
        <v>1</v>
      </c>
      <c r="AZ993" s="131">
        <v>1</v>
      </c>
      <c r="BA993" s="131">
        <v>1</v>
      </c>
      <c r="BB993" s="131">
        <v>1</v>
      </c>
      <c r="BC993" s="131">
        <f t="shared" si="222"/>
        <v>1</v>
      </c>
      <c r="BD993" s="131">
        <f t="shared" si="222"/>
        <v>1</v>
      </c>
      <c r="BE993" s="131">
        <f t="shared" si="222"/>
        <v>1</v>
      </c>
      <c r="BF993" s="131">
        <f t="shared" si="222"/>
        <v>1</v>
      </c>
      <c r="BG993" s="131">
        <f t="shared" si="222"/>
        <v>1</v>
      </c>
    </row>
    <row r="994" spans="1:59">
      <c r="A994" s="141" t="s">
        <v>644</v>
      </c>
      <c r="F994" s="168" t="s">
        <v>651</v>
      </c>
      <c r="G994" s="109" t="s">
        <v>3</v>
      </c>
      <c r="J994" s="131">
        <v>1</v>
      </c>
      <c r="K994" s="131">
        <v>1</v>
      </c>
      <c r="L994" s="131">
        <v>1</v>
      </c>
      <c r="M994" s="131">
        <v>1</v>
      </c>
      <c r="N994" s="131">
        <v>1</v>
      </c>
      <c r="O994" s="131">
        <v>1</v>
      </c>
      <c r="P994" s="131">
        <v>1</v>
      </c>
      <c r="Q994" s="131">
        <v>1</v>
      </c>
      <c r="R994" s="131">
        <v>1</v>
      </c>
      <c r="S994" s="131">
        <v>1</v>
      </c>
      <c r="T994" s="131">
        <v>1</v>
      </c>
      <c r="U994" s="131">
        <v>1</v>
      </c>
      <c r="V994" s="131">
        <v>1</v>
      </c>
      <c r="W994" s="131">
        <v>1</v>
      </c>
      <c r="X994" s="131">
        <v>1</v>
      </c>
      <c r="Y994" s="131">
        <v>1</v>
      </c>
      <c r="Z994" s="131">
        <v>1</v>
      </c>
      <c r="AA994" s="131">
        <v>1</v>
      </c>
      <c r="AB994" s="131">
        <v>1</v>
      </c>
      <c r="AC994" s="131">
        <v>1</v>
      </c>
      <c r="AD994" s="131">
        <v>1</v>
      </c>
      <c r="AE994" s="131">
        <v>1</v>
      </c>
      <c r="AF994" s="131">
        <v>1</v>
      </c>
      <c r="AG994" s="131">
        <v>1</v>
      </c>
      <c r="AH994" s="131">
        <v>1</v>
      </c>
      <c r="AI994" s="131">
        <v>1</v>
      </c>
      <c r="AJ994" s="131">
        <v>1</v>
      </c>
      <c r="AK994" s="131">
        <v>1</v>
      </c>
      <c r="AL994" s="131">
        <v>1</v>
      </c>
      <c r="AM994" s="131">
        <v>1</v>
      </c>
      <c r="AN994" s="131">
        <v>1</v>
      </c>
      <c r="AO994" s="131">
        <v>1</v>
      </c>
      <c r="AP994" s="131">
        <v>1</v>
      </c>
      <c r="AQ994" s="131">
        <v>1</v>
      </c>
      <c r="AR994" s="131">
        <v>1</v>
      </c>
      <c r="AS994" s="131">
        <v>1</v>
      </c>
      <c r="AT994" s="131">
        <v>1</v>
      </c>
      <c r="AU994" s="131">
        <v>1</v>
      </c>
      <c r="AV994" s="131">
        <v>1</v>
      </c>
      <c r="AW994" s="131">
        <v>1</v>
      </c>
      <c r="AX994" s="131">
        <v>1</v>
      </c>
      <c r="AY994" s="131">
        <v>1</v>
      </c>
      <c r="AZ994" s="131">
        <v>1</v>
      </c>
      <c r="BA994" s="131">
        <v>1</v>
      </c>
      <c r="BB994" s="131">
        <v>1</v>
      </c>
      <c r="BC994" s="131">
        <f t="shared" si="222"/>
        <v>1</v>
      </c>
      <c r="BD994" s="131">
        <f t="shared" si="222"/>
        <v>1</v>
      </c>
      <c r="BE994" s="131">
        <f t="shared" si="222"/>
        <v>1</v>
      </c>
      <c r="BF994" s="131">
        <f t="shared" si="222"/>
        <v>1</v>
      </c>
      <c r="BG994" s="131">
        <f t="shared" si="222"/>
        <v>1</v>
      </c>
    </row>
    <row r="995" spans="1:59">
      <c r="A995" s="141" t="s">
        <v>644</v>
      </c>
      <c r="F995" s="168" t="s">
        <v>652</v>
      </c>
      <c r="G995" s="109" t="s">
        <v>3</v>
      </c>
      <c r="J995" s="131">
        <v>1</v>
      </c>
      <c r="K995" s="131">
        <v>1</v>
      </c>
      <c r="L995" s="131">
        <v>1</v>
      </c>
      <c r="M995" s="131">
        <v>1</v>
      </c>
      <c r="N995" s="131">
        <v>1</v>
      </c>
      <c r="O995" s="131">
        <v>1</v>
      </c>
      <c r="P995" s="131">
        <v>1</v>
      </c>
      <c r="Q995" s="131">
        <v>1</v>
      </c>
      <c r="R995" s="131">
        <v>1</v>
      </c>
      <c r="S995" s="131">
        <v>1</v>
      </c>
      <c r="T995" s="131">
        <v>1</v>
      </c>
      <c r="U995" s="131">
        <v>1</v>
      </c>
      <c r="V995" s="131">
        <v>1</v>
      </c>
      <c r="W995" s="131">
        <v>1</v>
      </c>
      <c r="X995" s="131">
        <v>1</v>
      </c>
      <c r="Y995" s="131">
        <v>1</v>
      </c>
      <c r="Z995" s="131">
        <v>1</v>
      </c>
      <c r="AA995" s="131">
        <v>1</v>
      </c>
      <c r="AB995" s="131">
        <v>1</v>
      </c>
      <c r="AC995" s="131">
        <v>1</v>
      </c>
      <c r="AD995" s="131">
        <v>1</v>
      </c>
      <c r="AE995" s="131">
        <v>1</v>
      </c>
      <c r="AF995" s="131">
        <v>1</v>
      </c>
      <c r="AG995" s="131">
        <v>1</v>
      </c>
      <c r="AH995" s="131">
        <v>1</v>
      </c>
      <c r="AI995" s="131">
        <v>1</v>
      </c>
      <c r="AJ995" s="131">
        <v>1</v>
      </c>
      <c r="AK995" s="131">
        <v>1</v>
      </c>
      <c r="AL995" s="131">
        <v>1</v>
      </c>
      <c r="AM995" s="131">
        <v>1</v>
      </c>
      <c r="AN995" s="131">
        <v>1</v>
      </c>
      <c r="AO995" s="131">
        <v>1</v>
      </c>
      <c r="AP995" s="131">
        <v>1</v>
      </c>
      <c r="AQ995" s="131">
        <v>1</v>
      </c>
      <c r="AR995" s="131">
        <v>1</v>
      </c>
      <c r="AS995" s="131">
        <v>1</v>
      </c>
      <c r="AT995" s="131">
        <v>1</v>
      </c>
      <c r="AU995" s="131">
        <v>1</v>
      </c>
      <c r="AV995" s="131">
        <v>1</v>
      </c>
      <c r="AW995" s="131">
        <v>1</v>
      </c>
      <c r="AX995" s="131">
        <v>1</v>
      </c>
      <c r="AY995" s="131">
        <v>1</v>
      </c>
      <c r="AZ995" s="131">
        <v>1</v>
      </c>
      <c r="BA995" s="131">
        <v>1</v>
      </c>
      <c r="BB995" s="131">
        <v>1</v>
      </c>
      <c r="BC995" s="131">
        <f t="shared" si="222"/>
        <v>1</v>
      </c>
      <c r="BD995" s="131">
        <f t="shared" si="222"/>
        <v>1</v>
      </c>
      <c r="BE995" s="131">
        <f t="shared" si="222"/>
        <v>1</v>
      </c>
      <c r="BF995" s="131">
        <f t="shared" si="222"/>
        <v>1</v>
      </c>
      <c r="BG995" s="131">
        <f t="shared" si="222"/>
        <v>1</v>
      </c>
    </row>
    <row r="996" spans="1:59">
      <c r="A996" s="141" t="s">
        <v>644</v>
      </c>
      <c r="F996" s="168" t="s">
        <v>653</v>
      </c>
      <c r="G996" s="109" t="s">
        <v>3</v>
      </c>
      <c r="J996" s="131">
        <v>1</v>
      </c>
      <c r="K996" s="131">
        <v>1</v>
      </c>
      <c r="L996" s="131">
        <v>1</v>
      </c>
      <c r="M996" s="131">
        <v>1</v>
      </c>
      <c r="N996" s="131">
        <v>1</v>
      </c>
      <c r="O996" s="131">
        <v>1</v>
      </c>
      <c r="P996" s="131">
        <v>1</v>
      </c>
      <c r="Q996" s="131">
        <v>1</v>
      </c>
      <c r="R996" s="131">
        <v>1</v>
      </c>
      <c r="S996" s="131">
        <v>1</v>
      </c>
      <c r="T996" s="131">
        <v>1</v>
      </c>
      <c r="U996" s="131">
        <v>1</v>
      </c>
      <c r="V996" s="131">
        <v>1</v>
      </c>
      <c r="W996" s="131">
        <v>1</v>
      </c>
      <c r="X996" s="131">
        <v>1</v>
      </c>
      <c r="Y996" s="131">
        <v>1</v>
      </c>
      <c r="Z996" s="131">
        <v>1</v>
      </c>
      <c r="AA996" s="131">
        <v>1</v>
      </c>
      <c r="AB996" s="131">
        <v>1</v>
      </c>
      <c r="AC996" s="131">
        <v>1</v>
      </c>
      <c r="AD996" s="131">
        <v>1</v>
      </c>
      <c r="AE996" s="131">
        <v>1</v>
      </c>
      <c r="AF996" s="131">
        <v>1</v>
      </c>
      <c r="AG996" s="131">
        <v>1</v>
      </c>
      <c r="AH996" s="131">
        <v>1</v>
      </c>
      <c r="AI996" s="131">
        <v>1</v>
      </c>
      <c r="AJ996" s="131">
        <v>1</v>
      </c>
      <c r="AK996" s="131">
        <v>1</v>
      </c>
      <c r="AL996" s="131">
        <v>1</v>
      </c>
      <c r="AM996" s="131">
        <v>1</v>
      </c>
      <c r="AN996" s="131">
        <v>1</v>
      </c>
      <c r="AO996" s="131">
        <v>1</v>
      </c>
      <c r="AP996" s="131">
        <v>1</v>
      </c>
      <c r="AQ996" s="131">
        <v>1</v>
      </c>
      <c r="AR996" s="131">
        <v>1</v>
      </c>
      <c r="AS996" s="131">
        <v>1</v>
      </c>
      <c r="AT996" s="131">
        <v>1</v>
      </c>
      <c r="AU996" s="131">
        <v>1</v>
      </c>
      <c r="AV996" s="131">
        <v>1</v>
      </c>
      <c r="AW996" s="131">
        <v>1</v>
      </c>
      <c r="AX996" s="131">
        <v>1</v>
      </c>
      <c r="AY996" s="131">
        <v>1</v>
      </c>
      <c r="AZ996" s="131">
        <v>1</v>
      </c>
      <c r="BA996" s="131">
        <v>1</v>
      </c>
      <c r="BB996" s="131">
        <v>1</v>
      </c>
      <c r="BC996" s="131">
        <f t="shared" si="222"/>
        <v>1</v>
      </c>
      <c r="BD996" s="131">
        <f t="shared" si="222"/>
        <v>1</v>
      </c>
      <c r="BE996" s="131">
        <f t="shared" si="222"/>
        <v>1</v>
      </c>
      <c r="BF996" s="131">
        <f t="shared" si="222"/>
        <v>1</v>
      </c>
      <c r="BG996" s="131">
        <f t="shared" si="222"/>
        <v>1</v>
      </c>
    </row>
    <row r="997" spans="1:59">
      <c r="A997" s="141" t="s">
        <v>644</v>
      </c>
      <c r="F997" s="168" t="s">
        <v>654</v>
      </c>
      <c r="G997" s="109" t="s">
        <v>3</v>
      </c>
      <c r="J997" s="131">
        <v>1</v>
      </c>
      <c r="K997" s="131">
        <v>1</v>
      </c>
      <c r="L997" s="131">
        <v>1</v>
      </c>
      <c r="M997" s="131">
        <v>1</v>
      </c>
      <c r="N997" s="131">
        <v>1</v>
      </c>
      <c r="O997" s="131">
        <v>1</v>
      </c>
      <c r="P997" s="131">
        <v>1</v>
      </c>
      <c r="Q997" s="131">
        <v>1</v>
      </c>
      <c r="R997" s="131">
        <v>1</v>
      </c>
      <c r="S997" s="131">
        <v>1</v>
      </c>
      <c r="T997" s="131">
        <v>1</v>
      </c>
      <c r="U997" s="131">
        <v>1</v>
      </c>
      <c r="V997" s="131">
        <v>1</v>
      </c>
      <c r="W997" s="131">
        <v>1</v>
      </c>
      <c r="X997" s="131">
        <v>1</v>
      </c>
      <c r="Y997" s="131">
        <v>1</v>
      </c>
      <c r="Z997" s="131">
        <v>1</v>
      </c>
      <c r="AA997" s="131">
        <v>1</v>
      </c>
      <c r="AB997" s="131">
        <v>1</v>
      </c>
      <c r="AC997" s="131">
        <v>1</v>
      </c>
      <c r="AD997" s="131">
        <v>1</v>
      </c>
      <c r="AE997" s="131">
        <v>1</v>
      </c>
      <c r="AF997" s="131">
        <v>1</v>
      </c>
      <c r="AG997" s="131">
        <v>1</v>
      </c>
      <c r="AH997" s="131">
        <v>1</v>
      </c>
      <c r="AI997" s="131">
        <v>1</v>
      </c>
      <c r="AJ997" s="131">
        <v>1</v>
      </c>
      <c r="AK997" s="131">
        <v>1</v>
      </c>
      <c r="AL997" s="131">
        <v>1</v>
      </c>
      <c r="AM997" s="131">
        <v>1</v>
      </c>
      <c r="AN997" s="131">
        <v>1</v>
      </c>
      <c r="AO997" s="131">
        <v>1</v>
      </c>
      <c r="AP997" s="131">
        <v>1</v>
      </c>
      <c r="AQ997" s="131">
        <v>1</v>
      </c>
      <c r="AR997" s="131">
        <v>1</v>
      </c>
      <c r="AS997" s="131">
        <v>1</v>
      </c>
      <c r="AT997" s="131">
        <v>1</v>
      </c>
      <c r="AU997" s="131">
        <v>1</v>
      </c>
      <c r="AV997" s="131">
        <v>1</v>
      </c>
      <c r="AW997" s="131">
        <v>1</v>
      </c>
      <c r="AX997" s="131">
        <v>1</v>
      </c>
      <c r="AY997" s="131">
        <v>1</v>
      </c>
      <c r="AZ997" s="131">
        <v>1</v>
      </c>
      <c r="BA997" s="131">
        <v>1</v>
      </c>
      <c r="BB997" s="131">
        <v>1</v>
      </c>
      <c r="BC997" s="131">
        <f t="shared" si="222"/>
        <v>1</v>
      </c>
      <c r="BD997" s="131">
        <f t="shared" si="222"/>
        <v>1</v>
      </c>
      <c r="BE997" s="131">
        <f t="shared" si="222"/>
        <v>1</v>
      </c>
      <c r="BF997" s="131">
        <f t="shared" si="222"/>
        <v>1</v>
      </c>
      <c r="BG997" s="131">
        <f t="shared" si="222"/>
        <v>1</v>
      </c>
    </row>
    <row r="998" spans="1:59">
      <c r="A998" s="141" t="s">
        <v>644</v>
      </c>
      <c r="F998" s="168" t="s">
        <v>655</v>
      </c>
      <c r="G998" s="109" t="s">
        <v>656</v>
      </c>
      <c r="J998" s="109">
        <v>0</v>
      </c>
      <c r="K998" s="109">
        <v>0</v>
      </c>
      <c r="L998" s="109">
        <v>0</v>
      </c>
      <c r="M998" s="109">
        <v>0</v>
      </c>
      <c r="N998" s="109">
        <v>0</v>
      </c>
      <c r="O998" s="109">
        <v>0</v>
      </c>
      <c r="P998" s="109">
        <v>0</v>
      </c>
      <c r="Q998" s="109">
        <v>0</v>
      </c>
      <c r="R998" s="109">
        <v>0</v>
      </c>
      <c r="S998" s="109">
        <v>0</v>
      </c>
      <c r="T998" s="109">
        <v>0</v>
      </c>
      <c r="U998" s="109">
        <v>0</v>
      </c>
      <c r="V998" s="109">
        <v>0</v>
      </c>
      <c r="W998" s="109">
        <v>0</v>
      </c>
      <c r="X998" s="109">
        <v>0</v>
      </c>
      <c r="Y998" s="109">
        <v>0</v>
      </c>
      <c r="Z998" s="109">
        <v>0</v>
      </c>
      <c r="AA998" s="109">
        <v>0</v>
      </c>
      <c r="AB998" s="109">
        <v>0</v>
      </c>
      <c r="AC998" s="109">
        <v>0</v>
      </c>
      <c r="AD998" s="109">
        <v>0</v>
      </c>
      <c r="AE998" s="109">
        <v>0</v>
      </c>
      <c r="AF998" s="109">
        <v>0</v>
      </c>
      <c r="AG998" s="109">
        <v>0</v>
      </c>
      <c r="AH998" s="109">
        <v>0</v>
      </c>
      <c r="AI998" s="109">
        <v>0</v>
      </c>
      <c r="AJ998" s="109">
        <v>0</v>
      </c>
      <c r="AK998" s="109">
        <v>0</v>
      </c>
      <c r="AL998" s="109">
        <v>0</v>
      </c>
      <c r="AM998" s="109">
        <v>0</v>
      </c>
      <c r="AN998" s="109">
        <v>0</v>
      </c>
      <c r="AO998" s="109">
        <v>0</v>
      </c>
      <c r="AP998" s="109">
        <v>0</v>
      </c>
      <c r="AQ998" s="109">
        <v>0</v>
      </c>
      <c r="AR998" s="109">
        <v>0</v>
      </c>
      <c r="AS998" s="109">
        <v>0</v>
      </c>
      <c r="AT998" s="109">
        <v>0</v>
      </c>
      <c r="AU998" s="109">
        <v>0</v>
      </c>
      <c r="AV998" s="109">
        <v>0</v>
      </c>
      <c r="AW998" s="109">
        <v>0</v>
      </c>
      <c r="AX998" s="109">
        <v>0</v>
      </c>
      <c r="AY998" s="109">
        <v>0</v>
      </c>
      <c r="AZ998" s="109">
        <v>0</v>
      </c>
      <c r="BA998" s="109">
        <v>0</v>
      </c>
      <c r="BB998" s="109">
        <v>0</v>
      </c>
      <c r="BC998" s="109">
        <f t="shared" si="222"/>
        <v>0</v>
      </c>
      <c r="BD998" s="109">
        <f t="shared" si="222"/>
        <v>0</v>
      </c>
      <c r="BE998" s="109">
        <f t="shared" si="222"/>
        <v>0</v>
      </c>
      <c r="BF998" s="109">
        <f t="shared" si="222"/>
        <v>0</v>
      </c>
      <c r="BG998" s="109">
        <f t="shared" si="222"/>
        <v>0</v>
      </c>
    </row>
    <row r="999" spans="1:59">
      <c r="A999" s="141" t="s">
        <v>644</v>
      </c>
      <c r="F999" s="168"/>
    </row>
    <row r="1000" spans="1:59" ht="15" customHeight="1">
      <c r="A1000" s="141" t="s">
        <v>644</v>
      </c>
      <c r="F1000" s="168" t="s">
        <v>657</v>
      </c>
      <c r="G1000" s="109" t="s">
        <v>3</v>
      </c>
      <c r="J1000" s="131">
        <v>1</v>
      </c>
      <c r="K1000" s="131">
        <v>1</v>
      </c>
      <c r="L1000" s="131">
        <v>1</v>
      </c>
      <c r="M1000" s="131">
        <v>1</v>
      </c>
      <c r="N1000" s="131">
        <v>1</v>
      </c>
      <c r="O1000" s="131">
        <v>1</v>
      </c>
      <c r="P1000" s="131">
        <v>1</v>
      </c>
      <c r="Q1000" s="131">
        <v>1</v>
      </c>
      <c r="R1000" s="131">
        <v>1</v>
      </c>
      <c r="S1000" s="131">
        <v>1</v>
      </c>
      <c r="T1000" s="131">
        <v>1</v>
      </c>
      <c r="U1000" s="131">
        <v>1</v>
      </c>
      <c r="V1000" s="131">
        <v>1</v>
      </c>
      <c r="W1000" s="131">
        <v>1</v>
      </c>
      <c r="X1000" s="131">
        <v>1</v>
      </c>
      <c r="Y1000" s="131">
        <v>1</v>
      </c>
      <c r="Z1000" s="131">
        <v>1</v>
      </c>
      <c r="AA1000" s="131">
        <v>1</v>
      </c>
      <c r="AB1000" s="131">
        <v>1</v>
      </c>
      <c r="AC1000" s="131">
        <v>1</v>
      </c>
      <c r="AD1000" s="131">
        <v>1</v>
      </c>
      <c r="AE1000" s="131">
        <v>1</v>
      </c>
      <c r="AF1000" s="131">
        <v>1</v>
      </c>
      <c r="AG1000" s="131">
        <v>1</v>
      </c>
      <c r="AH1000" s="131">
        <v>1</v>
      </c>
      <c r="AI1000" s="131">
        <v>1</v>
      </c>
      <c r="AJ1000" s="131">
        <v>1</v>
      </c>
      <c r="AK1000" s="131">
        <v>1</v>
      </c>
      <c r="AL1000" s="131">
        <v>1</v>
      </c>
      <c r="AM1000" s="131">
        <v>1</v>
      </c>
      <c r="AN1000" s="131">
        <v>1</v>
      </c>
      <c r="AO1000" s="131">
        <v>1</v>
      </c>
      <c r="AP1000" s="131">
        <v>1</v>
      </c>
      <c r="AQ1000" s="131">
        <v>1</v>
      </c>
      <c r="AR1000" s="131">
        <v>1</v>
      </c>
      <c r="AS1000" s="131">
        <v>1</v>
      </c>
      <c r="AT1000" s="131">
        <v>1</v>
      </c>
      <c r="AU1000" s="131">
        <v>1</v>
      </c>
      <c r="AV1000" s="131">
        <v>1</v>
      </c>
      <c r="AW1000" s="131">
        <v>1</v>
      </c>
      <c r="AX1000" s="131">
        <v>1</v>
      </c>
      <c r="AY1000" s="131">
        <v>1</v>
      </c>
      <c r="AZ1000" s="131">
        <v>1</v>
      </c>
      <c r="BA1000" s="131">
        <v>1</v>
      </c>
      <c r="BB1000" s="131">
        <v>1</v>
      </c>
      <c r="BC1000" s="131">
        <v>1</v>
      </c>
      <c r="BD1000" s="131">
        <v>1</v>
      </c>
      <c r="BE1000" s="131">
        <v>1</v>
      </c>
      <c r="BF1000" s="131">
        <v>1</v>
      </c>
      <c r="BG1000" s="131">
        <v>1</v>
      </c>
    </row>
    <row r="1001" spans="1:59" ht="15" customHeight="1">
      <c r="A1001" s="141" t="s">
        <v>644</v>
      </c>
      <c r="F1001" s="168" t="s">
        <v>658</v>
      </c>
      <c r="G1001" s="109" t="s">
        <v>3</v>
      </c>
      <c r="J1001" s="131">
        <v>1</v>
      </c>
      <c r="K1001" s="131">
        <v>1</v>
      </c>
      <c r="L1001" s="131">
        <v>1</v>
      </c>
      <c r="M1001" s="131">
        <v>1</v>
      </c>
      <c r="N1001" s="131">
        <v>1</v>
      </c>
      <c r="O1001" s="131">
        <v>1</v>
      </c>
      <c r="P1001" s="131">
        <v>1</v>
      </c>
      <c r="Q1001" s="131">
        <v>1</v>
      </c>
      <c r="R1001" s="131">
        <v>1</v>
      </c>
      <c r="S1001" s="131">
        <v>1</v>
      </c>
      <c r="T1001" s="131">
        <v>1</v>
      </c>
      <c r="U1001" s="131">
        <v>1</v>
      </c>
      <c r="V1001" s="131">
        <v>1</v>
      </c>
      <c r="W1001" s="131">
        <v>1</v>
      </c>
      <c r="X1001" s="131">
        <v>1</v>
      </c>
      <c r="Y1001" s="131">
        <v>1</v>
      </c>
      <c r="Z1001" s="131">
        <v>1</v>
      </c>
      <c r="AA1001" s="131">
        <v>1</v>
      </c>
      <c r="AB1001" s="131">
        <v>1</v>
      </c>
      <c r="AC1001" s="131">
        <v>1</v>
      </c>
      <c r="AD1001" s="131">
        <v>1</v>
      </c>
      <c r="AE1001" s="131">
        <v>1</v>
      </c>
      <c r="AF1001" s="131">
        <v>1</v>
      </c>
      <c r="AG1001" s="131">
        <v>1</v>
      </c>
      <c r="AH1001" s="131">
        <v>1</v>
      </c>
      <c r="AI1001" s="131">
        <v>1</v>
      </c>
      <c r="AJ1001" s="131">
        <v>1</v>
      </c>
      <c r="AK1001" s="131">
        <v>1</v>
      </c>
      <c r="AL1001" s="131">
        <v>1</v>
      </c>
      <c r="AM1001" s="131">
        <v>1</v>
      </c>
      <c r="AN1001" s="131">
        <v>1</v>
      </c>
      <c r="AO1001" s="131">
        <v>1</v>
      </c>
      <c r="AP1001" s="131">
        <v>1</v>
      </c>
      <c r="AQ1001" s="131">
        <v>1</v>
      </c>
      <c r="AR1001" s="131">
        <v>1</v>
      </c>
      <c r="AS1001" s="131">
        <v>1</v>
      </c>
      <c r="AT1001" s="131">
        <v>1</v>
      </c>
      <c r="AU1001" s="131">
        <v>1</v>
      </c>
      <c r="AV1001" s="131">
        <v>1</v>
      </c>
      <c r="AW1001" s="131">
        <v>1</v>
      </c>
      <c r="AX1001" s="131">
        <v>1</v>
      </c>
      <c r="AY1001" s="131">
        <v>1</v>
      </c>
      <c r="AZ1001" s="131">
        <v>1</v>
      </c>
      <c r="BA1001" s="131">
        <v>1</v>
      </c>
      <c r="BB1001" s="131">
        <v>1</v>
      </c>
      <c r="BC1001" s="131">
        <v>1</v>
      </c>
      <c r="BD1001" s="131">
        <v>1</v>
      </c>
      <c r="BE1001" s="131">
        <v>1</v>
      </c>
      <c r="BF1001" s="131">
        <v>1</v>
      </c>
      <c r="BG1001" s="131">
        <v>1</v>
      </c>
    </row>
    <row r="1002" spans="1:59" ht="15" customHeight="1">
      <c r="A1002" s="141" t="s">
        <v>644</v>
      </c>
      <c r="F1002" s="168" t="s">
        <v>659</v>
      </c>
      <c r="G1002" s="109" t="s">
        <v>3</v>
      </c>
      <c r="J1002" s="131">
        <v>1</v>
      </c>
      <c r="K1002" s="131">
        <v>1</v>
      </c>
      <c r="L1002" s="131">
        <v>1</v>
      </c>
      <c r="M1002" s="131">
        <v>1</v>
      </c>
      <c r="N1002" s="131">
        <v>1</v>
      </c>
      <c r="O1002" s="131">
        <v>1</v>
      </c>
      <c r="P1002" s="131">
        <v>1</v>
      </c>
      <c r="Q1002" s="131">
        <v>1</v>
      </c>
      <c r="R1002" s="131">
        <v>1</v>
      </c>
      <c r="S1002" s="131">
        <v>1</v>
      </c>
      <c r="T1002" s="131">
        <v>1</v>
      </c>
      <c r="U1002" s="131">
        <v>1</v>
      </c>
      <c r="V1002" s="131">
        <v>1</v>
      </c>
      <c r="W1002" s="131">
        <v>1</v>
      </c>
      <c r="X1002" s="131">
        <v>1</v>
      </c>
      <c r="Y1002" s="131">
        <v>1</v>
      </c>
      <c r="Z1002" s="131">
        <v>1</v>
      </c>
      <c r="AA1002" s="131">
        <v>1</v>
      </c>
      <c r="AB1002" s="131">
        <v>1</v>
      </c>
      <c r="AC1002" s="131">
        <v>1</v>
      </c>
      <c r="AD1002" s="131">
        <v>1</v>
      </c>
      <c r="AE1002" s="131">
        <v>1</v>
      </c>
      <c r="AF1002" s="131">
        <v>1</v>
      </c>
      <c r="AG1002" s="131">
        <v>1</v>
      </c>
      <c r="AH1002" s="131">
        <v>1</v>
      </c>
      <c r="AI1002" s="131">
        <v>1</v>
      </c>
      <c r="AJ1002" s="131">
        <v>1</v>
      </c>
      <c r="AK1002" s="131">
        <v>1</v>
      </c>
      <c r="AL1002" s="131">
        <v>1</v>
      </c>
      <c r="AM1002" s="131">
        <v>1</v>
      </c>
      <c r="AN1002" s="131">
        <v>1</v>
      </c>
      <c r="AO1002" s="131">
        <v>1</v>
      </c>
      <c r="AP1002" s="131">
        <v>1</v>
      </c>
      <c r="AQ1002" s="131">
        <v>1</v>
      </c>
      <c r="AR1002" s="131">
        <v>1</v>
      </c>
      <c r="AS1002" s="131">
        <v>1</v>
      </c>
      <c r="AT1002" s="131">
        <v>1</v>
      </c>
      <c r="AU1002" s="131">
        <v>1</v>
      </c>
      <c r="AV1002" s="131">
        <v>1</v>
      </c>
      <c r="AW1002" s="131">
        <v>1</v>
      </c>
      <c r="AX1002" s="131">
        <v>1</v>
      </c>
      <c r="AY1002" s="131">
        <v>1</v>
      </c>
      <c r="AZ1002" s="131">
        <v>1</v>
      </c>
      <c r="BA1002" s="131">
        <v>1</v>
      </c>
      <c r="BB1002" s="131">
        <v>1</v>
      </c>
      <c r="BC1002" s="131">
        <v>1</v>
      </c>
      <c r="BD1002" s="131">
        <v>1</v>
      </c>
      <c r="BE1002" s="131">
        <v>1</v>
      </c>
      <c r="BF1002" s="131">
        <v>1</v>
      </c>
      <c r="BG1002" s="131">
        <v>1</v>
      </c>
    </row>
    <row r="1003" spans="1:59" ht="15" customHeight="1">
      <c r="A1003" s="141" t="s">
        <v>644</v>
      </c>
      <c r="F1003" s="168" t="s">
        <v>660</v>
      </c>
      <c r="G1003" s="109" t="s">
        <v>3</v>
      </c>
      <c r="J1003" s="131">
        <v>1</v>
      </c>
      <c r="K1003" s="131">
        <v>1</v>
      </c>
      <c r="L1003" s="131">
        <v>1</v>
      </c>
      <c r="M1003" s="131">
        <v>1</v>
      </c>
      <c r="N1003" s="131">
        <v>1</v>
      </c>
      <c r="O1003" s="131">
        <v>1</v>
      </c>
      <c r="P1003" s="131">
        <v>1</v>
      </c>
      <c r="Q1003" s="131">
        <v>1</v>
      </c>
      <c r="R1003" s="131">
        <v>1</v>
      </c>
      <c r="S1003" s="131">
        <v>1</v>
      </c>
      <c r="T1003" s="131">
        <v>1</v>
      </c>
      <c r="U1003" s="131">
        <v>1</v>
      </c>
      <c r="V1003" s="131">
        <v>1</v>
      </c>
      <c r="W1003" s="131">
        <v>1</v>
      </c>
      <c r="X1003" s="131">
        <v>1</v>
      </c>
      <c r="Y1003" s="131">
        <v>1</v>
      </c>
      <c r="Z1003" s="131">
        <v>1</v>
      </c>
      <c r="AA1003" s="131">
        <v>1</v>
      </c>
      <c r="AB1003" s="131">
        <v>1</v>
      </c>
      <c r="AC1003" s="131">
        <v>1</v>
      </c>
      <c r="AD1003" s="131">
        <v>1</v>
      </c>
      <c r="AE1003" s="131">
        <v>1</v>
      </c>
      <c r="AF1003" s="131">
        <v>1</v>
      </c>
      <c r="AG1003" s="131">
        <v>1</v>
      </c>
      <c r="AH1003" s="131">
        <v>1</v>
      </c>
      <c r="AI1003" s="131">
        <v>1</v>
      </c>
      <c r="AJ1003" s="131">
        <v>1</v>
      </c>
      <c r="AK1003" s="131">
        <v>1</v>
      </c>
      <c r="AL1003" s="131">
        <v>1</v>
      </c>
      <c r="AM1003" s="131">
        <v>1</v>
      </c>
      <c r="AN1003" s="131">
        <v>1</v>
      </c>
      <c r="AO1003" s="131">
        <v>1</v>
      </c>
      <c r="AP1003" s="131">
        <v>1</v>
      </c>
      <c r="AQ1003" s="131">
        <v>1</v>
      </c>
      <c r="AR1003" s="131">
        <v>1</v>
      </c>
      <c r="AS1003" s="131">
        <v>1</v>
      </c>
      <c r="AT1003" s="131">
        <v>1</v>
      </c>
      <c r="AU1003" s="131">
        <v>1</v>
      </c>
      <c r="AV1003" s="131">
        <v>1</v>
      </c>
      <c r="AW1003" s="131">
        <v>1</v>
      </c>
      <c r="AX1003" s="131">
        <v>1</v>
      </c>
      <c r="AY1003" s="131">
        <v>1</v>
      </c>
      <c r="AZ1003" s="131">
        <v>1</v>
      </c>
      <c r="BA1003" s="131">
        <v>1</v>
      </c>
      <c r="BB1003" s="131">
        <v>1</v>
      </c>
      <c r="BC1003" s="131">
        <v>1</v>
      </c>
      <c r="BD1003" s="131">
        <v>1</v>
      </c>
      <c r="BE1003" s="131">
        <v>1</v>
      </c>
      <c r="BF1003" s="131">
        <v>1</v>
      </c>
      <c r="BG1003" s="131">
        <v>1</v>
      </c>
    </row>
    <row r="1004" spans="1:59" ht="15" customHeight="1">
      <c r="A1004" s="141" t="s">
        <v>644</v>
      </c>
      <c r="F1004" s="168" t="s">
        <v>661</v>
      </c>
      <c r="G1004" s="109" t="s">
        <v>3</v>
      </c>
      <c r="J1004" s="131">
        <v>1</v>
      </c>
      <c r="K1004" s="131">
        <v>1</v>
      </c>
      <c r="L1004" s="131">
        <v>1</v>
      </c>
      <c r="M1004" s="131">
        <v>1</v>
      </c>
      <c r="N1004" s="131">
        <v>1</v>
      </c>
      <c r="O1004" s="131">
        <v>1</v>
      </c>
      <c r="P1004" s="131">
        <v>1</v>
      </c>
      <c r="Q1004" s="131">
        <v>1</v>
      </c>
      <c r="R1004" s="131">
        <v>1</v>
      </c>
      <c r="S1004" s="131">
        <v>1</v>
      </c>
      <c r="T1004" s="131">
        <v>1</v>
      </c>
      <c r="U1004" s="131">
        <v>1</v>
      </c>
      <c r="V1004" s="131">
        <v>1</v>
      </c>
      <c r="W1004" s="131">
        <v>1</v>
      </c>
      <c r="X1004" s="131">
        <v>1</v>
      </c>
      <c r="Y1004" s="131">
        <v>1</v>
      </c>
      <c r="Z1004" s="131">
        <v>1</v>
      </c>
      <c r="AA1004" s="131">
        <v>1</v>
      </c>
      <c r="AB1004" s="131">
        <v>1</v>
      </c>
      <c r="AC1004" s="131">
        <v>1</v>
      </c>
      <c r="AD1004" s="131">
        <v>1</v>
      </c>
      <c r="AE1004" s="131">
        <v>1</v>
      </c>
      <c r="AF1004" s="131">
        <v>1</v>
      </c>
      <c r="AG1004" s="131">
        <v>1</v>
      </c>
      <c r="AH1004" s="131">
        <v>1</v>
      </c>
      <c r="AI1004" s="131">
        <v>1</v>
      </c>
      <c r="AJ1004" s="131">
        <v>1</v>
      </c>
      <c r="AK1004" s="131">
        <v>1</v>
      </c>
      <c r="AL1004" s="131">
        <v>1</v>
      </c>
      <c r="AM1004" s="131">
        <v>1</v>
      </c>
      <c r="AN1004" s="131">
        <v>1</v>
      </c>
      <c r="AO1004" s="131">
        <v>1</v>
      </c>
      <c r="AP1004" s="131">
        <v>1</v>
      </c>
      <c r="AQ1004" s="131">
        <v>1</v>
      </c>
      <c r="AR1004" s="131">
        <v>1</v>
      </c>
      <c r="AS1004" s="131">
        <v>1</v>
      </c>
      <c r="AT1004" s="131">
        <v>1</v>
      </c>
      <c r="AU1004" s="131">
        <v>1</v>
      </c>
      <c r="AV1004" s="131">
        <v>1</v>
      </c>
      <c r="AW1004" s="131">
        <v>1</v>
      </c>
      <c r="AX1004" s="131">
        <v>1</v>
      </c>
      <c r="AY1004" s="131">
        <v>1</v>
      </c>
      <c r="AZ1004" s="131">
        <v>1</v>
      </c>
      <c r="BA1004" s="131">
        <v>1</v>
      </c>
      <c r="BB1004" s="131">
        <v>1</v>
      </c>
      <c r="BC1004" s="131">
        <v>1</v>
      </c>
      <c r="BD1004" s="131">
        <v>1</v>
      </c>
      <c r="BE1004" s="131">
        <v>1</v>
      </c>
      <c r="BF1004" s="131">
        <v>1</v>
      </c>
      <c r="BG1004" s="131">
        <v>1</v>
      </c>
    </row>
    <row r="1005" spans="1:59" ht="15" customHeight="1">
      <c r="A1005" s="141" t="s">
        <v>644</v>
      </c>
      <c r="F1005" s="168" t="s">
        <v>662</v>
      </c>
      <c r="G1005" s="109" t="s">
        <v>3</v>
      </c>
      <c r="J1005" s="131">
        <v>1</v>
      </c>
      <c r="K1005" s="131">
        <v>1</v>
      </c>
      <c r="L1005" s="131">
        <v>1</v>
      </c>
      <c r="M1005" s="131">
        <v>1</v>
      </c>
      <c r="N1005" s="131">
        <v>1</v>
      </c>
      <c r="O1005" s="131">
        <v>1</v>
      </c>
      <c r="P1005" s="131">
        <v>1</v>
      </c>
      <c r="Q1005" s="131">
        <v>1</v>
      </c>
      <c r="R1005" s="131">
        <v>1</v>
      </c>
      <c r="S1005" s="131">
        <v>1</v>
      </c>
      <c r="T1005" s="131">
        <v>1</v>
      </c>
      <c r="U1005" s="131">
        <v>1</v>
      </c>
      <c r="V1005" s="131">
        <v>1</v>
      </c>
      <c r="W1005" s="131">
        <v>1</v>
      </c>
      <c r="X1005" s="131">
        <v>1</v>
      </c>
      <c r="Y1005" s="131">
        <v>1</v>
      </c>
      <c r="Z1005" s="131">
        <v>1</v>
      </c>
      <c r="AA1005" s="131">
        <v>1</v>
      </c>
      <c r="AB1005" s="131">
        <v>1</v>
      </c>
      <c r="AC1005" s="131">
        <v>1</v>
      </c>
      <c r="AD1005" s="131">
        <v>1</v>
      </c>
      <c r="AE1005" s="131">
        <v>1</v>
      </c>
      <c r="AF1005" s="131">
        <v>1</v>
      </c>
      <c r="AG1005" s="131">
        <v>1</v>
      </c>
      <c r="AH1005" s="131">
        <v>1</v>
      </c>
      <c r="AI1005" s="131">
        <v>1</v>
      </c>
      <c r="AJ1005" s="131">
        <v>1</v>
      </c>
      <c r="AK1005" s="131">
        <v>1</v>
      </c>
      <c r="AL1005" s="131">
        <v>1</v>
      </c>
      <c r="AM1005" s="131">
        <v>1</v>
      </c>
      <c r="AN1005" s="131">
        <v>1</v>
      </c>
      <c r="AO1005" s="131">
        <v>1</v>
      </c>
      <c r="AP1005" s="131">
        <v>1</v>
      </c>
      <c r="AQ1005" s="131">
        <v>1</v>
      </c>
      <c r="AR1005" s="131">
        <v>1</v>
      </c>
      <c r="AS1005" s="131">
        <v>1</v>
      </c>
      <c r="AT1005" s="131">
        <v>1</v>
      </c>
      <c r="AU1005" s="131">
        <v>1</v>
      </c>
      <c r="AV1005" s="131">
        <v>1</v>
      </c>
      <c r="AW1005" s="131">
        <v>1</v>
      </c>
      <c r="AX1005" s="131">
        <v>1</v>
      </c>
      <c r="AY1005" s="131">
        <v>1</v>
      </c>
      <c r="AZ1005" s="131">
        <v>1</v>
      </c>
      <c r="BA1005" s="131">
        <v>1</v>
      </c>
      <c r="BB1005" s="131">
        <v>1</v>
      </c>
      <c r="BC1005" s="131">
        <v>1</v>
      </c>
      <c r="BD1005" s="131">
        <v>1</v>
      </c>
      <c r="BE1005" s="131">
        <v>1</v>
      </c>
      <c r="BF1005" s="131">
        <v>1</v>
      </c>
      <c r="BG1005" s="131">
        <v>1</v>
      </c>
    </row>
    <row r="1006" spans="1:59" ht="15" customHeight="1">
      <c r="A1006" s="141" t="s">
        <v>644</v>
      </c>
      <c r="F1006" s="168" t="s">
        <v>663</v>
      </c>
      <c r="G1006" s="109" t="s">
        <v>3</v>
      </c>
      <c r="J1006" s="131">
        <v>1</v>
      </c>
      <c r="K1006" s="131">
        <v>1</v>
      </c>
      <c r="L1006" s="131">
        <v>1</v>
      </c>
      <c r="M1006" s="131">
        <v>1</v>
      </c>
      <c r="N1006" s="131">
        <v>1</v>
      </c>
      <c r="O1006" s="131">
        <v>1</v>
      </c>
      <c r="P1006" s="131">
        <v>1</v>
      </c>
      <c r="Q1006" s="131">
        <v>1</v>
      </c>
      <c r="R1006" s="131">
        <v>1</v>
      </c>
      <c r="S1006" s="131">
        <v>1</v>
      </c>
      <c r="T1006" s="131">
        <v>1</v>
      </c>
      <c r="U1006" s="131">
        <v>1</v>
      </c>
      <c r="V1006" s="131">
        <v>1</v>
      </c>
      <c r="W1006" s="131">
        <v>1</v>
      </c>
      <c r="X1006" s="131">
        <v>1</v>
      </c>
      <c r="Y1006" s="131">
        <v>1</v>
      </c>
      <c r="Z1006" s="131">
        <v>1</v>
      </c>
      <c r="AA1006" s="131">
        <v>1</v>
      </c>
      <c r="AB1006" s="131">
        <v>1</v>
      </c>
      <c r="AC1006" s="131">
        <v>1</v>
      </c>
      <c r="AD1006" s="131">
        <v>1</v>
      </c>
      <c r="AE1006" s="131">
        <v>1</v>
      </c>
      <c r="AF1006" s="131">
        <v>1</v>
      </c>
      <c r="AG1006" s="131">
        <v>1</v>
      </c>
      <c r="AH1006" s="131">
        <v>1</v>
      </c>
      <c r="AI1006" s="131">
        <v>1</v>
      </c>
      <c r="AJ1006" s="131">
        <v>1</v>
      </c>
      <c r="AK1006" s="131">
        <v>1</v>
      </c>
      <c r="AL1006" s="131">
        <v>1</v>
      </c>
      <c r="AM1006" s="131">
        <v>1</v>
      </c>
      <c r="AN1006" s="131">
        <v>1</v>
      </c>
      <c r="AO1006" s="131">
        <v>1</v>
      </c>
      <c r="AP1006" s="131">
        <v>1</v>
      </c>
      <c r="AQ1006" s="131">
        <v>1</v>
      </c>
      <c r="AR1006" s="131">
        <v>1</v>
      </c>
      <c r="AS1006" s="131">
        <v>1</v>
      </c>
      <c r="AT1006" s="131">
        <v>1</v>
      </c>
      <c r="AU1006" s="131">
        <v>1</v>
      </c>
      <c r="AV1006" s="131">
        <v>1</v>
      </c>
      <c r="AW1006" s="131">
        <v>1</v>
      </c>
      <c r="AX1006" s="131">
        <v>1</v>
      </c>
      <c r="AY1006" s="131">
        <v>1</v>
      </c>
      <c r="AZ1006" s="131">
        <v>1</v>
      </c>
      <c r="BA1006" s="131">
        <v>1</v>
      </c>
      <c r="BB1006" s="131">
        <v>1</v>
      </c>
      <c r="BC1006" s="131">
        <v>1</v>
      </c>
      <c r="BD1006" s="131">
        <v>1</v>
      </c>
      <c r="BE1006" s="131">
        <v>1</v>
      </c>
      <c r="BF1006" s="131">
        <v>1</v>
      </c>
      <c r="BG1006" s="131">
        <v>1</v>
      </c>
    </row>
    <row r="1007" spans="1:59" ht="15" customHeight="1">
      <c r="A1007" s="141" t="s">
        <v>644</v>
      </c>
      <c r="F1007" s="168" t="s">
        <v>664</v>
      </c>
      <c r="G1007" s="109" t="s">
        <v>3</v>
      </c>
      <c r="J1007" s="131">
        <v>1</v>
      </c>
      <c r="K1007" s="131">
        <v>1</v>
      </c>
      <c r="L1007" s="131">
        <v>1</v>
      </c>
      <c r="M1007" s="131">
        <v>1</v>
      </c>
      <c r="N1007" s="131">
        <v>1</v>
      </c>
      <c r="O1007" s="131">
        <v>1</v>
      </c>
      <c r="P1007" s="131">
        <v>1</v>
      </c>
      <c r="Q1007" s="131">
        <v>1</v>
      </c>
      <c r="R1007" s="131">
        <v>1</v>
      </c>
      <c r="S1007" s="131">
        <v>1</v>
      </c>
      <c r="T1007" s="131">
        <v>1</v>
      </c>
      <c r="U1007" s="131">
        <v>1</v>
      </c>
      <c r="V1007" s="131">
        <v>1</v>
      </c>
      <c r="W1007" s="131">
        <v>1</v>
      </c>
      <c r="X1007" s="131">
        <v>1</v>
      </c>
      <c r="Y1007" s="131">
        <v>1</v>
      </c>
      <c r="Z1007" s="131">
        <v>1</v>
      </c>
      <c r="AA1007" s="131">
        <v>1</v>
      </c>
      <c r="AB1007" s="131">
        <v>1</v>
      </c>
      <c r="AC1007" s="131">
        <v>1</v>
      </c>
      <c r="AD1007" s="131">
        <v>1</v>
      </c>
      <c r="AE1007" s="131">
        <v>1</v>
      </c>
      <c r="AF1007" s="131">
        <v>1</v>
      </c>
      <c r="AG1007" s="131">
        <v>1</v>
      </c>
      <c r="AH1007" s="131">
        <v>1</v>
      </c>
      <c r="AI1007" s="131">
        <v>1</v>
      </c>
      <c r="AJ1007" s="131">
        <v>1</v>
      </c>
      <c r="AK1007" s="131">
        <v>1</v>
      </c>
      <c r="AL1007" s="131">
        <v>1</v>
      </c>
      <c r="AM1007" s="131">
        <v>1</v>
      </c>
      <c r="AN1007" s="131">
        <v>1</v>
      </c>
      <c r="AO1007" s="131">
        <v>1</v>
      </c>
      <c r="AP1007" s="131">
        <v>1</v>
      </c>
      <c r="AQ1007" s="131">
        <v>1</v>
      </c>
      <c r="AR1007" s="131">
        <v>1</v>
      </c>
      <c r="AS1007" s="131">
        <v>1</v>
      </c>
      <c r="AT1007" s="131">
        <v>1</v>
      </c>
      <c r="AU1007" s="131">
        <v>1</v>
      </c>
      <c r="AV1007" s="131">
        <v>1</v>
      </c>
      <c r="AW1007" s="131">
        <v>1</v>
      </c>
      <c r="AX1007" s="131">
        <v>1</v>
      </c>
      <c r="AY1007" s="131">
        <v>1</v>
      </c>
      <c r="AZ1007" s="131">
        <v>1</v>
      </c>
      <c r="BA1007" s="131">
        <v>1</v>
      </c>
      <c r="BB1007" s="131">
        <v>1</v>
      </c>
      <c r="BC1007" s="131">
        <v>1</v>
      </c>
      <c r="BD1007" s="131">
        <v>1</v>
      </c>
      <c r="BE1007" s="131">
        <v>1</v>
      </c>
      <c r="BF1007" s="131">
        <v>1</v>
      </c>
      <c r="BG1007" s="131">
        <v>1</v>
      </c>
    </row>
    <row r="1008" spans="1:59" ht="15" customHeight="1">
      <c r="A1008" s="141" t="s">
        <v>644</v>
      </c>
      <c r="F1008" s="168" t="s">
        <v>665</v>
      </c>
      <c r="G1008" s="109" t="s">
        <v>3</v>
      </c>
      <c r="J1008" s="131">
        <v>1</v>
      </c>
      <c r="K1008" s="131">
        <v>1</v>
      </c>
      <c r="L1008" s="131">
        <v>1</v>
      </c>
      <c r="M1008" s="131">
        <v>1</v>
      </c>
      <c r="N1008" s="131">
        <v>1</v>
      </c>
      <c r="O1008" s="131">
        <v>1</v>
      </c>
      <c r="P1008" s="131">
        <v>1</v>
      </c>
      <c r="Q1008" s="131">
        <v>1</v>
      </c>
      <c r="R1008" s="131">
        <v>1</v>
      </c>
      <c r="S1008" s="131">
        <v>1</v>
      </c>
      <c r="T1008" s="131">
        <v>1</v>
      </c>
      <c r="U1008" s="131">
        <v>1</v>
      </c>
      <c r="V1008" s="131">
        <v>1</v>
      </c>
      <c r="W1008" s="131">
        <v>1</v>
      </c>
      <c r="X1008" s="131">
        <v>1</v>
      </c>
      <c r="Y1008" s="131">
        <v>1</v>
      </c>
      <c r="Z1008" s="131">
        <v>1</v>
      </c>
      <c r="AA1008" s="131">
        <v>1</v>
      </c>
      <c r="AB1008" s="131">
        <v>1</v>
      </c>
      <c r="AC1008" s="131">
        <v>1</v>
      </c>
      <c r="AD1008" s="131">
        <v>1</v>
      </c>
      <c r="AE1008" s="131">
        <v>1</v>
      </c>
      <c r="AF1008" s="131">
        <v>1</v>
      </c>
      <c r="AG1008" s="131">
        <v>1</v>
      </c>
      <c r="AH1008" s="131">
        <v>1</v>
      </c>
      <c r="AI1008" s="131">
        <v>1</v>
      </c>
      <c r="AJ1008" s="131">
        <v>1</v>
      </c>
      <c r="AK1008" s="131">
        <v>1</v>
      </c>
      <c r="AL1008" s="131">
        <v>1</v>
      </c>
      <c r="AM1008" s="131">
        <v>1</v>
      </c>
      <c r="AN1008" s="131">
        <v>1</v>
      </c>
      <c r="AO1008" s="131">
        <v>1</v>
      </c>
      <c r="AP1008" s="131">
        <v>1</v>
      </c>
      <c r="AQ1008" s="131">
        <v>1</v>
      </c>
      <c r="AR1008" s="131">
        <v>1</v>
      </c>
      <c r="AS1008" s="131">
        <v>1</v>
      </c>
      <c r="AT1008" s="131">
        <v>1</v>
      </c>
      <c r="AU1008" s="131">
        <v>1</v>
      </c>
      <c r="AV1008" s="131">
        <v>1</v>
      </c>
      <c r="AW1008" s="131">
        <v>1</v>
      </c>
      <c r="AX1008" s="131">
        <v>1</v>
      </c>
      <c r="AY1008" s="131">
        <v>1</v>
      </c>
      <c r="AZ1008" s="131">
        <v>1</v>
      </c>
      <c r="BA1008" s="131">
        <v>1</v>
      </c>
      <c r="BB1008" s="131">
        <v>1</v>
      </c>
      <c r="BC1008" s="131">
        <v>1</v>
      </c>
      <c r="BD1008" s="131">
        <v>1</v>
      </c>
      <c r="BE1008" s="131">
        <v>1</v>
      </c>
      <c r="BF1008" s="131">
        <v>1</v>
      </c>
      <c r="BG1008" s="131">
        <v>1</v>
      </c>
    </row>
    <row r="1009" spans="1:59" ht="15" customHeight="1">
      <c r="A1009" s="141" t="s">
        <v>644</v>
      </c>
      <c r="F1009" s="168" t="s">
        <v>666</v>
      </c>
      <c r="G1009" s="109" t="s">
        <v>3</v>
      </c>
      <c r="J1009" s="131">
        <v>1</v>
      </c>
      <c r="K1009" s="131">
        <v>1</v>
      </c>
      <c r="L1009" s="131">
        <v>1</v>
      </c>
      <c r="M1009" s="131">
        <v>1</v>
      </c>
      <c r="N1009" s="131">
        <v>1</v>
      </c>
      <c r="O1009" s="131">
        <v>1</v>
      </c>
      <c r="P1009" s="131">
        <v>1</v>
      </c>
      <c r="Q1009" s="131">
        <v>1</v>
      </c>
      <c r="R1009" s="131">
        <v>1</v>
      </c>
      <c r="S1009" s="131">
        <v>1</v>
      </c>
      <c r="T1009" s="131">
        <v>1</v>
      </c>
      <c r="U1009" s="131">
        <v>1</v>
      </c>
      <c r="V1009" s="131">
        <v>1</v>
      </c>
      <c r="W1009" s="131">
        <v>1</v>
      </c>
      <c r="X1009" s="131">
        <v>1</v>
      </c>
      <c r="Y1009" s="131">
        <v>1</v>
      </c>
      <c r="Z1009" s="131">
        <v>1</v>
      </c>
      <c r="AA1009" s="131">
        <v>1</v>
      </c>
      <c r="AB1009" s="131">
        <v>1</v>
      </c>
      <c r="AC1009" s="131">
        <v>1</v>
      </c>
      <c r="AD1009" s="131">
        <v>1</v>
      </c>
      <c r="AE1009" s="131">
        <v>1</v>
      </c>
      <c r="AF1009" s="131">
        <v>1</v>
      </c>
      <c r="AG1009" s="131">
        <v>1</v>
      </c>
      <c r="AH1009" s="131">
        <v>1</v>
      </c>
      <c r="AI1009" s="131">
        <v>1</v>
      </c>
      <c r="AJ1009" s="131">
        <v>1</v>
      </c>
      <c r="AK1009" s="131">
        <v>1</v>
      </c>
      <c r="AL1009" s="131">
        <v>1</v>
      </c>
      <c r="AM1009" s="131">
        <v>1</v>
      </c>
      <c r="AN1009" s="131">
        <v>1</v>
      </c>
      <c r="AO1009" s="131">
        <v>1</v>
      </c>
      <c r="AP1009" s="131">
        <v>1</v>
      </c>
      <c r="AQ1009" s="131">
        <v>1</v>
      </c>
      <c r="AR1009" s="131">
        <v>1</v>
      </c>
      <c r="AS1009" s="131">
        <v>1</v>
      </c>
      <c r="AT1009" s="131">
        <v>1</v>
      </c>
      <c r="AU1009" s="131">
        <v>1</v>
      </c>
      <c r="AV1009" s="131">
        <v>1</v>
      </c>
      <c r="AW1009" s="131">
        <v>1</v>
      </c>
      <c r="AX1009" s="131">
        <v>1</v>
      </c>
      <c r="AY1009" s="131">
        <v>1</v>
      </c>
      <c r="AZ1009" s="131">
        <v>1</v>
      </c>
      <c r="BA1009" s="131">
        <v>1</v>
      </c>
      <c r="BB1009" s="131">
        <v>1</v>
      </c>
      <c r="BC1009" s="131">
        <v>1</v>
      </c>
      <c r="BD1009" s="131">
        <v>1</v>
      </c>
      <c r="BE1009" s="131">
        <v>1</v>
      </c>
      <c r="BF1009" s="131">
        <v>1</v>
      </c>
      <c r="BG1009" s="131">
        <v>1</v>
      </c>
    </row>
    <row r="1010" spans="1:59" ht="15" customHeight="1">
      <c r="A1010" s="141" t="s">
        <v>644</v>
      </c>
      <c r="F1010" s="168" t="s">
        <v>667</v>
      </c>
      <c r="G1010" s="109" t="s">
        <v>3</v>
      </c>
      <c r="J1010" s="131">
        <v>1</v>
      </c>
      <c r="K1010" s="131">
        <v>1</v>
      </c>
      <c r="L1010" s="131">
        <v>1</v>
      </c>
      <c r="M1010" s="131">
        <v>1</v>
      </c>
      <c r="N1010" s="131">
        <v>1</v>
      </c>
      <c r="O1010" s="131">
        <v>1</v>
      </c>
      <c r="P1010" s="131">
        <v>1</v>
      </c>
      <c r="Q1010" s="131">
        <v>1</v>
      </c>
      <c r="R1010" s="131">
        <v>1</v>
      </c>
      <c r="S1010" s="131">
        <v>1</v>
      </c>
      <c r="T1010" s="131">
        <v>1</v>
      </c>
      <c r="U1010" s="131">
        <v>1</v>
      </c>
      <c r="V1010" s="131">
        <v>1</v>
      </c>
      <c r="W1010" s="131">
        <v>1</v>
      </c>
      <c r="X1010" s="131">
        <v>1</v>
      </c>
      <c r="Y1010" s="131">
        <v>1</v>
      </c>
      <c r="Z1010" s="131">
        <v>1</v>
      </c>
      <c r="AA1010" s="131">
        <v>1</v>
      </c>
      <c r="AB1010" s="131">
        <v>1</v>
      </c>
      <c r="AC1010" s="131">
        <v>1</v>
      </c>
      <c r="AD1010" s="131">
        <v>1</v>
      </c>
      <c r="AE1010" s="131">
        <v>1</v>
      </c>
      <c r="AF1010" s="131">
        <v>1</v>
      </c>
      <c r="AG1010" s="131">
        <v>1</v>
      </c>
      <c r="AH1010" s="131">
        <v>1</v>
      </c>
      <c r="AI1010" s="131">
        <v>1</v>
      </c>
      <c r="AJ1010" s="131">
        <v>1</v>
      </c>
      <c r="AK1010" s="131">
        <v>1</v>
      </c>
      <c r="AL1010" s="131">
        <v>1</v>
      </c>
      <c r="AM1010" s="131">
        <v>1</v>
      </c>
      <c r="AN1010" s="131">
        <v>1</v>
      </c>
      <c r="AO1010" s="131">
        <v>1</v>
      </c>
      <c r="AP1010" s="131">
        <v>1</v>
      </c>
      <c r="AQ1010" s="131">
        <v>1</v>
      </c>
      <c r="AR1010" s="131">
        <v>1</v>
      </c>
      <c r="AS1010" s="131">
        <v>1</v>
      </c>
      <c r="AT1010" s="131">
        <v>1</v>
      </c>
      <c r="AU1010" s="131">
        <v>1</v>
      </c>
      <c r="AV1010" s="131">
        <v>1</v>
      </c>
      <c r="AW1010" s="131">
        <v>1</v>
      </c>
      <c r="AX1010" s="131">
        <v>1</v>
      </c>
      <c r="AY1010" s="131">
        <v>1</v>
      </c>
      <c r="AZ1010" s="131">
        <v>1</v>
      </c>
      <c r="BA1010" s="131">
        <v>1</v>
      </c>
      <c r="BB1010" s="131">
        <v>1</v>
      </c>
      <c r="BC1010" s="131">
        <v>1</v>
      </c>
      <c r="BD1010" s="131">
        <v>1</v>
      </c>
      <c r="BE1010" s="131">
        <v>1</v>
      </c>
      <c r="BF1010" s="131">
        <v>1</v>
      </c>
      <c r="BG1010" s="131">
        <v>1</v>
      </c>
    </row>
    <row r="1011" spans="1:59" ht="15" customHeight="1">
      <c r="A1011" s="141" t="s">
        <v>644</v>
      </c>
      <c r="F1011" s="168" t="s">
        <v>668</v>
      </c>
      <c r="G1011" s="109" t="s">
        <v>3</v>
      </c>
      <c r="J1011" s="131">
        <v>1</v>
      </c>
      <c r="K1011" s="131">
        <v>1</v>
      </c>
      <c r="L1011" s="131">
        <v>1</v>
      </c>
      <c r="M1011" s="131">
        <v>1</v>
      </c>
      <c r="N1011" s="131">
        <v>1</v>
      </c>
      <c r="O1011" s="131">
        <v>1</v>
      </c>
      <c r="P1011" s="131">
        <v>1</v>
      </c>
      <c r="Q1011" s="131">
        <v>1</v>
      </c>
      <c r="R1011" s="131">
        <v>1</v>
      </c>
      <c r="S1011" s="131">
        <v>1</v>
      </c>
      <c r="T1011" s="131">
        <v>1</v>
      </c>
      <c r="U1011" s="131">
        <v>1</v>
      </c>
      <c r="V1011" s="131">
        <v>1</v>
      </c>
      <c r="W1011" s="131">
        <v>1</v>
      </c>
      <c r="X1011" s="131">
        <v>1</v>
      </c>
      <c r="Y1011" s="131">
        <v>1</v>
      </c>
      <c r="Z1011" s="131">
        <v>1</v>
      </c>
      <c r="AA1011" s="131">
        <v>1</v>
      </c>
      <c r="AB1011" s="131">
        <v>1</v>
      </c>
      <c r="AC1011" s="131">
        <v>1</v>
      </c>
      <c r="AD1011" s="131">
        <v>1</v>
      </c>
      <c r="AE1011" s="131">
        <v>1</v>
      </c>
      <c r="AF1011" s="131">
        <v>1</v>
      </c>
      <c r="AG1011" s="131">
        <v>1</v>
      </c>
      <c r="AH1011" s="131">
        <v>1</v>
      </c>
      <c r="AI1011" s="131">
        <v>1</v>
      </c>
      <c r="AJ1011" s="131">
        <v>1</v>
      </c>
      <c r="AK1011" s="131">
        <v>1</v>
      </c>
      <c r="AL1011" s="131">
        <v>1</v>
      </c>
      <c r="AM1011" s="131">
        <v>1</v>
      </c>
      <c r="AN1011" s="131">
        <v>1</v>
      </c>
      <c r="AO1011" s="131">
        <v>1</v>
      </c>
      <c r="AP1011" s="131">
        <v>1</v>
      </c>
      <c r="AQ1011" s="131">
        <v>1</v>
      </c>
      <c r="AR1011" s="131">
        <v>1</v>
      </c>
      <c r="AS1011" s="131">
        <v>1</v>
      </c>
      <c r="AT1011" s="131">
        <v>1</v>
      </c>
      <c r="AU1011" s="131">
        <v>1</v>
      </c>
      <c r="AV1011" s="131">
        <v>1</v>
      </c>
      <c r="AW1011" s="131">
        <v>1</v>
      </c>
      <c r="AX1011" s="131">
        <v>1</v>
      </c>
      <c r="AY1011" s="131">
        <v>1</v>
      </c>
      <c r="AZ1011" s="131">
        <v>1</v>
      </c>
      <c r="BA1011" s="131">
        <v>1</v>
      </c>
      <c r="BB1011" s="131">
        <v>1</v>
      </c>
      <c r="BC1011" s="131">
        <v>1</v>
      </c>
      <c r="BD1011" s="131">
        <v>1</v>
      </c>
      <c r="BE1011" s="131">
        <v>1</v>
      </c>
      <c r="BF1011" s="131">
        <v>1</v>
      </c>
      <c r="BG1011" s="131">
        <v>1</v>
      </c>
    </row>
    <row r="1012" spans="1:59" ht="15" customHeight="1">
      <c r="A1012" s="141" t="s">
        <v>644</v>
      </c>
      <c r="F1012" s="168" t="s">
        <v>669</v>
      </c>
      <c r="G1012" s="109" t="s">
        <v>3</v>
      </c>
      <c r="J1012" s="131">
        <v>1</v>
      </c>
      <c r="K1012" s="131">
        <v>1</v>
      </c>
      <c r="L1012" s="131">
        <v>1</v>
      </c>
      <c r="M1012" s="131">
        <v>1</v>
      </c>
      <c r="N1012" s="131">
        <v>1</v>
      </c>
      <c r="O1012" s="131">
        <v>1</v>
      </c>
      <c r="P1012" s="131">
        <v>1</v>
      </c>
      <c r="Q1012" s="131">
        <v>1</v>
      </c>
      <c r="R1012" s="131">
        <v>1</v>
      </c>
      <c r="S1012" s="131">
        <v>1</v>
      </c>
      <c r="T1012" s="131">
        <v>1</v>
      </c>
      <c r="U1012" s="131">
        <v>1</v>
      </c>
      <c r="V1012" s="131">
        <v>1</v>
      </c>
      <c r="W1012" s="131">
        <v>1</v>
      </c>
      <c r="X1012" s="131">
        <v>1</v>
      </c>
      <c r="Y1012" s="131">
        <v>1</v>
      </c>
      <c r="Z1012" s="131">
        <v>1</v>
      </c>
      <c r="AA1012" s="131">
        <v>1</v>
      </c>
      <c r="AB1012" s="131">
        <v>1</v>
      </c>
      <c r="AC1012" s="131">
        <v>1</v>
      </c>
      <c r="AD1012" s="131">
        <v>1</v>
      </c>
      <c r="AE1012" s="131">
        <v>1</v>
      </c>
      <c r="AF1012" s="131">
        <v>1</v>
      </c>
      <c r="AG1012" s="131">
        <v>1</v>
      </c>
      <c r="AH1012" s="131">
        <v>1</v>
      </c>
      <c r="AI1012" s="131">
        <v>1</v>
      </c>
      <c r="AJ1012" s="131">
        <v>1</v>
      </c>
      <c r="AK1012" s="131">
        <v>1</v>
      </c>
      <c r="AL1012" s="131">
        <v>1</v>
      </c>
      <c r="AM1012" s="131">
        <v>1</v>
      </c>
      <c r="AN1012" s="131">
        <v>1</v>
      </c>
      <c r="AO1012" s="131">
        <v>1</v>
      </c>
      <c r="AP1012" s="131">
        <v>1</v>
      </c>
      <c r="AQ1012" s="131">
        <v>1</v>
      </c>
      <c r="AR1012" s="131">
        <v>1</v>
      </c>
      <c r="AS1012" s="131">
        <v>1</v>
      </c>
      <c r="AT1012" s="131">
        <v>1</v>
      </c>
      <c r="AU1012" s="131">
        <v>1</v>
      </c>
      <c r="AV1012" s="131">
        <v>1</v>
      </c>
      <c r="AW1012" s="131">
        <v>1</v>
      </c>
      <c r="AX1012" s="131">
        <v>1</v>
      </c>
      <c r="AY1012" s="131">
        <v>1</v>
      </c>
      <c r="AZ1012" s="131">
        <v>1</v>
      </c>
      <c r="BA1012" s="131">
        <v>1</v>
      </c>
      <c r="BB1012" s="131">
        <v>1</v>
      </c>
      <c r="BC1012" s="131">
        <v>1</v>
      </c>
      <c r="BD1012" s="131">
        <v>1</v>
      </c>
      <c r="BE1012" s="131">
        <v>1</v>
      </c>
      <c r="BF1012" s="131">
        <v>1</v>
      </c>
      <c r="BG1012" s="131">
        <v>1</v>
      </c>
    </row>
    <row r="1013" spans="1:59" ht="15" customHeight="1">
      <c r="A1013" s="141" t="s">
        <v>644</v>
      </c>
      <c r="F1013" s="168" t="s">
        <v>670</v>
      </c>
      <c r="G1013" s="109" t="s">
        <v>3</v>
      </c>
      <c r="J1013" s="131">
        <v>1</v>
      </c>
      <c r="K1013" s="131">
        <v>1</v>
      </c>
      <c r="L1013" s="131">
        <v>1</v>
      </c>
      <c r="M1013" s="131">
        <v>1</v>
      </c>
      <c r="N1013" s="131">
        <v>1</v>
      </c>
      <c r="O1013" s="131">
        <v>1</v>
      </c>
      <c r="P1013" s="131">
        <v>1</v>
      </c>
      <c r="Q1013" s="131">
        <v>1</v>
      </c>
      <c r="R1013" s="131">
        <v>1</v>
      </c>
      <c r="S1013" s="131">
        <v>1</v>
      </c>
      <c r="T1013" s="131">
        <v>1</v>
      </c>
      <c r="U1013" s="131">
        <v>1</v>
      </c>
      <c r="V1013" s="131">
        <v>1</v>
      </c>
      <c r="W1013" s="131">
        <v>1</v>
      </c>
      <c r="X1013" s="131">
        <v>1</v>
      </c>
      <c r="Y1013" s="131">
        <v>1</v>
      </c>
      <c r="Z1013" s="131">
        <v>1</v>
      </c>
      <c r="AA1013" s="131">
        <v>1</v>
      </c>
      <c r="AB1013" s="131">
        <v>1</v>
      </c>
      <c r="AC1013" s="131">
        <v>1</v>
      </c>
      <c r="AD1013" s="131">
        <v>1</v>
      </c>
      <c r="AE1013" s="131">
        <v>1</v>
      </c>
      <c r="AF1013" s="131">
        <v>1</v>
      </c>
      <c r="AG1013" s="131">
        <v>1</v>
      </c>
      <c r="AH1013" s="131">
        <v>1</v>
      </c>
      <c r="AI1013" s="131">
        <v>1</v>
      </c>
      <c r="AJ1013" s="131">
        <v>1</v>
      </c>
      <c r="AK1013" s="131">
        <v>1</v>
      </c>
      <c r="AL1013" s="131">
        <v>1</v>
      </c>
      <c r="AM1013" s="131">
        <v>1</v>
      </c>
      <c r="AN1013" s="131">
        <v>1</v>
      </c>
      <c r="AO1013" s="131">
        <v>1</v>
      </c>
      <c r="AP1013" s="131">
        <v>1</v>
      </c>
      <c r="AQ1013" s="131">
        <v>1</v>
      </c>
      <c r="AR1013" s="131">
        <v>1</v>
      </c>
      <c r="AS1013" s="131">
        <v>1</v>
      </c>
      <c r="AT1013" s="131">
        <v>1</v>
      </c>
      <c r="AU1013" s="131">
        <v>1</v>
      </c>
      <c r="AV1013" s="131">
        <v>1</v>
      </c>
      <c r="AW1013" s="131">
        <v>1</v>
      </c>
      <c r="AX1013" s="131">
        <v>1</v>
      </c>
      <c r="AY1013" s="131">
        <v>1</v>
      </c>
      <c r="AZ1013" s="131">
        <v>1</v>
      </c>
      <c r="BA1013" s="131">
        <v>1</v>
      </c>
      <c r="BB1013" s="131">
        <v>1</v>
      </c>
      <c r="BC1013" s="131">
        <v>1</v>
      </c>
      <c r="BD1013" s="131">
        <v>1</v>
      </c>
      <c r="BE1013" s="131">
        <v>1</v>
      </c>
      <c r="BF1013" s="131">
        <v>1</v>
      </c>
      <c r="BG1013" s="131">
        <v>1</v>
      </c>
    </row>
    <row r="1014" spans="1:59" ht="15" customHeight="1">
      <c r="A1014" s="141" t="s">
        <v>644</v>
      </c>
      <c r="F1014" s="168" t="s">
        <v>671</v>
      </c>
      <c r="G1014" s="109" t="s">
        <v>3</v>
      </c>
      <c r="J1014" s="131">
        <v>1</v>
      </c>
      <c r="K1014" s="131">
        <v>1</v>
      </c>
      <c r="L1014" s="131">
        <v>1</v>
      </c>
      <c r="M1014" s="131">
        <v>1</v>
      </c>
      <c r="N1014" s="131">
        <v>1</v>
      </c>
      <c r="O1014" s="131">
        <v>1</v>
      </c>
      <c r="P1014" s="131">
        <v>1</v>
      </c>
      <c r="Q1014" s="131">
        <v>1</v>
      </c>
      <c r="R1014" s="131">
        <v>1</v>
      </c>
      <c r="S1014" s="131">
        <v>1</v>
      </c>
      <c r="T1014" s="131">
        <v>1</v>
      </c>
      <c r="U1014" s="131">
        <v>1</v>
      </c>
      <c r="V1014" s="131">
        <v>1</v>
      </c>
      <c r="W1014" s="131">
        <v>1</v>
      </c>
      <c r="X1014" s="131">
        <v>1</v>
      </c>
      <c r="Y1014" s="131">
        <v>1</v>
      </c>
      <c r="Z1014" s="131">
        <v>1</v>
      </c>
      <c r="AA1014" s="131">
        <v>1</v>
      </c>
      <c r="AB1014" s="131">
        <v>1</v>
      </c>
      <c r="AC1014" s="131">
        <v>1</v>
      </c>
      <c r="AD1014" s="131">
        <v>1</v>
      </c>
      <c r="AE1014" s="131">
        <v>1</v>
      </c>
      <c r="AF1014" s="131">
        <v>1</v>
      </c>
      <c r="AG1014" s="131">
        <v>1</v>
      </c>
      <c r="AH1014" s="131">
        <v>1</v>
      </c>
      <c r="AI1014" s="131">
        <v>1</v>
      </c>
      <c r="AJ1014" s="131">
        <v>1</v>
      </c>
      <c r="AK1014" s="131">
        <v>1</v>
      </c>
      <c r="AL1014" s="131">
        <v>1</v>
      </c>
      <c r="AM1014" s="131">
        <v>1</v>
      </c>
      <c r="AN1014" s="131">
        <v>1</v>
      </c>
      <c r="AO1014" s="131">
        <v>1</v>
      </c>
      <c r="AP1014" s="131">
        <v>1</v>
      </c>
      <c r="AQ1014" s="131">
        <v>1</v>
      </c>
      <c r="AR1014" s="131">
        <v>1</v>
      </c>
      <c r="AS1014" s="131">
        <v>1</v>
      </c>
      <c r="AT1014" s="131">
        <v>1</v>
      </c>
      <c r="AU1014" s="131">
        <v>1</v>
      </c>
      <c r="AV1014" s="131">
        <v>1</v>
      </c>
      <c r="AW1014" s="131">
        <v>1</v>
      </c>
      <c r="AX1014" s="131">
        <v>1</v>
      </c>
      <c r="AY1014" s="131">
        <v>1</v>
      </c>
      <c r="AZ1014" s="131">
        <v>1</v>
      </c>
      <c r="BA1014" s="131">
        <v>1</v>
      </c>
      <c r="BB1014" s="131">
        <v>1</v>
      </c>
      <c r="BC1014" s="131">
        <v>1</v>
      </c>
      <c r="BD1014" s="131">
        <v>1</v>
      </c>
      <c r="BE1014" s="131">
        <v>1</v>
      </c>
      <c r="BF1014" s="131">
        <v>1</v>
      </c>
      <c r="BG1014" s="131">
        <v>1</v>
      </c>
    </row>
    <row r="1015" spans="1:59" ht="15" customHeight="1">
      <c r="A1015" s="141" t="s">
        <v>644</v>
      </c>
      <c r="F1015" s="168" t="s">
        <v>672</v>
      </c>
      <c r="G1015" s="109" t="s">
        <v>3</v>
      </c>
      <c r="J1015" s="131">
        <v>1</v>
      </c>
      <c r="K1015" s="131">
        <v>1</v>
      </c>
      <c r="L1015" s="131">
        <v>1</v>
      </c>
      <c r="M1015" s="131">
        <v>1</v>
      </c>
      <c r="N1015" s="131">
        <v>1</v>
      </c>
      <c r="O1015" s="131">
        <v>1</v>
      </c>
      <c r="P1015" s="131">
        <v>1</v>
      </c>
      <c r="Q1015" s="131">
        <v>1</v>
      </c>
      <c r="R1015" s="131">
        <v>1</v>
      </c>
      <c r="S1015" s="131">
        <v>1</v>
      </c>
      <c r="T1015" s="131">
        <v>1</v>
      </c>
      <c r="U1015" s="131">
        <v>1</v>
      </c>
      <c r="V1015" s="131">
        <v>1</v>
      </c>
      <c r="W1015" s="131">
        <v>1</v>
      </c>
      <c r="X1015" s="131">
        <v>1</v>
      </c>
      <c r="Y1015" s="131">
        <v>1</v>
      </c>
      <c r="Z1015" s="131">
        <v>1</v>
      </c>
      <c r="AA1015" s="131">
        <v>1</v>
      </c>
      <c r="AB1015" s="131">
        <v>1</v>
      </c>
      <c r="AC1015" s="131">
        <v>1</v>
      </c>
      <c r="AD1015" s="131">
        <v>1</v>
      </c>
      <c r="AE1015" s="131">
        <v>1</v>
      </c>
      <c r="AF1015" s="131">
        <v>1</v>
      </c>
      <c r="AG1015" s="131">
        <v>1</v>
      </c>
      <c r="AH1015" s="131">
        <v>1</v>
      </c>
      <c r="AI1015" s="131">
        <v>1</v>
      </c>
      <c r="AJ1015" s="131">
        <v>1</v>
      </c>
      <c r="AK1015" s="131">
        <v>1</v>
      </c>
      <c r="AL1015" s="131">
        <v>1</v>
      </c>
      <c r="AM1015" s="131">
        <v>1</v>
      </c>
      <c r="AN1015" s="131">
        <v>1</v>
      </c>
      <c r="AO1015" s="131">
        <v>1</v>
      </c>
      <c r="AP1015" s="131">
        <v>1</v>
      </c>
      <c r="AQ1015" s="131">
        <v>1</v>
      </c>
      <c r="AR1015" s="131">
        <v>1</v>
      </c>
      <c r="AS1015" s="131">
        <v>1</v>
      </c>
      <c r="AT1015" s="131">
        <v>1</v>
      </c>
      <c r="AU1015" s="131">
        <v>1</v>
      </c>
      <c r="AV1015" s="131">
        <v>1</v>
      </c>
      <c r="AW1015" s="131">
        <v>1</v>
      </c>
      <c r="AX1015" s="131">
        <v>1</v>
      </c>
      <c r="AY1015" s="131">
        <v>1</v>
      </c>
      <c r="AZ1015" s="131">
        <v>1</v>
      </c>
      <c r="BA1015" s="131">
        <v>1</v>
      </c>
      <c r="BB1015" s="131">
        <v>1</v>
      </c>
      <c r="BC1015" s="131">
        <v>1</v>
      </c>
      <c r="BD1015" s="131">
        <v>1</v>
      </c>
      <c r="BE1015" s="131">
        <v>1</v>
      </c>
      <c r="BF1015" s="131">
        <v>1</v>
      </c>
      <c r="BG1015" s="131">
        <v>1</v>
      </c>
    </row>
    <row r="1016" spans="1:59" ht="15" customHeight="1">
      <c r="A1016" s="141" t="s">
        <v>644</v>
      </c>
      <c r="F1016" s="168" t="s">
        <v>673</v>
      </c>
      <c r="G1016" s="109" t="s">
        <v>3</v>
      </c>
      <c r="J1016" s="131">
        <v>1</v>
      </c>
      <c r="K1016" s="131">
        <v>1</v>
      </c>
      <c r="L1016" s="131">
        <v>1</v>
      </c>
      <c r="M1016" s="131">
        <v>1</v>
      </c>
      <c r="N1016" s="131">
        <v>1</v>
      </c>
      <c r="O1016" s="131">
        <v>1</v>
      </c>
      <c r="P1016" s="131">
        <v>1</v>
      </c>
      <c r="Q1016" s="131">
        <v>1</v>
      </c>
      <c r="R1016" s="131">
        <v>1</v>
      </c>
      <c r="S1016" s="131">
        <v>1</v>
      </c>
      <c r="T1016" s="131">
        <v>1</v>
      </c>
      <c r="U1016" s="131">
        <v>1</v>
      </c>
      <c r="V1016" s="131">
        <v>1</v>
      </c>
      <c r="W1016" s="131">
        <v>1</v>
      </c>
      <c r="X1016" s="131">
        <v>1</v>
      </c>
      <c r="Y1016" s="131">
        <v>1</v>
      </c>
      <c r="Z1016" s="131">
        <v>1</v>
      </c>
      <c r="AA1016" s="131">
        <v>1</v>
      </c>
      <c r="AB1016" s="131">
        <v>1</v>
      </c>
      <c r="AC1016" s="131">
        <v>1</v>
      </c>
      <c r="AD1016" s="131">
        <v>1</v>
      </c>
      <c r="AE1016" s="131">
        <v>1</v>
      </c>
      <c r="AF1016" s="131">
        <v>1</v>
      </c>
      <c r="AG1016" s="131">
        <v>1</v>
      </c>
      <c r="AH1016" s="131">
        <v>1</v>
      </c>
      <c r="AI1016" s="131">
        <v>1</v>
      </c>
      <c r="AJ1016" s="131">
        <v>1</v>
      </c>
      <c r="AK1016" s="131">
        <v>1</v>
      </c>
      <c r="AL1016" s="131">
        <v>1</v>
      </c>
      <c r="AM1016" s="131">
        <v>1</v>
      </c>
      <c r="AN1016" s="131">
        <v>1</v>
      </c>
      <c r="AO1016" s="131">
        <v>1</v>
      </c>
      <c r="AP1016" s="131">
        <v>1</v>
      </c>
      <c r="AQ1016" s="131">
        <v>1</v>
      </c>
      <c r="AR1016" s="131">
        <v>1</v>
      </c>
      <c r="AS1016" s="131">
        <v>1</v>
      </c>
      <c r="AT1016" s="131">
        <v>1</v>
      </c>
      <c r="AU1016" s="131">
        <v>1</v>
      </c>
      <c r="AV1016" s="131">
        <v>1</v>
      </c>
      <c r="AW1016" s="131">
        <v>1</v>
      </c>
      <c r="AX1016" s="131">
        <v>1</v>
      </c>
      <c r="AY1016" s="131">
        <v>1</v>
      </c>
      <c r="AZ1016" s="131">
        <v>1</v>
      </c>
      <c r="BA1016" s="131">
        <v>1</v>
      </c>
      <c r="BB1016" s="131">
        <v>1</v>
      </c>
      <c r="BC1016" s="131">
        <v>1</v>
      </c>
      <c r="BD1016" s="131">
        <v>1</v>
      </c>
      <c r="BE1016" s="131">
        <v>1</v>
      </c>
      <c r="BF1016" s="131">
        <v>1</v>
      </c>
      <c r="BG1016" s="131">
        <v>1</v>
      </c>
    </row>
    <row r="1017" spans="1:59" ht="15" customHeight="1">
      <c r="A1017" s="141" t="s">
        <v>644</v>
      </c>
      <c r="F1017" s="168" t="s">
        <v>674</v>
      </c>
      <c r="G1017" s="109" t="s">
        <v>3</v>
      </c>
      <c r="J1017" s="131">
        <v>1</v>
      </c>
      <c r="K1017" s="131">
        <v>1</v>
      </c>
      <c r="L1017" s="131">
        <v>1</v>
      </c>
      <c r="M1017" s="131">
        <v>1</v>
      </c>
      <c r="N1017" s="131">
        <v>1</v>
      </c>
      <c r="O1017" s="131">
        <v>1</v>
      </c>
      <c r="P1017" s="131">
        <v>1</v>
      </c>
      <c r="Q1017" s="131">
        <v>1</v>
      </c>
      <c r="R1017" s="131">
        <v>1</v>
      </c>
      <c r="S1017" s="131">
        <v>1</v>
      </c>
      <c r="T1017" s="131">
        <v>1</v>
      </c>
      <c r="U1017" s="131">
        <v>1</v>
      </c>
      <c r="V1017" s="131">
        <v>1</v>
      </c>
      <c r="W1017" s="131">
        <v>1</v>
      </c>
      <c r="X1017" s="131">
        <v>1</v>
      </c>
      <c r="Y1017" s="131">
        <v>1</v>
      </c>
      <c r="Z1017" s="131">
        <v>1</v>
      </c>
      <c r="AA1017" s="131">
        <v>1</v>
      </c>
      <c r="AB1017" s="131">
        <v>1</v>
      </c>
      <c r="AC1017" s="131">
        <v>1</v>
      </c>
      <c r="AD1017" s="131">
        <v>1</v>
      </c>
      <c r="AE1017" s="131">
        <v>1</v>
      </c>
      <c r="AF1017" s="131">
        <v>1</v>
      </c>
      <c r="AG1017" s="131">
        <v>1</v>
      </c>
      <c r="AH1017" s="131">
        <v>1</v>
      </c>
      <c r="AI1017" s="131">
        <v>1</v>
      </c>
      <c r="AJ1017" s="131">
        <v>1</v>
      </c>
      <c r="AK1017" s="131">
        <v>1</v>
      </c>
      <c r="AL1017" s="131">
        <v>1</v>
      </c>
      <c r="AM1017" s="131">
        <v>1</v>
      </c>
      <c r="AN1017" s="131">
        <v>1</v>
      </c>
      <c r="AO1017" s="131">
        <v>1</v>
      </c>
      <c r="AP1017" s="131">
        <v>1</v>
      </c>
      <c r="AQ1017" s="131">
        <v>1</v>
      </c>
      <c r="AR1017" s="131">
        <v>1</v>
      </c>
      <c r="AS1017" s="131">
        <v>1</v>
      </c>
      <c r="AT1017" s="131">
        <v>1</v>
      </c>
      <c r="AU1017" s="131">
        <v>1</v>
      </c>
      <c r="AV1017" s="131">
        <v>1</v>
      </c>
      <c r="AW1017" s="131">
        <v>1</v>
      </c>
      <c r="AX1017" s="131">
        <v>1</v>
      </c>
      <c r="AY1017" s="131">
        <v>1</v>
      </c>
      <c r="AZ1017" s="131">
        <v>1</v>
      </c>
      <c r="BA1017" s="131">
        <v>1</v>
      </c>
      <c r="BB1017" s="131">
        <v>1</v>
      </c>
      <c r="BC1017" s="131">
        <v>1</v>
      </c>
      <c r="BD1017" s="131">
        <v>1</v>
      </c>
      <c r="BE1017" s="131">
        <v>1</v>
      </c>
      <c r="BF1017" s="131">
        <v>1</v>
      </c>
      <c r="BG1017" s="131">
        <v>1</v>
      </c>
    </row>
    <row r="1018" spans="1:59" ht="15" customHeight="1">
      <c r="A1018" s="141" t="s">
        <v>644</v>
      </c>
      <c r="F1018" s="168" t="s">
        <v>675</v>
      </c>
      <c r="G1018" s="109" t="s">
        <v>3</v>
      </c>
      <c r="J1018" s="131">
        <v>1</v>
      </c>
      <c r="K1018" s="131">
        <v>1</v>
      </c>
      <c r="L1018" s="131">
        <v>1</v>
      </c>
      <c r="M1018" s="131">
        <v>1</v>
      </c>
      <c r="N1018" s="131">
        <v>1</v>
      </c>
      <c r="O1018" s="131">
        <v>1</v>
      </c>
      <c r="P1018" s="131">
        <v>1</v>
      </c>
      <c r="Q1018" s="131">
        <v>1</v>
      </c>
      <c r="R1018" s="131">
        <v>1</v>
      </c>
      <c r="S1018" s="131">
        <v>1</v>
      </c>
      <c r="T1018" s="131">
        <v>1</v>
      </c>
      <c r="U1018" s="131">
        <v>1</v>
      </c>
      <c r="V1018" s="131">
        <v>1</v>
      </c>
      <c r="W1018" s="131">
        <v>1</v>
      </c>
      <c r="X1018" s="131">
        <v>1</v>
      </c>
      <c r="Y1018" s="131">
        <v>1</v>
      </c>
      <c r="Z1018" s="131">
        <v>1</v>
      </c>
      <c r="AA1018" s="131">
        <v>1</v>
      </c>
      <c r="AB1018" s="131">
        <v>1</v>
      </c>
      <c r="AC1018" s="131">
        <v>1</v>
      </c>
      <c r="AD1018" s="131">
        <v>1</v>
      </c>
      <c r="AE1018" s="131">
        <v>1</v>
      </c>
      <c r="AF1018" s="131">
        <v>1</v>
      </c>
      <c r="AG1018" s="131">
        <v>1</v>
      </c>
      <c r="AH1018" s="131">
        <v>1</v>
      </c>
      <c r="AI1018" s="131">
        <v>1</v>
      </c>
      <c r="AJ1018" s="131">
        <v>1</v>
      </c>
      <c r="AK1018" s="131">
        <v>1</v>
      </c>
      <c r="AL1018" s="131">
        <v>1</v>
      </c>
      <c r="AM1018" s="131">
        <v>1</v>
      </c>
      <c r="AN1018" s="131">
        <v>1</v>
      </c>
      <c r="AO1018" s="131">
        <v>1</v>
      </c>
      <c r="AP1018" s="131">
        <v>1</v>
      </c>
      <c r="AQ1018" s="131">
        <v>1</v>
      </c>
      <c r="AR1018" s="131">
        <v>1</v>
      </c>
      <c r="AS1018" s="131">
        <v>1</v>
      </c>
      <c r="AT1018" s="131">
        <v>1</v>
      </c>
      <c r="AU1018" s="131">
        <v>1</v>
      </c>
      <c r="AV1018" s="131">
        <v>1</v>
      </c>
      <c r="AW1018" s="131">
        <v>1</v>
      </c>
      <c r="AX1018" s="131">
        <v>1</v>
      </c>
      <c r="AY1018" s="131">
        <v>1</v>
      </c>
      <c r="AZ1018" s="131">
        <v>1</v>
      </c>
      <c r="BA1018" s="131">
        <v>1</v>
      </c>
      <c r="BB1018" s="131">
        <v>1</v>
      </c>
      <c r="BC1018" s="131">
        <v>1</v>
      </c>
      <c r="BD1018" s="131">
        <v>1</v>
      </c>
      <c r="BE1018" s="131">
        <v>1</v>
      </c>
      <c r="BF1018" s="131">
        <v>1</v>
      </c>
      <c r="BG1018" s="131">
        <v>1</v>
      </c>
    </row>
    <row r="1019" spans="1:59" ht="15" customHeight="1">
      <c r="A1019" s="141" t="s">
        <v>644</v>
      </c>
      <c r="F1019" s="168" t="s">
        <v>676</v>
      </c>
      <c r="G1019" s="109" t="s">
        <v>3</v>
      </c>
      <c r="J1019" s="131">
        <v>1</v>
      </c>
      <c r="K1019" s="131">
        <v>1</v>
      </c>
      <c r="L1019" s="131">
        <v>1</v>
      </c>
      <c r="M1019" s="131">
        <v>1</v>
      </c>
      <c r="N1019" s="131">
        <v>1</v>
      </c>
      <c r="O1019" s="131">
        <v>1</v>
      </c>
      <c r="P1019" s="131">
        <v>1</v>
      </c>
      <c r="Q1019" s="131">
        <v>1</v>
      </c>
      <c r="R1019" s="131">
        <v>1</v>
      </c>
      <c r="S1019" s="131">
        <v>1</v>
      </c>
      <c r="T1019" s="131">
        <v>1</v>
      </c>
      <c r="U1019" s="131">
        <v>1</v>
      </c>
      <c r="V1019" s="131">
        <v>1</v>
      </c>
      <c r="W1019" s="131">
        <v>1</v>
      </c>
      <c r="X1019" s="131">
        <v>1</v>
      </c>
      <c r="Y1019" s="131">
        <v>1</v>
      </c>
      <c r="Z1019" s="131">
        <v>1</v>
      </c>
      <c r="AA1019" s="131">
        <v>1</v>
      </c>
      <c r="AB1019" s="131">
        <v>1</v>
      </c>
      <c r="AC1019" s="131">
        <v>1</v>
      </c>
      <c r="AD1019" s="131">
        <v>1</v>
      </c>
      <c r="AE1019" s="131">
        <v>1</v>
      </c>
      <c r="AF1019" s="131">
        <v>1</v>
      </c>
      <c r="AG1019" s="131">
        <v>1</v>
      </c>
      <c r="AH1019" s="131">
        <v>1</v>
      </c>
      <c r="AI1019" s="131">
        <v>1</v>
      </c>
      <c r="AJ1019" s="131">
        <v>1</v>
      </c>
      <c r="AK1019" s="131">
        <v>1</v>
      </c>
      <c r="AL1019" s="131">
        <v>1</v>
      </c>
      <c r="AM1019" s="131">
        <v>1</v>
      </c>
      <c r="AN1019" s="131">
        <v>1</v>
      </c>
      <c r="AO1019" s="131">
        <v>1</v>
      </c>
      <c r="AP1019" s="131">
        <v>1</v>
      </c>
      <c r="AQ1019" s="131">
        <v>1</v>
      </c>
      <c r="AR1019" s="131">
        <v>1</v>
      </c>
      <c r="AS1019" s="131">
        <v>1</v>
      </c>
      <c r="AT1019" s="131">
        <v>1</v>
      </c>
      <c r="AU1019" s="131">
        <v>1</v>
      </c>
      <c r="AV1019" s="131">
        <v>1</v>
      </c>
      <c r="AW1019" s="131">
        <v>1</v>
      </c>
      <c r="AX1019" s="131">
        <v>1</v>
      </c>
      <c r="AY1019" s="131">
        <v>1</v>
      </c>
      <c r="AZ1019" s="131">
        <v>1</v>
      </c>
      <c r="BA1019" s="131">
        <v>1</v>
      </c>
      <c r="BB1019" s="131">
        <v>1</v>
      </c>
      <c r="BC1019" s="131">
        <v>1</v>
      </c>
      <c r="BD1019" s="131">
        <v>1</v>
      </c>
      <c r="BE1019" s="131">
        <v>1</v>
      </c>
      <c r="BF1019" s="131">
        <v>1</v>
      </c>
      <c r="BG1019" s="131">
        <v>1</v>
      </c>
    </row>
    <row r="1020" spans="1:59" ht="15" customHeight="1">
      <c r="A1020" s="141" t="s">
        <v>644</v>
      </c>
      <c r="F1020" s="168" t="s">
        <v>677</v>
      </c>
      <c r="G1020" s="109" t="s">
        <v>3</v>
      </c>
      <c r="J1020" s="131">
        <v>1</v>
      </c>
      <c r="K1020" s="131">
        <v>1</v>
      </c>
      <c r="L1020" s="131">
        <v>1</v>
      </c>
      <c r="M1020" s="131">
        <v>1</v>
      </c>
      <c r="N1020" s="131">
        <v>1</v>
      </c>
      <c r="O1020" s="131">
        <v>1</v>
      </c>
      <c r="P1020" s="131">
        <v>1</v>
      </c>
      <c r="Q1020" s="131">
        <v>1</v>
      </c>
      <c r="R1020" s="131">
        <v>1</v>
      </c>
      <c r="S1020" s="131">
        <v>1</v>
      </c>
      <c r="T1020" s="131">
        <v>1</v>
      </c>
      <c r="U1020" s="131">
        <v>1</v>
      </c>
      <c r="V1020" s="131">
        <v>1</v>
      </c>
      <c r="W1020" s="131">
        <v>1</v>
      </c>
      <c r="X1020" s="131">
        <v>1</v>
      </c>
      <c r="Y1020" s="131">
        <v>1</v>
      </c>
      <c r="Z1020" s="131">
        <v>1</v>
      </c>
      <c r="AA1020" s="131">
        <v>1</v>
      </c>
      <c r="AB1020" s="131">
        <v>1</v>
      </c>
      <c r="AC1020" s="131">
        <v>1</v>
      </c>
      <c r="AD1020" s="131">
        <v>1</v>
      </c>
      <c r="AE1020" s="131">
        <v>1</v>
      </c>
      <c r="AF1020" s="131">
        <v>1</v>
      </c>
      <c r="AG1020" s="131">
        <v>1</v>
      </c>
      <c r="AH1020" s="131">
        <v>1</v>
      </c>
      <c r="AI1020" s="131">
        <v>1</v>
      </c>
      <c r="AJ1020" s="131">
        <v>1</v>
      </c>
      <c r="AK1020" s="131">
        <v>1</v>
      </c>
      <c r="AL1020" s="131">
        <v>1</v>
      </c>
      <c r="AM1020" s="131">
        <v>1</v>
      </c>
      <c r="AN1020" s="131">
        <v>1</v>
      </c>
      <c r="AO1020" s="131">
        <v>1</v>
      </c>
      <c r="AP1020" s="131">
        <v>1</v>
      </c>
      <c r="AQ1020" s="131">
        <v>1</v>
      </c>
      <c r="AR1020" s="131">
        <v>1</v>
      </c>
      <c r="AS1020" s="131">
        <v>1</v>
      </c>
      <c r="AT1020" s="131">
        <v>1</v>
      </c>
      <c r="AU1020" s="131">
        <v>1</v>
      </c>
      <c r="AV1020" s="131">
        <v>1</v>
      </c>
      <c r="AW1020" s="131">
        <v>1</v>
      </c>
      <c r="AX1020" s="131">
        <v>1</v>
      </c>
      <c r="AY1020" s="131">
        <v>1</v>
      </c>
      <c r="AZ1020" s="131">
        <v>1</v>
      </c>
      <c r="BA1020" s="131">
        <v>1</v>
      </c>
      <c r="BB1020" s="131">
        <v>1</v>
      </c>
      <c r="BC1020" s="131">
        <v>1</v>
      </c>
      <c r="BD1020" s="131">
        <v>1</v>
      </c>
      <c r="BE1020" s="131">
        <v>1</v>
      </c>
      <c r="BF1020" s="131">
        <v>1</v>
      </c>
      <c r="BG1020" s="131">
        <v>1</v>
      </c>
    </row>
    <row r="1021" spans="1:59" ht="15" customHeight="1">
      <c r="A1021" s="141" t="s">
        <v>644</v>
      </c>
      <c r="F1021" s="168" t="s">
        <v>678</v>
      </c>
      <c r="G1021" s="109" t="s">
        <v>3</v>
      </c>
      <c r="J1021" s="131">
        <v>1</v>
      </c>
      <c r="K1021" s="131">
        <v>1</v>
      </c>
      <c r="L1021" s="131">
        <v>1</v>
      </c>
      <c r="M1021" s="131">
        <v>1</v>
      </c>
      <c r="N1021" s="131">
        <v>1</v>
      </c>
      <c r="O1021" s="131">
        <v>1</v>
      </c>
      <c r="P1021" s="131">
        <v>1</v>
      </c>
      <c r="Q1021" s="131">
        <v>1</v>
      </c>
      <c r="R1021" s="131">
        <v>1</v>
      </c>
      <c r="S1021" s="131">
        <v>1</v>
      </c>
      <c r="T1021" s="131">
        <v>1</v>
      </c>
      <c r="U1021" s="131">
        <v>1</v>
      </c>
      <c r="V1021" s="131">
        <v>1</v>
      </c>
      <c r="W1021" s="131">
        <v>1</v>
      </c>
      <c r="X1021" s="131">
        <v>1</v>
      </c>
      <c r="Y1021" s="131">
        <v>1</v>
      </c>
      <c r="Z1021" s="131">
        <v>1</v>
      </c>
      <c r="AA1021" s="131">
        <v>1</v>
      </c>
      <c r="AB1021" s="131">
        <v>1</v>
      </c>
      <c r="AC1021" s="131">
        <v>1</v>
      </c>
      <c r="AD1021" s="131">
        <v>1</v>
      </c>
      <c r="AE1021" s="131">
        <v>1</v>
      </c>
      <c r="AF1021" s="131">
        <v>1</v>
      </c>
      <c r="AG1021" s="131">
        <v>1</v>
      </c>
      <c r="AH1021" s="131">
        <v>1</v>
      </c>
      <c r="AI1021" s="131">
        <v>1</v>
      </c>
      <c r="AJ1021" s="131">
        <v>1</v>
      </c>
      <c r="AK1021" s="131">
        <v>1</v>
      </c>
      <c r="AL1021" s="131">
        <v>1</v>
      </c>
      <c r="AM1021" s="131">
        <v>1</v>
      </c>
      <c r="AN1021" s="131">
        <v>1</v>
      </c>
      <c r="AO1021" s="131">
        <v>1</v>
      </c>
      <c r="AP1021" s="131">
        <v>1</v>
      </c>
      <c r="AQ1021" s="131">
        <v>1</v>
      </c>
      <c r="AR1021" s="131">
        <v>1</v>
      </c>
      <c r="AS1021" s="131">
        <v>1</v>
      </c>
      <c r="AT1021" s="131">
        <v>1</v>
      </c>
      <c r="AU1021" s="131">
        <v>1</v>
      </c>
      <c r="AV1021" s="131">
        <v>1</v>
      </c>
      <c r="AW1021" s="131">
        <v>1</v>
      </c>
      <c r="AX1021" s="131">
        <v>1</v>
      </c>
      <c r="AY1021" s="131">
        <v>1</v>
      </c>
      <c r="AZ1021" s="131">
        <v>1</v>
      </c>
      <c r="BA1021" s="131">
        <v>1</v>
      </c>
      <c r="BB1021" s="131">
        <v>1</v>
      </c>
      <c r="BC1021" s="131">
        <v>1</v>
      </c>
      <c r="BD1021" s="131">
        <v>1</v>
      </c>
      <c r="BE1021" s="131">
        <v>1</v>
      </c>
      <c r="BF1021" s="131">
        <v>1</v>
      </c>
      <c r="BG1021" s="131">
        <v>1</v>
      </c>
    </row>
    <row r="1022" spans="1:59" ht="15" customHeight="1">
      <c r="A1022" s="141" t="s">
        <v>644</v>
      </c>
      <c r="F1022" s="168" t="s">
        <v>679</v>
      </c>
      <c r="G1022" s="109" t="s">
        <v>3</v>
      </c>
      <c r="J1022" s="131">
        <v>1</v>
      </c>
      <c r="K1022" s="131">
        <v>1</v>
      </c>
      <c r="L1022" s="131">
        <v>1</v>
      </c>
      <c r="M1022" s="131">
        <v>1</v>
      </c>
      <c r="N1022" s="131">
        <v>1</v>
      </c>
      <c r="O1022" s="131">
        <v>1</v>
      </c>
      <c r="P1022" s="131">
        <v>1</v>
      </c>
      <c r="Q1022" s="131">
        <v>1</v>
      </c>
      <c r="R1022" s="131">
        <v>1</v>
      </c>
      <c r="S1022" s="131">
        <v>1</v>
      </c>
      <c r="T1022" s="131">
        <v>1</v>
      </c>
      <c r="U1022" s="131">
        <v>1</v>
      </c>
      <c r="V1022" s="131">
        <v>1</v>
      </c>
      <c r="W1022" s="131">
        <v>1</v>
      </c>
      <c r="X1022" s="131">
        <v>1</v>
      </c>
      <c r="Y1022" s="131">
        <v>1</v>
      </c>
      <c r="Z1022" s="131">
        <v>1</v>
      </c>
      <c r="AA1022" s="131">
        <v>1</v>
      </c>
      <c r="AB1022" s="131">
        <v>1</v>
      </c>
      <c r="AC1022" s="131">
        <v>1</v>
      </c>
      <c r="AD1022" s="131">
        <v>1</v>
      </c>
      <c r="AE1022" s="131">
        <v>1</v>
      </c>
      <c r="AF1022" s="131">
        <v>1</v>
      </c>
      <c r="AG1022" s="131">
        <v>1</v>
      </c>
      <c r="AH1022" s="131">
        <v>1</v>
      </c>
      <c r="AI1022" s="131">
        <v>1</v>
      </c>
      <c r="AJ1022" s="131">
        <v>1</v>
      </c>
      <c r="AK1022" s="131">
        <v>1</v>
      </c>
      <c r="AL1022" s="131">
        <v>1</v>
      </c>
      <c r="AM1022" s="131">
        <v>1</v>
      </c>
      <c r="AN1022" s="131">
        <v>1</v>
      </c>
      <c r="AO1022" s="131">
        <v>1</v>
      </c>
      <c r="AP1022" s="131">
        <v>1</v>
      </c>
      <c r="AQ1022" s="131">
        <v>1</v>
      </c>
      <c r="AR1022" s="131">
        <v>1</v>
      </c>
      <c r="AS1022" s="131">
        <v>1</v>
      </c>
      <c r="AT1022" s="131">
        <v>1</v>
      </c>
      <c r="AU1022" s="131">
        <v>1</v>
      </c>
      <c r="AV1022" s="131">
        <v>1</v>
      </c>
      <c r="AW1022" s="131">
        <v>1</v>
      </c>
      <c r="AX1022" s="131">
        <v>1</v>
      </c>
      <c r="AY1022" s="131">
        <v>1</v>
      </c>
      <c r="AZ1022" s="131">
        <v>1</v>
      </c>
      <c r="BA1022" s="131">
        <v>1</v>
      </c>
      <c r="BB1022" s="131">
        <v>1</v>
      </c>
      <c r="BC1022" s="131">
        <v>1</v>
      </c>
      <c r="BD1022" s="131">
        <v>1</v>
      </c>
      <c r="BE1022" s="131">
        <v>1</v>
      </c>
      <c r="BF1022" s="131">
        <v>1</v>
      </c>
      <c r="BG1022" s="131">
        <v>1</v>
      </c>
    </row>
    <row r="1023" spans="1:59" ht="15" customHeight="1">
      <c r="A1023" s="141" t="s">
        <v>644</v>
      </c>
      <c r="F1023" s="168" t="s">
        <v>680</v>
      </c>
      <c r="G1023" s="109" t="s">
        <v>3</v>
      </c>
      <c r="J1023" s="131">
        <v>1</v>
      </c>
      <c r="K1023" s="131">
        <v>1</v>
      </c>
      <c r="L1023" s="131">
        <v>1</v>
      </c>
      <c r="M1023" s="131">
        <v>1</v>
      </c>
      <c r="N1023" s="131">
        <v>1</v>
      </c>
      <c r="O1023" s="131">
        <v>1</v>
      </c>
      <c r="P1023" s="131">
        <v>1</v>
      </c>
      <c r="Q1023" s="131">
        <v>1</v>
      </c>
      <c r="R1023" s="131">
        <v>1</v>
      </c>
      <c r="S1023" s="131">
        <v>1</v>
      </c>
      <c r="T1023" s="131">
        <v>1</v>
      </c>
      <c r="U1023" s="131">
        <v>1</v>
      </c>
      <c r="V1023" s="131">
        <v>1</v>
      </c>
      <c r="W1023" s="131">
        <v>1</v>
      </c>
      <c r="X1023" s="131">
        <v>1</v>
      </c>
      <c r="Y1023" s="131">
        <v>1</v>
      </c>
      <c r="Z1023" s="131">
        <v>1</v>
      </c>
      <c r="AA1023" s="131">
        <v>1</v>
      </c>
      <c r="AB1023" s="131">
        <v>1</v>
      </c>
      <c r="AC1023" s="131">
        <v>1</v>
      </c>
      <c r="AD1023" s="131">
        <v>1</v>
      </c>
      <c r="AE1023" s="131">
        <v>1</v>
      </c>
      <c r="AF1023" s="131">
        <v>1</v>
      </c>
      <c r="AG1023" s="131">
        <v>1</v>
      </c>
      <c r="AH1023" s="131">
        <v>1</v>
      </c>
      <c r="AI1023" s="131">
        <v>1</v>
      </c>
      <c r="AJ1023" s="131">
        <v>1</v>
      </c>
      <c r="AK1023" s="131">
        <v>1</v>
      </c>
      <c r="AL1023" s="131">
        <v>1</v>
      </c>
      <c r="AM1023" s="131">
        <v>1</v>
      </c>
      <c r="AN1023" s="131">
        <v>1</v>
      </c>
      <c r="AO1023" s="131">
        <v>1</v>
      </c>
      <c r="AP1023" s="131">
        <v>1</v>
      </c>
      <c r="AQ1023" s="131">
        <v>1</v>
      </c>
      <c r="AR1023" s="131">
        <v>1</v>
      </c>
      <c r="AS1023" s="131">
        <v>1</v>
      </c>
      <c r="AT1023" s="131">
        <v>1</v>
      </c>
      <c r="AU1023" s="131">
        <v>1</v>
      </c>
      <c r="AV1023" s="131">
        <v>1</v>
      </c>
      <c r="AW1023" s="131">
        <v>1</v>
      </c>
      <c r="AX1023" s="131">
        <v>1</v>
      </c>
      <c r="AY1023" s="131">
        <v>1</v>
      </c>
      <c r="AZ1023" s="131">
        <v>1</v>
      </c>
      <c r="BA1023" s="131">
        <v>1</v>
      </c>
      <c r="BB1023" s="131">
        <v>1</v>
      </c>
      <c r="BC1023" s="131">
        <v>1</v>
      </c>
      <c r="BD1023" s="131">
        <v>1</v>
      </c>
      <c r="BE1023" s="131">
        <v>1</v>
      </c>
      <c r="BF1023" s="131">
        <v>1</v>
      </c>
      <c r="BG1023" s="131">
        <v>1</v>
      </c>
    </row>
    <row r="1024" spans="1:59" ht="15" customHeight="1">
      <c r="A1024" s="141" t="s">
        <v>644</v>
      </c>
      <c r="F1024" s="168" t="s">
        <v>681</v>
      </c>
      <c r="G1024" s="109" t="s">
        <v>3</v>
      </c>
      <c r="J1024" s="131">
        <v>1</v>
      </c>
      <c r="K1024" s="131">
        <v>1</v>
      </c>
      <c r="L1024" s="131">
        <v>1</v>
      </c>
      <c r="M1024" s="131">
        <v>1</v>
      </c>
      <c r="N1024" s="131">
        <v>1</v>
      </c>
      <c r="O1024" s="131">
        <v>1</v>
      </c>
      <c r="P1024" s="131">
        <v>1</v>
      </c>
      <c r="Q1024" s="131">
        <v>1</v>
      </c>
      <c r="R1024" s="131">
        <v>1</v>
      </c>
      <c r="S1024" s="131">
        <v>1</v>
      </c>
      <c r="T1024" s="131">
        <v>1</v>
      </c>
      <c r="U1024" s="131">
        <v>1</v>
      </c>
      <c r="V1024" s="131">
        <v>1</v>
      </c>
      <c r="W1024" s="131">
        <v>1</v>
      </c>
      <c r="X1024" s="131">
        <v>1</v>
      </c>
      <c r="Y1024" s="131">
        <v>1</v>
      </c>
      <c r="Z1024" s="131">
        <v>1</v>
      </c>
      <c r="AA1024" s="131">
        <v>1</v>
      </c>
      <c r="AB1024" s="131">
        <v>1</v>
      </c>
      <c r="AC1024" s="131">
        <v>1</v>
      </c>
      <c r="AD1024" s="131">
        <v>1</v>
      </c>
      <c r="AE1024" s="131">
        <v>1</v>
      </c>
      <c r="AF1024" s="131">
        <v>1</v>
      </c>
      <c r="AG1024" s="131">
        <v>1</v>
      </c>
      <c r="AH1024" s="131">
        <v>1</v>
      </c>
      <c r="AI1024" s="131">
        <v>1</v>
      </c>
      <c r="AJ1024" s="131">
        <v>1</v>
      </c>
      <c r="AK1024" s="131">
        <v>1</v>
      </c>
      <c r="AL1024" s="131">
        <v>1</v>
      </c>
      <c r="AM1024" s="131">
        <v>1</v>
      </c>
      <c r="AN1024" s="131">
        <v>1</v>
      </c>
      <c r="AO1024" s="131">
        <v>1</v>
      </c>
      <c r="AP1024" s="131">
        <v>1</v>
      </c>
      <c r="AQ1024" s="131">
        <v>1</v>
      </c>
      <c r="AR1024" s="131">
        <v>1</v>
      </c>
      <c r="AS1024" s="131">
        <v>1</v>
      </c>
      <c r="AT1024" s="131">
        <v>1</v>
      </c>
      <c r="AU1024" s="131">
        <v>1</v>
      </c>
      <c r="AV1024" s="131">
        <v>1</v>
      </c>
      <c r="AW1024" s="131">
        <v>1</v>
      </c>
      <c r="AX1024" s="131">
        <v>1</v>
      </c>
      <c r="AY1024" s="131">
        <v>1</v>
      </c>
      <c r="AZ1024" s="131">
        <v>1</v>
      </c>
      <c r="BA1024" s="131">
        <v>1</v>
      </c>
      <c r="BB1024" s="131">
        <v>1</v>
      </c>
      <c r="BC1024" s="131">
        <v>1</v>
      </c>
      <c r="BD1024" s="131">
        <v>1</v>
      </c>
      <c r="BE1024" s="131">
        <v>1</v>
      </c>
      <c r="BF1024" s="131">
        <v>1</v>
      </c>
      <c r="BG1024" s="131">
        <v>1</v>
      </c>
    </row>
    <row r="1025" spans="1:59" ht="15" customHeight="1">
      <c r="A1025" s="141" t="s">
        <v>644</v>
      </c>
      <c r="F1025" s="168" t="s">
        <v>682</v>
      </c>
      <c r="G1025" s="109" t="s">
        <v>3</v>
      </c>
      <c r="J1025" s="131">
        <v>1</v>
      </c>
      <c r="K1025" s="131">
        <v>1</v>
      </c>
      <c r="L1025" s="131">
        <v>1</v>
      </c>
      <c r="M1025" s="131">
        <v>1</v>
      </c>
      <c r="N1025" s="131">
        <v>1</v>
      </c>
      <c r="O1025" s="131">
        <v>1</v>
      </c>
      <c r="P1025" s="131">
        <v>1</v>
      </c>
      <c r="Q1025" s="131">
        <v>1</v>
      </c>
      <c r="R1025" s="131">
        <v>1</v>
      </c>
      <c r="S1025" s="131">
        <v>1</v>
      </c>
      <c r="T1025" s="131">
        <v>1</v>
      </c>
      <c r="U1025" s="131">
        <v>1</v>
      </c>
      <c r="V1025" s="131">
        <v>1</v>
      </c>
      <c r="W1025" s="131">
        <v>1</v>
      </c>
      <c r="X1025" s="131">
        <v>1</v>
      </c>
      <c r="Y1025" s="131">
        <v>1</v>
      </c>
      <c r="Z1025" s="131">
        <v>1</v>
      </c>
      <c r="AA1025" s="131">
        <v>1</v>
      </c>
      <c r="AB1025" s="131">
        <v>1</v>
      </c>
      <c r="AC1025" s="131">
        <v>1</v>
      </c>
      <c r="AD1025" s="131">
        <v>1</v>
      </c>
      <c r="AE1025" s="131">
        <v>1</v>
      </c>
      <c r="AF1025" s="131">
        <v>1</v>
      </c>
      <c r="AG1025" s="131">
        <v>1</v>
      </c>
      <c r="AH1025" s="131">
        <v>1</v>
      </c>
      <c r="AI1025" s="131">
        <v>1</v>
      </c>
      <c r="AJ1025" s="131">
        <v>1</v>
      </c>
      <c r="AK1025" s="131">
        <v>1</v>
      </c>
      <c r="AL1025" s="131">
        <v>1</v>
      </c>
      <c r="AM1025" s="131">
        <v>1</v>
      </c>
      <c r="AN1025" s="131">
        <v>1</v>
      </c>
      <c r="AO1025" s="131">
        <v>1</v>
      </c>
      <c r="AP1025" s="131">
        <v>1</v>
      </c>
      <c r="AQ1025" s="131">
        <v>1</v>
      </c>
      <c r="AR1025" s="131">
        <v>1</v>
      </c>
      <c r="AS1025" s="131">
        <v>1</v>
      </c>
      <c r="AT1025" s="131">
        <v>1</v>
      </c>
      <c r="AU1025" s="131">
        <v>1</v>
      </c>
      <c r="AV1025" s="131">
        <v>1</v>
      </c>
      <c r="AW1025" s="131">
        <v>1</v>
      </c>
      <c r="AX1025" s="131">
        <v>1</v>
      </c>
      <c r="AY1025" s="131">
        <v>1</v>
      </c>
      <c r="AZ1025" s="131">
        <v>1</v>
      </c>
      <c r="BA1025" s="131">
        <v>1</v>
      </c>
      <c r="BB1025" s="131">
        <v>1</v>
      </c>
      <c r="BC1025" s="131">
        <v>1</v>
      </c>
      <c r="BD1025" s="131">
        <v>1</v>
      </c>
      <c r="BE1025" s="131">
        <v>1</v>
      </c>
      <c r="BF1025" s="131">
        <v>1</v>
      </c>
      <c r="BG1025" s="131">
        <v>1</v>
      </c>
    </row>
    <row r="1026" spans="1:59" ht="15" customHeight="1">
      <c r="A1026" s="141" t="s">
        <v>644</v>
      </c>
      <c r="F1026" s="168" t="s">
        <v>683</v>
      </c>
      <c r="G1026" s="109" t="s">
        <v>3</v>
      </c>
      <c r="J1026" s="131">
        <v>1</v>
      </c>
      <c r="K1026" s="131">
        <v>1</v>
      </c>
      <c r="L1026" s="131">
        <v>1</v>
      </c>
      <c r="M1026" s="131">
        <v>1</v>
      </c>
      <c r="N1026" s="131">
        <v>1</v>
      </c>
      <c r="O1026" s="131">
        <v>1</v>
      </c>
      <c r="P1026" s="131">
        <v>1</v>
      </c>
      <c r="Q1026" s="131">
        <v>1</v>
      </c>
      <c r="R1026" s="131">
        <v>1</v>
      </c>
      <c r="S1026" s="131">
        <v>1</v>
      </c>
      <c r="T1026" s="131">
        <v>1</v>
      </c>
      <c r="U1026" s="131">
        <v>1</v>
      </c>
      <c r="V1026" s="131">
        <v>1</v>
      </c>
      <c r="W1026" s="131">
        <v>1</v>
      </c>
      <c r="X1026" s="131">
        <v>1</v>
      </c>
      <c r="Y1026" s="131">
        <v>1</v>
      </c>
      <c r="Z1026" s="131">
        <v>1</v>
      </c>
      <c r="AA1026" s="131">
        <v>1</v>
      </c>
      <c r="AB1026" s="131">
        <v>1</v>
      </c>
      <c r="AC1026" s="131">
        <v>1</v>
      </c>
      <c r="AD1026" s="131">
        <v>1</v>
      </c>
      <c r="AE1026" s="131">
        <v>1</v>
      </c>
      <c r="AF1026" s="131">
        <v>1</v>
      </c>
      <c r="AG1026" s="131">
        <v>1</v>
      </c>
      <c r="AH1026" s="131">
        <v>1</v>
      </c>
      <c r="AI1026" s="131">
        <v>1</v>
      </c>
      <c r="AJ1026" s="131">
        <v>1</v>
      </c>
      <c r="AK1026" s="131">
        <v>1</v>
      </c>
      <c r="AL1026" s="131">
        <v>1</v>
      </c>
      <c r="AM1026" s="131">
        <v>1</v>
      </c>
      <c r="AN1026" s="131">
        <v>1</v>
      </c>
      <c r="AO1026" s="131">
        <v>1</v>
      </c>
      <c r="AP1026" s="131">
        <v>1</v>
      </c>
      <c r="AQ1026" s="131">
        <v>1</v>
      </c>
      <c r="AR1026" s="131">
        <v>1</v>
      </c>
      <c r="AS1026" s="131">
        <v>1</v>
      </c>
      <c r="AT1026" s="131">
        <v>1</v>
      </c>
      <c r="AU1026" s="131">
        <v>1</v>
      </c>
      <c r="AV1026" s="131">
        <v>1</v>
      </c>
      <c r="AW1026" s="131">
        <v>1</v>
      </c>
      <c r="AX1026" s="131">
        <v>1</v>
      </c>
      <c r="AY1026" s="131">
        <v>1</v>
      </c>
      <c r="AZ1026" s="131">
        <v>1</v>
      </c>
      <c r="BA1026" s="131">
        <v>1</v>
      </c>
      <c r="BB1026" s="131">
        <v>1</v>
      </c>
      <c r="BC1026" s="131">
        <v>1</v>
      </c>
      <c r="BD1026" s="131">
        <v>1</v>
      </c>
      <c r="BE1026" s="131">
        <v>1</v>
      </c>
      <c r="BF1026" s="131">
        <v>1</v>
      </c>
      <c r="BG1026" s="131">
        <v>1</v>
      </c>
    </row>
    <row r="1027" spans="1:59" ht="15" customHeight="1">
      <c r="F1027" s="168"/>
    </row>
    <row r="1028" spans="1:59" ht="16">
      <c r="A1028" s="141" t="s">
        <v>644</v>
      </c>
      <c r="F1028" s="168" t="s">
        <v>684</v>
      </c>
      <c r="AE1028" s="181">
        <v>1.5516523030848235</v>
      </c>
      <c r="AF1028" s="181">
        <v>-74.575187092203706</v>
      </c>
      <c r="AG1028" s="181">
        <v>2.0727560703129</v>
      </c>
      <c r="AH1028" s="181">
        <v>-0.8700249626112686</v>
      </c>
      <c r="AI1028" s="181">
        <v>0.96393225642378788</v>
      </c>
      <c r="AJ1028" s="181">
        <v>0.96152019087393104</v>
      </c>
      <c r="AK1028" s="181">
        <v>0.9617127818014487</v>
      </c>
      <c r="AL1028" s="181">
        <v>0.95390096333294894</v>
      </c>
      <c r="AM1028" s="181">
        <v>0.9620854266180936</v>
      </c>
      <c r="AN1028" s="181">
        <v>0.96226529118424642</v>
      </c>
      <c r="AO1028" s="181">
        <v>0.9624407493985796</v>
      </c>
      <c r="AP1028" s="181">
        <v>0.96526169394689998</v>
      </c>
      <c r="AQ1028" s="181">
        <v>0.95214687623030669</v>
      </c>
      <c r="AR1028" s="181">
        <v>0.96294018019041583</v>
      </c>
      <c r="AS1028" s="181">
        <v>0.96309757549210595</v>
      </c>
      <c r="AT1028" s="181">
        <v>0.96590269031248865</v>
      </c>
      <c r="AU1028" s="181">
        <v>0.96339869636538433</v>
      </c>
      <c r="AV1028" s="181">
        <v>0.95289991819875841</v>
      </c>
      <c r="AW1028" s="181">
        <v>0.96368169178084295</v>
      </c>
      <c r="AX1028" s="181">
        <v>0.96647081074454522</v>
      </c>
      <c r="AY1028" s="181">
        <v>0.96394682384695252</v>
      </c>
      <c r="AZ1028" s="181">
        <v>0.96394682384695252</v>
      </c>
      <c r="BA1028" s="181">
        <v>0.96394682384695252</v>
      </c>
      <c r="BB1028" s="181">
        <v>0.96394682384695252</v>
      </c>
      <c r="BC1028" s="181">
        <v>0.96394682384695252</v>
      </c>
      <c r="BD1028" s="181">
        <v>0.96394682384695252</v>
      </c>
      <c r="BE1028" s="181">
        <v>0.96394682384695252</v>
      </c>
      <c r="BF1028" s="181">
        <v>0.96394682384695252</v>
      </c>
      <c r="BG1028" s="181">
        <v>0.96394682384695252</v>
      </c>
    </row>
    <row r="1029" spans="1:59" ht="16">
      <c r="A1029" s="141" t="s">
        <v>644</v>
      </c>
      <c r="F1029" s="168" t="s">
        <v>685</v>
      </c>
      <c r="AE1029" s="181">
        <v>1.4612461492751834</v>
      </c>
      <c r="AF1029" s="181">
        <v>-42.223088772134844</v>
      </c>
      <c r="AG1029" s="181">
        <v>3.085542010048512</v>
      </c>
      <c r="AH1029" s="181">
        <v>-0.12237446181173108</v>
      </c>
      <c r="AI1029" s="181">
        <v>1.030849994185381</v>
      </c>
      <c r="AJ1029" s="181">
        <v>1.0335463200149257</v>
      </c>
      <c r="AK1029" s="181">
        <v>1.0336214423058485</v>
      </c>
      <c r="AL1029" s="181">
        <v>1.0365399973983118</v>
      </c>
      <c r="AM1029" s="181">
        <v>1.0337666609079152</v>
      </c>
      <c r="AN1029" s="181">
        <v>1.0338366895797688</v>
      </c>
      <c r="AO1029" s="181">
        <v>1.0339049625270622</v>
      </c>
      <c r="AP1029" s="181">
        <v>1.0368180063432855</v>
      </c>
      <c r="AQ1029" s="181">
        <v>1.0340361691722562</v>
      </c>
      <c r="AR1029" s="181">
        <v>1.0340990802200682</v>
      </c>
      <c r="AS1029" s="181">
        <v>1.0341601897750015</v>
      </c>
      <c r="AT1029" s="181">
        <v>1.0370673464763578</v>
      </c>
      <c r="AU1029" s="181">
        <v>1.0342770127568575</v>
      </c>
      <c r="AV1029" s="181">
        <v>1.0343327411796193</v>
      </c>
      <c r="AW1029" s="181">
        <v>1.0343866975282163</v>
      </c>
      <c r="AX1029" s="181">
        <v>1.0372878987691145</v>
      </c>
      <c r="AY1029" s="181">
        <v>1.0344893653690179</v>
      </c>
      <c r="AZ1029" s="181">
        <v>1.0344893653690179</v>
      </c>
      <c r="BA1029" s="181">
        <v>1.0344893653690179</v>
      </c>
      <c r="BB1029" s="181">
        <v>1.0344893653690179</v>
      </c>
      <c r="BC1029" s="181">
        <v>1.0344893653690179</v>
      </c>
      <c r="BD1029" s="181">
        <v>1.0344893653690179</v>
      </c>
      <c r="BE1029" s="181">
        <v>1.0344893653690179</v>
      </c>
      <c r="BF1029" s="181">
        <v>1.0344893653690179</v>
      </c>
      <c r="BG1029" s="181">
        <v>1.0344893653690179</v>
      </c>
    </row>
    <row r="1030" spans="1:59" ht="16">
      <c r="A1030" s="141" t="s">
        <v>644</v>
      </c>
      <c r="F1030" s="168" t="s">
        <v>686</v>
      </c>
      <c r="AE1030" s="181">
        <v>0.98072582108814932</v>
      </c>
      <c r="AF1030" s="181">
        <v>121.47443358951773</v>
      </c>
      <c r="AG1030" s="181">
        <v>-0.92555844871176063</v>
      </c>
      <c r="AH1030" s="181">
        <v>3.878011793846365</v>
      </c>
      <c r="AI1030" s="181">
        <v>0.94438690176435225</v>
      </c>
      <c r="AJ1030" s="181">
        <v>0.94026725404908218</v>
      </c>
      <c r="AK1030" s="181">
        <v>0.9402064633677536</v>
      </c>
      <c r="AL1030" s="181">
        <v>0.94273470879485899</v>
      </c>
      <c r="AM1030" s="181">
        <v>0.94008877603552177</v>
      </c>
      <c r="AN1030" s="181">
        <v>0.94003194208436081</v>
      </c>
      <c r="AO1030" s="181">
        <v>0.93997648181728566</v>
      </c>
      <c r="AP1030" s="181">
        <v>0.942510179305872</v>
      </c>
      <c r="AQ1030" s="181">
        <v>0.93986975633094438</v>
      </c>
      <c r="AR1030" s="181">
        <v>0.93981851709195363</v>
      </c>
      <c r="AS1030" s="181">
        <v>0.93976870383615607</v>
      </c>
      <c r="AT1030" s="181">
        <v>0.94230809586832331</v>
      </c>
      <c r="AU1030" s="181">
        <v>0.93967336260187406</v>
      </c>
      <c r="AV1030" s="181">
        <v>0.93962782918044507</v>
      </c>
      <c r="AW1030" s="181">
        <v>0.93958371129929097</v>
      </c>
      <c r="AX1030" s="181">
        <v>0.94212878421159729</v>
      </c>
      <c r="AY1030" s="181">
        <v>0.93949967604969808</v>
      </c>
      <c r="AZ1030" s="181">
        <v>0.93949967604969808</v>
      </c>
      <c r="BA1030" s="181">
        <v>0.93949967604969808</v>
      </c>
      <c r="BB1030" s="181">
        <v>0.93949967604969808</v>
      </c>
      <c r="BC1030" s="181">
        <v>0.93949967604969808</v>
      </c>
      <c r="BD1030" s="181">
        <v>0.93949967604969808</v>
      </c>
      <c r="BE1030" s="181">
        <v>0.93949967604969808</v>
      </c>
      <c r="BF1030" s="181">
        <v>0.93949967604969808</v>
      </c>
      <c r="BG1030" s="181">
        <v>0.93949967604969808</v>
      </c>
    </row>
    <row r="1031" spans="1:59" ht="16">
      <c r="A1031" s="141" t="s">
        <v>644</v>
      </c>
      <c r="F1031" s="168" t="s">
        <v>687</v>
      </c>
      <c r="AE1031" s="181">
        <v>6.0786563593071656E-2</v>
      </c>
      <c r="AF1031" s="181">
        <v>-0.91991559294947611</v>
      </c>
      <c r="AG1031" s="181">
        <v>-0.20079143079809009</v>
      </c>
      <c r="AH1031" s="181">
        <v>1.0793092217908988</v>
      </c>
      <c r="AI1031" s="181">
        <v>1.0604257934688277</v>
      </c>
      <c r="AJ1031" s="181">
        <v>1.064242391234866</v>
      </c>
      <c r="AK1031" s="181">
        <v>1.0640410261341013</v>
      </c>
      <c r="AL1031" s="181">
        <v>1.0667722834161835</v>
      </c>
      <c r="AM1031" s="181">
        <v>1.0636515909584681</v>
      </c>
      <c r="AN1031" s="181">
        <v>1.0634637103038831</v>
      </c>
      <c r="AO1031" s="181">
        <v>1.0632804876477611</v>
      </c>
      <c r="AP1031" s="181">
        <v>1.0660288774589994</v>
      </c>
      <c r="AQ1031" s="181">
        <v>1.0629282255181138</v>
      </c>
      <c r="AR1031" s="181">
        <v>1.0627592545694293</v>
      </c>
      <c r="AS1031" s="181">
        <v>1.0625950798826411</v>
      </c>
      <c r="AT1031" s="181">
        <v>1.0653614093339598</v>
      </c>
      <c r="AU1031" s="181">
        <v>1.0622811113090298</v>
      </c>
      <c r="AV1031" s="181">
        <v>1.0621312840698538</v>
      </c>
      <c r="AW1031" s="181">
        <v>1.0619861879025925</v>
      </c>
      <c r="AX1031" s="181">
        <v>1.0647704314214854</v>
      </c>
      <c r="AY1031" s="181">
        <v>1.0617100094067913</v>
      </c>
      <c r="AZ1031" s="181">
        <v>1.0617100094067913</v>
      </c>
      <c r="BA1031" s="181">
        <v>1.0617100094067913</v>
      </c>
      <c r="BB1031" s="181">
        <v>1.0617100094067913</v>
      </c>
      <c r="BC1031" s="181">
        <v>1.0617100094067913</v>
      </c>
      <c r="BD1031" s="181">
        <v>1.0617100094067913</v>
      </c>
      <c r="BE1031" s="181">
        <v>1.0617100094067913</v>
      </c>
      <c r="BF1031" s="181">
        <v>1.0617100094067913</v>
      </c>
      <c r="BG1031" s="181">
        <v>1.0617100094067913</v>
      </c>
    </row>
    <row r="1032" spans="1:59" ht="16">
      <c r="A1032" s="141" t="s">
        <v>644</v>
      </c>
      <c r="F1032" s="168" t="s">
        <v>688</v>
      </c>
      <c r="AE1032" s="181">
        <v>1.8531526135043381</v>
      </c>
      <c r="AF1032" s="181">
        <v>-49.49707769794518</v>
      </c>
      <c r="AG1032" s="181">
        <v>2.082710150696403</v>
      </c>
      <c r="AH1032" s="181">
        <v>-0.86222357944137862</v>
      </c>
      <c r="AI1032" s="181">
        <v>0.9659017379693724</v>
      </c>
      <c r="AJ1032" s="181">
        <v>0.96367427634019964</v>
      </c>
      <c r="AK1032" s="181">
        <v>0.96387119775948693</v>
      </c>
      <c r="AL1032" s="181">
        <v>0.95604631014931085</v>
      </c>
      <c r="AM1032" s="181">
        <v>0.96425279562178468</v>
      </c>
      <c r="AN1032" s="181">
        <v>0.96443725289359228</v>
      </c>
      <c r="AO1032" s="181">
        <v>0.96461736185610292</v>
      </c>
      <c r="AP1032" s="181">
        <v>0.96744885989414053</v>
      </c>
      <c r="AQ1032" s="181">
        <v>0.95430934001997647</v>
      </c>
      <c r="AR1032" s="181">
        <v>0.96513095491876233</v>
      </c>
      <c r="AS1032" s="181">
        <v>0.96529309755210402</v>
      </c>
      <c r="AT1032" s="181">
        <v>0.96810888058551581</v>
      </c>
      <c r="AU1032" s="181">
        <v>0.9656036811848151</v>
      </c>
      <c r="AV1032" s="181">
        <v>0.95508568291422868</v>
      </c>
      <c r="AW1032" s="181">
        <v>0.96589602610511038</v>
      </c>
      <c r="AX1032" s="181">
        <v>0.96869574937769487</v>
      </c>
      <c r="AY1032" s="181">
        <v>0.96617031962218514</v>
      </c>
      <c r="AZ1032" s="181">
        <v>0.96394682384695252</v>
      </c>
      <c r="BA1032" s="181">
        <v>0.96394682384695252</v>
      </c>
      <c r="BB1032" s="181">
        <v>0.96394682384695252</v>
      </c>
      <c r="BC1032" s="181">
        <v>0.96394682384695252</v>
      </c>
      <c r="BD1032" s="181">
        <v>0.96394682384695252</v>
      </c>
      <c r="BE1032" s="181">
        <v>0.96394682384695252</v>
      </c>
      <c r="BF1032" s="181">
        <v>0.96394682384695252</v>
      </c>
      <c r="BG1032" s="181">
        <v>0.96394682384695252</v>
      </c>
    </row>
    <row r="1033" spans="1:59" ht="16">
      <c r="A1033" s="141" t="s">
        <v>644</v>
      </c>
      <c r="F1033" s="168" t="s">
        <v>689</v>
      </c>
      <c r="AE1033" s="181">
        <v>1.2069004585572605</v>
      </c>
      <c r="AF1033" s="181">
        <v>1.2616318626984695</v>
      </c>
      <c r="AG1033" s="181">
        <v>3.3568453526644393</v>
      </c>
      <c r="AH1033" s="181">
        <v>-0.19556493857567378</v>
      </c>
      <c r="AI1033" s="181">
        <v>1.0101738920892651</v>
      </c>
      <c r="AJ1033" s="181">
        <v>1.0112774700167346</v>
      </c>
      <c r="AK1033" s="181">
        <v>1.0113521791245421</v>
      </c>
      <c r="AL1033" s="181">
        <v>1.0142089384679522</v>
      </c>
      <c r="AM1033" s="181">
        <v>1.0114968130691204</v>
      </c>
      <c r="AN1033" s="181">
        <v>1.0115666608390448</v>
      </c>
      <c r="AO1033" s="181">
        <v>1.0116348208304904</v>
      </c>
      <c r="AP1033" s="181">
        <v>1.0144863496626237</v>
      </c>
      <c r="AQ1033" s="181">
        <v>1.0117659864810529</v>
      </c>
      <c r="AR1033" s="181">
        <v>1.0118289601755235</v>
      </c>
      <c r="AS1033" s="181">
        <v>1.0118901817468529</v>
      </c>
      <c r="AT1033" s="181">
        <v>1.0147360343666951</v>
      </c>
      <c r="AU1033" s="181">
        <v>1.0120073594226136</v>
      </c>
      <c r="AV1033" s="181">
        <v>1.0120633221677016</v>
      </c>
      <c r="AW1033" s="181">
        <v>1.0121175455270837</v>
      </c>
      <c r="AX1033" s="181">
        <v>1.0149575890161715</v>
      </c>
      <c r="AY1033" s="181">
        <v>1.0122208306517209</v>
      </c>
      <c r="AZ1033" s="181">
        <v>1.0344893653690179</v>
      </c>
      <c r="BA1033" s="181">
        <v>1.0344893653690179</v>
      </c>
      <c r="BB1033" s="181">
        <v>1.0344893653690179</v>
      </c>
      <c r="BC1033" s="181">
        <v>1.0344893653690179</v>
      </c>
      <c r="BD1033" s="181">
        <v>1.0344893653690179</v>
      </c>
      <c r="BE1033" s="181">
        <v>1.0344893653690179</v>
      </c>
      <c r="BF1033" s="181">
        <v>1.0344893653690179</v>
      </c>
      <c r="BG1033" s="181">
        <v>1.0344893653690179</v>
      </c>
    </row>
    <row r="1034" spans="1:59" ht="16">
      <c r="A1034" s="141" t="s">
        <v>644</v>
      </c>
      <c r="F1034" s="168" t="s">
        <v>690</v>
      </c>
      <c r="AE1034" s="181">
        <v>9.8904250045745407E-2</v>
      </c>
      <c r="AF1034" s="181">
        <v>52.704800662410371</v>
      </c>
      <c r="AG1034" s="181">
        <v>-0.40377558476897024</v>
      </c>
      <c r="AH1034" s="181">
        <v>3.8285073597734645</v>
      </c>
      <c r="AI1034" s="181">
        <v>0.93079354440151141</v>
      </c>
      <c r="AJ1034" s="181">
        <v>0.92563222323470207</v>
      </c>
      <c r="AK1034" s="181">
        <v>0.92557366617560111</v>
      </c>
      <c r="AL1034" s="181">
        <v>0.92806360844809555</v>
      </c>
      <c r="AM1034" s="181">
        <v>0.92546012513783871</v>
      </c>
      <c r="AN1034" s="181">
        <v>0.92540520937034021</v>
      </c>
      <c r="AO1034" s="181">
        <v>0.92535156798141271</v>
      </c>
      <c r="AP1034" s="181">
        <v>0.92784658489708316</v>
      </c>
      <c r="AQ1034" s="181">
        <v>0.92524819525712543</v>
      </c>
      <c r="AR1034" s="181">
        <v>0.92519849663626808</v>
      </c>
      <c r="AS1034" s="181">
        <v>0.92515013810415592</v>
      </c>
      <c r="AT1034" s="181">
        <v>0.92765052216665977</v>
      </c>
      <c r="AU1034" s="181">
        <v>0.92505746270833877</v>
      </c>
      <c r="AV1034" s="181">
        <v>0.92501314745305974</v>
      </c>
      <c r="AW1034" s="181">
        <v>0.92497017590564667</v>
      </c>
      <c r="AX1034" s="181">
        <v>0.92747596689913148</v>
      </c>
      <c r="AY1034" s="181">
        <v>0.92488823157414302</v>
      </c>
      <c r="AZ1034" s="181">
        <v>0.93949967604969808</v>
      </c>
      <c r="BA1034" s="181">
        <v>0.93949967604969808</v>
      </c>
      <c r="BB1034" s="181">
        <v>0.93949967604969808</v>
      </c>
      <c r="BC1034" s="181">
        <v>0.93949967604969808</v>
      </c>
      <c r="BD1034" s="181">
        <v>0.93949967604969808</v>
      </c>
      <c r="BE1034" s="181">
        <v>0.93949967604969808</v>
      </c>
      <c r="BF1034" s="181">
        <v>0.93949967604969808</v>
      </c>
      <c r="BG1034" s="181">
        <v>0.93949967604969808</v>
      </c>
    </row>
    <row r="1035" spans="1:59" ht="16">
      <c r="A1035" s="141" t="s">
        <v>644</v>
      </c>
      <c r="F1035" s="168" t="s">
        <v>691</v>
      </c>
      <c r="AE1035" s="181">
        <v>0.97376000410180452</v>
      </c>
      <c r="AF1035" s="181">
        <v>1.4213496987378759E-2</v>
      </c>
      <c r="AG1035" s="181">
        <v>-1.0015996752237899</v>
      </c>
      <c r="AH1035" s="181">
        <v>1.1931573975054697</v>
      </c>
      <c r="AI1035" s="181">
        <v>1.0925700285003381</v>
      </c>
      <c r="AJ1035" s="181">
        <v>1.0988258369937161</v>
      </c>
      <c r="AK1035" s="181">
        <v>1.0986188008126048</v>
      </c>
      <c r="AL1035" s="181">
        <v>1.1014392753466749</v>
      </c>
      <c r="AM1035" s="181">
        <v>1.098217789961637</v>
      </c>
      <c r="AN1035" s="181">
        <v>1.0980240375151022</v>
      </c>
      <c r="AO1035" s="181">
        <v>1.0978349082681673</v>
      </c>
      <c r="AP1035" s="181">
        <v>1.100672319808093</v>
      </c>
      <c r="AQ1035" s="181">
        <v>1.0974707888586359</v>
      </c>
      <c r="AR1035" s="181">
        <v>1.0972958957865668</v>
      </c>
      <c r="AS1035" s="181">
        <v>1.0971258211967625</v>
      </c>
      <c r="AT1035" s="181">
        <v>1.099981207469235</v>
      </c>
      <c r="AU1035" s="181">
        <v>1.0968001685453548</v>
      </c>
      <c r="AV1035" s="181">
        <v>1.0966445796610884</v>
      </c>
      <c r="AW1035" s="181">
        <v>1.0964937890941067</v>
      </c>
      <c r="AX1035" s="181">
        <v>1.0993673102446091</v>
      </c>
      <c r="AY1035" s="181">
        <v>1.0962064594967016</v>
      </c>
      <c r="AZ1035" s="181">
        <v>1.0617100094067913</v>
      </c>
      <c r="BA1035" s="181">
        <v>1.0617100094067913</v>
      </c>
      <c r="BB1035" s="181">
        <v>1.0617100094067913</v>
      </c>
      <c r="BC1035" s="181">
        <v>1.0617100094067913</v>
      </c>
      <c r="BD1035" s="181">
        <v>1.0617100094067913</v>
      </c>
      <c r="BE1035" s="181">
        <v>1.0617100094067913</v>
      </c>
      <c r="BF1035" s="181">
        <v>1.0617100094067913</v>
      </c>
      <c r="BG1035" s="181">
        <v>1.0617100094067913</v>
      </c>
    </row>
    <row r="1036" spans="1:59" ht="16">
      <c r="A1036" s="141" t="s">
        <v>644</v>
      </c>
      <c r="F1036" s="168" t="s">
        <v>692</v>
      </c>
      <c r="AE1036" s="181">
        <v>1.6017484485787088</v>
      </c>
      <c r="AF1036" s="181">
        <v>2.6352852455126827</v>
      </c>
      <c r="AG1036" s="181">
        <v>2.6348949031972242</v>
      </c>
      <c r="AH1036" s="181">
        <v>-0.81698545003757139</v>
      </c>
      <c r="AI1036" s="181">
        <v>0.98036698209385664</v>
      </c>
      <c r="AJ1036" s="181">
        <v>0.97901471891398917</v>
      </c>
      <c r="AK1036" s="181">
        <v>0.97917749378886942</v>
      </c>
      <c r="AL1036" s="181">
        <v>0.97118691020832215</v>
      </c>
      <c r="AM1036" s="181">
        <v>0.97948914124540298</v>
      </c>
      <c r="AN1036" s="181">
        <v>0.97963802583853909</v>
      </c>
      <c r="AO1036" s="181">
        <v>0.97978231089395018</v>
      </c>
      <c r="AP1036" s="181">
        <v>0.98262065414145028</v>
      </c>
      <c r="AQ1036" s="181">
        <v>0.96923109166221988</v>
      </c>
      <c r="AR1036" s="181">
        <v>0.98018794197413539</v>
      </c>
      <c r="AS1036" s="181">
        <v>0.98031424571808445</v>
      </c>
      <c r="AT1036" s="181">
        <v>0.98313669911947166</v>
      </c>
      <c r="AU1036" s="181">
        <v>0.9805538750417383</v>
      </c>
      <c r="AV1036" s="181">
        <v>0.96983229644220614</v>
      </c>
      <c r="AW1036" s="181">
        <v>0.98077670749823376</v>
      </c>
      <c r="AX1036" s="181">
        <v>0.98358415923593356</v>
      </c>
      <c r="AY1036" s="181">
        <v>0.98098341997405247</v>
      </c>
      <c r="AZ1036" s="181">
        <v>0.96394682384695252</v>
      </c>
      <c r="BA1036" s="181">
        <v>0.96394682384695252</v>
      </c>
      <c r="BB1036" s="181">
        <v>0.96394682384695252</v>
      </c>
      <c r="BC1036" s="181">
        <v>0.96394682384695252</v>
      </c>
      <c r="BD1036" s="181">
        <v>0.96394682384695252</v>
      </c>
      <c r="BE1036" s="181">
        <v>0.96394682384695252</v>
      </c>
      <c r="BF1036" s="181">
        <v>0.96394682384695252</v>
      </c>
      <c r="BG1036" s="181">
        <v>0.96394682384695252</v>
      </c>
    </row>
    <row r="1037" spans="1:59" ht="16">
      <c r="A1037" s="141" t="s">
        <v>644</v>
      </c>
      <c r="F1037" s="168" t="s">
        <v>693</v>
      </c>
      <c r="AE1037" s="181">
        <v>1.7863650652292344</v>
      </c>
      <c r="AF1037" s="181">
        <v>2.5700055353922351</v>
      </c>
      <c r="AG1037" s="181">
        <v>1.7634338307893762</v>
      </c>
      <c r="AH1037" s="181">
        <v>-0.12047237670544991</v>
      </c>
      <c r="AI1037" s="181">
        <v>1.0320250608375359</v>
      </c>
      <c r="AJ1037" s="181">
        <v>1.0347229843564925</v>
      </c>
      <c r="AK1037" s="181">
        <v>1.0347833815262095</v>
      </c>
      <c r="AL1037" s="181">
        <v>1.0376915023754105</v>
      </c>
      <c r="AM1037" s="181">
        <v>1.034898924984909</v>
      </c>
      <c r="AN1037" s="181">
        <v>1.0349540811576541</v>
      </c>
      <c r="AO1037" s="181">
        <v>1.0350075069363636</v>
      </c>
      <c r="AP1037" s="181">
        <v>1.0379098487361762</v>
      </c>
      <c r="AQ1037" s="181">
        <v>1.0351092290689616</v>
      </c>
      <c r="AR1037" s="181">
        <v>1.0351575643985429</v>
      </c>
      <c r="AS1037" s="181">
        <v>1.0352042467193698</v>
      </c>
      <c r="AT1037" s="181">
        <v>1.0381009474215781</v>
      </c>
      <c r="AU1037" s="181">
        <v>1.0352927598482071</v>
      </c>
      <c r="AV1037" s="181">
        <v>1.0353346497522693</v>
      </c>
      <c r="AW1037" s="181">
        <v>1.0353750043267034</v>
      </c>
      <c r="AX1037" s="181">
        <v>1.0382663801203633</v>
      </c>
      <c r="AY1037" s="181">
        <v>1.0354512437510661</v>
      </c>
      <c r="AZ1037" s="181">
        <v>1.0344893653690179</v>
      </c>
      <c r="BA1037" s="181">
        <v>1.0344893653690179</v>
      </c>
      <c r="BB1037" s="181">
        <v>1.0344893653690179</v>
      </c>
      <c r="BC1037" s="181">
        <v>1.0344893653690179</v>
      </c>
      <c r="BD1037" s="181">
        <v>1.0344893653690179</v>
      </c>
      <c r="BE1037" s="181">
        <v>1.0344893653690179</v>
      </c>
      <c r="BF1037" s="181">
        <v>1.0344893653690179</v>
      </c>
      <c r="BG1037" s="181">
        <v>1.0344893653690179</v>
      </c>
    </row>
    <row r="1038" spans="1:59" ht="16">
      <c r="A1038" s="141" t="s">
        <v>644</v>
      </c>
      <c r="F1038" s="168" t="s">
        <v>694</v>
      </c>
      <c r="AE1038" s="181">
        <v>0.371573220272222</v>
      </c>
      <c r="AF1038" s="181">
        <v>-1.2429743179902422</v>
      </c>
      <c r="AG1038" s="181">
        <v>-0.46269731305922046</v>
      </c>
      <c r="AH1038" s="181">
        <v>3.8686838533851851</v>
      </c>
      <c r="AI1038" s="181">
        <v>0.94054669473859509</v>
      </c>
      <c r="AJ1038" s="181">
        <v>0.93619383532365608</v>
      </c>
      <c r="AK1038" s="181">
        <v>0.93614168280813459</v>
      </c>
      <c r="AL1038" s="181">
        <v>0.93866870383254142</v>
      </c>
      <c r="AM1038" s="181">
        <v>0.93604179144233546</v>
      </c>
      <c r="AN1038" s="181">
        <v>0.9359940511517284</v>
      </c>
      <c r="AO1038" s="181">
        <v>0.93594777414660746</v>
      </c>
      <c r="AP1038" s="181">
        <v>0.93848064679280496</v>
      </c>
      <c r="AQ1038" s="181">
        <v>0.93585956936719672</v>
      </c>
      <c r="AR1038" s="181">
        <v>0.93581761390692331</v>
      </c>
      <c r="AS1038" s="181">
        <v>0.93577706683951289</v>
      </c>
      <c r="AT1038" s="181">
        <v>0.93831559677178866</v>
      </c>
      <c r="AU1038" s="181">
        <v>0.93570011522268071</v>
      </c>
      <c r="AV1038" s="181">
        <v>0.93566366432673342</v>
      </c>
      <c r="AW1038" s="181">
        <v>0.93562852957643083</v>
      </c>
      <c r="AX1038" s="181">
        <v>0.93817236573910068</v>
      </c>
      <c r="AY1038" s="181">
        <v>0.93556209847299332</v>
      </c>
      <c r="AZ1038" s="181">
        <v>0.93949967604969808</v>
      </c>
      <c r="BA1038" s="181">
        <v>0.93949967604969808</v>
      </c>
      <c r="BB1038" s="181">
        <v>0.93949967604969808</v>
      </c>
      <c r="BC1038" s="181">
        <v>0.93949967604969808</v>
      </c>
      <c r="BD1038" s="181">
        <v>0.93949967604969808</v>
      </c>
      <c r="BE1038" s="181">
        <v>0.93949967604969808</v>
      </c>
      <c r="BF1038" s="181">
        <v>0.93949967604969808</v>
      </c>
      <c r="BG1038" s="181">
        <v>0.93949967604969808</v>
      </c>
    </row>
    <row r="1039" spans="1:59" ht="16">
      <c r="A1039" s="141" t="s">
        <v>644</v>
      </c>
      <c r="F1039" s="168" t="s">
        <v>695</v>
      </c>
      <c r="AE1039" s="181">
        <v>0.29665835484190556</v>
      </c>
      <c r="AF1039" s="181">
        <v>8.9010490347488092E-3</v>
      </c>
      <c r="AG1039" s="181">
        <v>8.77533001933508E-2</v>
      </c>
      <c r="AH1039" s="181">
        <v>1.036398179087187</v>
      </c>
      <c r="AI1039" s="181">
        <v>1.0470196628522008</v>
      </c>
      <c r="AJ1039" s="181">
        <v>1.0500305518759414</v>
      </c>
      <c r="AK1039" s="181">
        <v>1.0498640954158116</v>
      </c>
      <c r="AL1039" s="181">
        <v>1.0525929751188101</v>
      </c>
      <c r="AM1039" s="181">
        <v>1.049545527551663</v>
      </c>
      <c r="AN1039" s="181">
        <v>1.0493933963410544</v>
      </c>
      <c r="AO1039" s="181">
        <v>1.0492460016634435</v>
      </c>
      <c r="AP1039" s="181">
        <v>1.0519927826805933</v>
      </c>
      <c r="AQ1039" s="181">
        <v>1.0489652650254</v>
      </c>
      <c r="AR1039" s="181">
        <v>1.0488318219109138</v>
      </c>
      <c r="AS1039" s="181">
        <v>1.0487029145713391</v>
      </c>
      <c r="AT1039" s="181">
        <v>1.0514670052306447</v>
      </c>
      <c r="AU1039" s="181">
        <v>1.0484584215954653</v>
      </c>
      <c r="AV1039" s="181">
        <v>1.0483426780089746</v>
      </c>
      <c r="AW1039" s="181">
        <v>1.0482311557129536</v>
      </c>
      <c r="AX1039" s="181">
        <v>1.0510114775802963</v>
      </c>
      <c r="AY1039" s="181">
        <v>1.0480204074610742</v>
      </c>
      <c r="AZ1039" s="181">
        <v>1.0617100094067913</v>
      </c>
      <c r="BA1039" s="181">
        <v>1.0617100094067913</v>
      </c>
      <c r="BB1039" s="181">
        <v>1.0617100094067913</v>
      </c>
      <c r="BC1039" s="181">
        <v>1.0617100094067913</v>
      </c>
      <c r="BD1039" s="181">
        <v>1.0617100094067913</v>
      </c>
      <c r="BE1039" s="181">
        <v>1.0617100094067913</v>
      </c>
      <c r="BF1039" s="181">
        <v>1.0617100094067913</v>
      </c>
      <c r="BG1039" s="181">
        <v>1.0617100094067913</v>
      </c>
    </row>
    <row r="1040" spans="1:59" ht="16">
      <c r="A1040" s="141" t="s">
        <v>644</v>
      </c>
      <c r="F1040" s="168" t="s">
        <v>696</v>
      </c>
      <c r="AE1040" s="181">
        <v>1.4706525208103813</v>
      </c>
      <c r="AF1040" s="181">
        <v>2.2396239934006341</v>
      </c>
      <c r="AG1040" s="181">
        <v>2.8193159407728192</v>
      </c>
      <c r="AH1040" s="181">
        <v>-0.85382329732510409</v>
      </c>
      <c r="AI1040" s="181">
        <v>0.96997510982506607</v>
      </c>
      <c r="AJ1040" s="181">
        <v>0.96781929562244839</v>
      </c>
      <c r="AK1040" s="181">
        <v>0.96798141916193836</v>
      </c>
      <c r="AL1040" s="181">
        <v>0.96008351231924249</v>
      </c>
      <c r="AM1040" s="181">
        <v>0.96829192497192007</v>
      </c>
      <c r="AN1040" s="181">
        <v>0.96844031306032241</v>
      </c>
      <c r="AO1040" s="181">
        <v>0.96858414712954588</v>
      </c>
      <c r="AP1040" s="181">
        <v>0.97139121003486584</v>
      </c>
      <c r="AQ1040" s="181">
        <v>0.95815598330677088</v>
      </c>
      <c r="AR1040" s="181">
        <v>0.9689886695747354</v>
      </c>
      <c r="AS1040" s="181">
        <v>0.96911467609933877</v>
      </c>
      <c r="AT1040" s="181">
        <v>0.97190598758582114</v>
      </c>
      <c r="AU1040" s="181">
        <v>0.9693538041855928</v>
      </c>
      <c r="AV1040" s="181">
        <v>0.95875586893126097</v>
      </c>
      <c r="AW1040" s="181">
        <v>0.96957624420989463</v>
      </c>
      <c r="AX1040" s="181">
        <v>0.97235265572559659</v>
      </c>
      <c r="AY1040" s="181">
        <v>0.96978265615049708</v>
      </c>
      <c r="AZ1040" s="181">
        <v>0.96394682384695252</v>
      </c>
      <c r="BA1040" s="181">
        <v>0.96394682384695252</v>
      </c>
      <c r="BB1040" s="181">
        <v>0.96394682384695252</v>
      </c>
      <c r="BC1040" s="181">
        <v>0.96394682384695252</v>
      </c>
      <c r="BD1040" s="181">
        <v>0.96394682384695252</v>
      </c>
      <c r="BE1040" s="181">
        <v>0.96394682384695252</v>
      </c>
      <c r="BF1040" s="181">
        <v>0.96394682384695252</v>
      </c>
      <c r="BG1040" s="181">
        <v>0.96394682384695252</v>
      </c>
    </row>
    <row r="1041" spans="1:59" ht="16">
      <c r="A1041" s="141" t="s">
        <v>644</v>
      </c>
      <c r="F1041" s="168" t="s">
        <v>697</v>
      </c>
      <c r="AE1041" s="181">
        <v>1.1654794057953557</v>
      </c>
      <c r="AF1041" s="181">
        <v>2.0592362762710601</v>
      </c>
      <c r="AG1041" s="181">
        <v>1.8245426493586017</v>
      </c>
      <c r="AH1041" s="181">
        <v>-0.13861738434393922</v>
      </c>
      <c r="AI1041" s="181">
        <v>1.026856056381696</v>
      </c>
      <c r="AJ1041" s="181">
        <v>1.0291625382650205</v>
      </c>
      <c r="AK1041" s="181">
        <v>1.0292243248670214</v>
      </c>
      <c r="AL1041" s="181">
        <v>1.032118466865213</v>
      </c>
      <c r="AM1041" s="181">
        <v>1.0293425680469837</v>
      </c>
      <c r="AN1041" s="181">
        <v>1.0293990322680238</v>
      </c>
      <c r="AO1041" s="181">
        <v>1.0294537369565149</v>
      </c>
      <c r="AP1041" s="181">
        <v>1.0323420012963604</v>
      </c>
      <c r="AQ1041" s="181">
        <v>1.0295579265052566</v>
      </c>
      <c r="AR1041" s="181">
        <v>1.0296074491679588</v>
      </c>
      <c r="AS1041" s="181">
        <v>1.0296552873268638</v>
      </c>
      <c r="AT1041" s="181">
        <v>1.0325378003300925</v>
      </c>
      <c r="AU1041" s="181">
        <v>1.0297460165981733</v>
      </c>
      <c r="AV1041" s="181">
        <v>1.0297889665468767</v>
      </c>
      <c r="AW1041" s="181">
        <v>1.0298303491385721</v>
      </c>
      <c r="AX1041" s="181">
        <v>1.0327074226265212</v>
      </c>
      <c r="AY1041" s="181">
        <v>1.0299085490183593</v>
      </c>
      <c r="AZ1041" s="181">
        <v>1.0344893653690179</v>
      </c>
      <c r="BA1041" s="181">
        <v>1.0344893653690179</v>
      </c>
      <c r="BB1041" s="181">
        <v>1.0344893653690179</v>
      </c>
      <c r="BC1041" s="181">
        <v>1.0344893653690179</v>
      </c>
      <c r="BD1041" s="181">
        <v>1.0344893653690179</v>
      </c>
      <c r="BE1041" s="181">
        <v>1.0344893653690179</v>
      </c>
      <c r="BF1041" s="181">
        <v>1.0344893653690179</v>
      </c>
      <c r="BG1041" s="181">
        <v>1.0344893653690179</v>
      </c>
    </row>
    <row r="1042" spans="1:59" ht="16">
      <c r="A1042" s="141" t="s">
        <v>644</v>
      </c>
      <c r="F1042" s="168" t="s">
        <v>698</v>
      </c>
      <c r="AE1042" s="181">
        <v>1.0945046295455951</v>
      </c>
      <c r="AF1042" s="181">
        <v>-0.32026892418272979</v>
      </c>
      <c r="AG1042" s="181">
        <v>-0.43094029649178833</v>
      </c>
      <c r="AH1042" s="181">
        <v>3.8643255242032239</v>
      </c>
      <c r="AI1042" s="181">
        <v>0.93937589153186662</v>
      </c>
      <c r="AJ1042" s="181">
        <v>0.93493940990632407</v>
      </c>
      <c r="AK1042" s="181">
        <v>0.93488863811610767</v>
      </c>
      <c r="AL1042" s="181">
        <v>0.93741350579015881</v>
      </c>
      <c r="AM1042" s="181">
        <v>0.93479135492349452</v>
      </c>
      <c r="AN1042" s="181">
        <v>0.93474484422757009</v>
      </c>
      <c r="AO1042" s="181">
        <v>0.93469974868785655</v>
      </c>
      <c r="AP1042" s="181">
        <v>0.93723029008768077</v>
      </c>
      <c r="AQ1042" s="181">
        <v>0.93461376732819235</v>
      </c>
      <c r="AR1042" s="181">
        <v>0.93457285634714793</v>
      </c>
      <c r="AS1042" s="181">
        <v>0.9345333106630066</v>
      </c>
      <c r="AT1042" s="181">
        <v>0.93706934915192308</v>
      </c>
      <c r="AU1042" s="181">
        <v>0.93445823778566595</v>
      </c>
      <c r="AV1042" s="181">
        <v>0.93442266689011377</v>
      </c>
      <c r="AW1042" s="181">
        <v>0.9343883743211262</v>
      </c>
      <c r="AX1042" s="181">
        <v>0.93692957788366782</v>
      </c>
      <c r="AY1042" s="181">
        <v>0.93432351935549696</v>
      </c>
      <c r="AZ1042" s="181">
        <v>0.93949967604969808</v>
      </c>
      <c r="BA1042" s="181">
        <v>0.93949967604969808</v>
      </c>
      <c r="BB1042" s="181">
        <v>0.93949967604969808</v>
      </c>
      <c r="BC1042" s="181">
        <v>0.93949967604969808</v>
      </c>
      <c r="BD1042" s="181">
        <v>0.93949967604969808</v>
      </c>
      <c r="BE1042" s="181">
        <v>0.93949967604969808</v>
      </c>
      <c r="BF1042" s="181">
        <v>0.93949967604969808</v>
      </c>
      <c r="BG1042" s="181">
        <v>0.93949967604969808</v>
      </c>
    </row>
    <row r="1043" spans="1:59" ht="16">
      <c r="A1043" s="141" t="s">
        <v>644</v>
      </c>
      <c r="F1043" s="168" t="s">
        <v>699</v>
      </c>
      <c r="AE1043" s="181">
        <v>0.29921574039252191</v>
      </c>
      <c r="AF1043" s="181">
        <v>1.3371263498711114E-2</v>
      </c>
      <c r="AG1043" s="181">
        <v>-0.18746147718056133</v>
      </c>
      <c r="AH1043" s="181">
        <v>1.0949152861659739</v>
      </c>
      <c r="AI1043" s="181">
        <v>1.0634816459376351</v>
      </c>
      <c r="AJ1043" s="181">
        <v>1.0677505845613053</v>
      </c>
      <c r="AK1043" s="181">
        <v>1.0675821150913938</v>
      </c>
      <c r="AL1043" s="181">
        <v>1.0703577449158799</v>
      </c>
      <c r="AM1043" s="181">
        <v>1.0672595832877194</v>
      </c>
      <c r="AN1043" s="181">
        <v>1.0671055074584299</v>
      </c>
      <c r="AO1043" s="181">
        <v>1.0669561968492471</v>
      </c>
      <c r="AP1043" s="181">
        <v>1.0697498299505055</v>
      </c>
      <c r="AQ1043" s="181">
        <v>1.0666717242484438</v>
      </c>
      <c r="AR1043" s="181">
        <v>1.0665364653968161</v>
      </c>
      <c r="AS1043" s="181">
        <v>1.0664057796050403</v>
      </c>
      <c r="AT1043" s="181">
        <v>1.0692168607769825</v>
      </c>
      <c r="AU1043" s="181">
        <v>1.0661578475371134</v>
      </c>
      <c r="AV1043" s="181">
        <v>1.0660404457321542</v>
      </c>
      <c r="AW1043" s="181">
        <v>1.065927307365153</v>
      </c>
      <c r="AX1043" s="181">
        <v>1.0687547797706802</v>
      </c>
      <c r="AY1043" s="181">
        <v>1.0657134560248476</v>
      </c>
      <c r="AZ1043" s="181">
        <v>1.0617100094067913</v>
      </c>
      <c r="BA1043" s="181">
        <v>1.0617100094067913</v>
      </c>
      <c r="BB1043" s="181">
        <v>1.0617100094067913</v>
      </c>
      <c r="BC1043" s="181">
        <v>1.0617100094067913</v>
      </c>
      <c r="BD1043" s="181">
        <v>1.0617100094067913</v>
      </c>
      <c r="BE1043" s="181">
        <v>1.0617100094067913</v>
      </c>
      <c r="BF1043" s="181">
        <v>1.0617100094067913</v>
      </c>
      <c r="BG1043" s="181">
        <v>1.0617100094067913</v>
      </c>
    </row>
    <row r="1044" spans="1:59" ht="16">
      <c r="A1044" s="141" t="s">
        <v>644</v>
      </c>
      <c r="F1044" s="168" t="s">
        <v>700</v>
      </c>
      <c r="AE1044" s="181">
        <v>1.3106324837148167</v>
      </c>
      <c r="AF1044" s="181">
        <v>-2.4212514767422748</v>
      </c>
      <c r="AG1044" s="181">
        <v>1.707256230033593E-3</v>
      </c>
      <c r="AH1044" s="181">
        <v>0.94255387035137461</v>
      </c>
      <c r="AI1044" s="181">
        <v>0.94176476563640121</v>
      </c>
      <c r="AJ1044" s="181">
        <v>0.94222794333864113</v>
      </c>
      <c r="AK1044" s="181">
        <v>0.94237162917669204</v>
      </c>
      <c r="AL1044" s="181">
        <v>0.93466744964088733</v>
      </c>
      <c r="AM1044" s="181">
        <v>0.94264574923586641</v>
      </c>
      <c r="AN1044" s="181">
        <v>0.94277625351071126</v>
      </c>
      <c r="AO1044" s="181">
        <v>0.94290244836398651</v>
      </c>
      <c r="AP1044" s="181">
        <v>0.94562172669822375</v>
      </c>
      <c r="AQ1044" s="181">
        <v>0.93272252632792729</v>
      </c>
      <c r="AR1044" s="181">
        <v>0.94325576529774668</v>
      </c>
      <c r="AS1044" s="181">
        <v>0.94336534309336306</v>
      </c>
      <c r="AT1044" s="181">
        <v>0.94606991679998098</v>
      </c>
      <c r="AU1044" s="181">
        <v>0.94357267262524058</v>
      </c>
      <c r="AV1044" s="181">
        <v>0.93324325318055479</v>
      </c>
      <c r="AW1044" s="181">
        <v>0.9437648064537344</v>
      </c>
      <c r="AX1044" s="181">
        <v>0.94645576866618142</v>
      </c>
      <c r="AY1044" s="181">
        <v>0.94394247273990761</v>
      </c>
      <c r="AZ1044" s="181">
        <v>0.96394682384695252</v>
      </c>
      <c r="BA1044" s="181">
        <v>0.96394682384695252</v>
      </c>
      <c r="BB1044" s="181">
        <v>0.96394682384695252</v>
      </c>
      <c r="BC1044" s="181">
        <v>0.96394682384695252</v>
      </c>
      <c r="BD1044" s="181">
        <v>0.96394682384695252</v>
      </c>
      <c r="BE1044" s="181">
        <v>0.96394682384695252</v>
      </c>
      <c r="BF1044" s="181">
        <v>0.96394682384695252</v>
      </c>
      <c r="BG1044" s="181">
        <v>0.96394682384695252</v>
      </c>
    </row>
    <row r="1045" spans="1:59" ht="16">
      <c r="A1045" s="141" t="s">
        <v>644</v>
      </c>
      <c r="F1045" s="168" t="s">
        <v>701</v>
      </c>
      <c r="AE1045" s="181">
        <v>1.7949633799240394</v>
      </c>
      <c r="AF1045" s="181">
        <v>2.4812511214601051E-2</v>
      </c>
      <c r="AG1045" s="181">
        <v>6.0210647153674905E-3</v>
      </c>
      <c r="AH1045" s="181">
        <v>1.0123767903779559</v>
      </c>
      <c r="AI1045" s="181">
        <v>1.0120587726413597</v>
      </c>
      <c r="AJ1045" s="181">
        <v>1.0122455368793888</v>
      </c>
      <c r="AK1045" s="181">
        <v>1.0123034174518171</v>
      </c>
      <c r="AL1045" s="181">
        <v>1.0151474598476105</v>
      </c>
      <c r="AM1045" s="181">
        <v>1.012413765699691</v>
      </c>
      <c r="AN1045" s="181">
        <v>1.0124662663056885</v>
      </c>
      <c r="AO1045" s="181">
        <v>1.0125170121334564</v>
      </c>
      <c r="AP1045" s="181">
        <v>1.015355064840826</v>
      </c>
      <c r="AQ1045" s="181">
        <v>1.0126133398868458</v>
      </c>
      <c r="AR1045" s="181">
        <v>1.012658978407325</v>
      </c>
      <c r="AS1045" s="181">
        <v>1.0127029747822467</v>
      </c>
      <c r="AT1045" s="181">
        <v>1.0155353259770374</v>
      </c>
      <c r="AU1045" s="181">
        <v>1.0127861764414994</v>
      </c>
      <c r="AV1045" s="181">
        <v>1.0128254531330863</v>
      </c>
      <c r="AW1045" s="181">
        <v>1.0128632300237761</v>
      </c>
      <c r="AX1045" s="181">
        <v>1.0156903058468554</v>
      </c>
      <c r="AY1045" s="181">
        <v>1.0129344387222612</v>
      </c>
      <c r="AZ1045" s="181">
        <v>1.0344893653690179</v>
      </c>
      <c r="BA1045" s="181">
        <v>1.0344893653690179</v>
      </c>
      <c r="BB1045" s="181">
        <v>1.0344893653690179</v>
      </c>
      <c r="BC1045" s="181">
        <v>1.0344893653690179</v>
      </c>
      <c r="BD1045" s="181">
        <v>1.0344893653690179</v>
      </c>
      <c r="BE1045" s="181">
        <v>1.0344893653690179</v>
      </c>
      <c r="BF1045" s="181">
        <v>1.0344893653690179</v>
      </c>
      <c r="BG1045" s="181">
        <v>1.0344893653690179</v>
      </c>
    </row>
    <row r="1046" spans="1:59" ht="16">
      <c r="A1046" s="141" t="s">
        <v>644</v>
      </c>
      <c r="F1046" s="168" t="s">
        <v>702</v>
      </c>
      <c r="AE1046" s="181">
        <v>0.71475408247747929</v>
      </c>
      <c r="AF1046" s="181">
        <v>6.4134356362411902</v>
      </c>
      <c r="AG1046" s="181">
        <v>1.4068013790876104</v>
      </c>
      <c r="AH1046" s="181">
        <v>0.95506517990194895</v>
      </c>
      <c r="AI1046" s="181">
        <v>0.95530242063964166</v>
      </c>
      <c r="AJ1046" s="181">
        <v>0.95516322080208771</v>
      </c>
      <c r="AK1046" s="181">
        <v>0.95512000827610966</v>
      </c>
      <c r="AL1046" s="181">
        <v>0.95770848486709992</v>
      </c>
      <c r="AM1046" s="181">
        <v>0.95503752885266691</v>
      </c>
      <c r="AN1046" s="181">
        <v>0.95499824340838868</v>
      </c>
      <c r="AO1046" s="181">
        <v>0.95496024402188007</v>
      </c>
      <c r="AP1046" s="181">
        <v>0.95755393487075813</v>
      </c>
      <c r="AQ1046" s="181">
        <v>0.95488803894885255</v>
      </c>
      <c r="AR1046" s="181">
        <v>0.95485379589055408</v>
      </c>
      <c r="AS1046" s="181">
        <v>0.95482076456130882</v>
      </c>
      <c r="AT1046" s="181">
        <v>0.95741938317653452</v>
      </c>
      <c r="AU1046" s="181">
        <v>0.95475824416641941</v>
      </c>
      <c r="AV1046" s="181">
        <v>0.95472870548971978</v>
      </c>
      <c r="AW1046" s="181">
        <v>0.95470027967789539</v>
      </c>
      <c r="AX1046" s="181">
        <v>0.95730343567679133</v>
      </c>
      <c r="AY1046" s="181">
        <v>0.95464665733395482</v>
      </c>
      <c r="AZ1046" s="181">
        <v>0.93949967604969808</v>
      </c>
      <c r="BA1046" s="181">
        <v>0.93949967604969808</v>
      </c>
      <c r="BB1046" s="181">
        <v>0.93949967604969808</v>
      </c>
      <c r="BC1046" s="181">
        <v>0.93949967604969808</v>
      </c>
      <c r="BD1046" s="181">
        <v>0.93949967604969808</v>
      </c>
      <c r="BE1046" s="181">
        <v>0.93949967604969808</v>
      </c>
      <c r="BF1046" s="181">
        <v>0.93949967604969808</v>
      </c>
      <c r="BG1046" s="181">
        <v>0.93949967604969808</v>
      </c>
    </row>
    <row r="1047" spans="1:59" ht="16">
      <c r="A1047" s="141" t="s">
        <v>644</v>
      </c>
      <c r="F1047" s="168" t="s">
        <v>703</v>
      </c>
      <c r="AE1047" s="181">
        <v>0.22190331915754033</v>
      </c>
      <c r="AF1047" s="181">
        <v>1.653661472370577E-2</v>
      </c>
      <c r="AG1047" s="181">
        <v>2.5776745273257178</v>
      </c>
      <c r="AH1047" s="181">
        <v>1.088964694839786</v>
      </c>
      <c r="AI1047" s="181">
        <v>1.0898111609219503</v>
      </c>
      <c r="AJ1047" s="181">
        <v>1.0893141783339468</v>
      </c>
      <c r="AK1047" s="181">
        <v>1.0891600840194404</v>
      </c>
      <c r="AL1047" s="181">
        <v>1.092010007112443</v>
      </c>
      <c r="AM1047" s="181">
        <v>1.0888662098789255</v>
      </c>
      <c r="AN1047" s="181">
        <v>1.0887263484473269</v>
      </c>
      <c r="AO1047" s="181">
        <v>1.0885911345287618</v>
      </c>
      <c r="AP1047" s="181">
        <v>1.0914587647301894</v>
      </c>
      <c r="AQ1047" s="181">
        <v>1.0883343924144968</v>
      </c>
      <c r="AR1047" s="181">
        <v>1.0882127184556138</v>
      </c>
      <c r="AS1047" s="181">
        <v>1.0880954019654108</v>
      </c>
      <c r="AT1047" s="181">
        <v>1.090979767483589</v>
      </c>
      <c r="AU1047" s="181">
        <v>1.0878734892367672</v>
      </c>
      <c r="AV1047" s="181">
        <v>1.0877687066174269</v>
      </c>
      <c r="AW1047" s="181">
        <v>1.0876679099622484</v>
      </c>
      <c r="AX1047" s="181">
        <v>1.0905676806182365</v>
      </c>
      <c r="AY1047" s="181">
        <v>1.0874778696433633</v>
      </c>
      <c r="AZ1047" s="181">
        <v>1.0617100094067913</v>
      </c>
      <c r="BA1047" s="181">
        <v>1.0617100094067913</v>
      </c>
      <c r="BB1047" s="181">
        <v>1.0617100094067913</v>
      </c>
      <c r="BC1047" s="181">
        <v>1.0617100094067913</v>
      </c>
      <c r="BD1047" s="181">
        <v>1.0617100094067913</v>
      </c>
      <c r="BE1047" s="181">
        <v>1.0617100094067913</v>
      </c>
      <c r="BF1047" s="181">
        <v>1.0617100094067913</v>
      </c>
      <c r="BG1047" s="181">
        <v>1.0617100094067913</v>
      </c>
    </row>
    <row r="1048" spans="1:59">
      <c r="A1048" s="141" t="s">
        <v>644</v>
      </c>
      <c r="F1048" s="168" t="s">
        <v>704</v>
      </c>
      <c r="AE1048" s="116">
        <v>0</v>
      </c>
      <c r="AF1048" s="116" t="e">
        <v>#VALUE!</v>
      </c>
      <c r="AG1048" s="116" t="e">
        <v>#VALUE!</v>
      </c>
      <c r="AH1048" s="116" t="e">
        <v>#VALUE!</v>
      </c>
      <c r="AI1048" s="116" t="e">
        <v>#VALUE!</v>
      </c>
      <c r="AJ1048" s="116" t="e">
        <v>#VALUE!</v>
      </c>
      <c r="AK1048" s="116" t="e">
        <v>#VALUE!</v>
      </c>
      <c r="AL1048" s="116" t="e">
        <v>#VALUE!</v>
      </c>
      <c r="AM1048" s="116" t="e">
        <v>#VALUE!</v>
      </c>
      <c r="AN1048" s="116" t="e">
        <v>#VALUE!</v>
      </c>
      <c r="AO1048" s="116" t="e">
        <v>#VALUE!</v>
      </c>
      <c r="AP1048" s="116" t="e">
        <v>#VALUE!</v>
      </c>
      <c r="AQ1048" s="116" t="e">
        <v>#VALUE!</v>
      </c>
      <c r="AR1048" s="116" t="e">
        <v>#VALUE!</v>
      </c>
      <c r="AS1048" s="116" t="e">
        <v>#VALUE!</v>
      </c>
      <c r="AT1048" s="116" t="e">
        <v>#VALUE!</v>
      </c>
      <c r="AU1048" s="116" t="e">
        <v>#VALUE!</v>
      </c>
      <c r="AV1048" s="116">
        <v>0.95408046724510098</v>
      </c>
      <c r="AW1048" s="116">
        <v>0.96488114839297501</v>
      </c>
      <c r="AX1048" s="116">
        <v>0.96767981134149395</v>
      </c>
      <c r="AY1048" s="116">
        <v>0.96515899314215425</v>
      </c>
      <c r="AZ1048" s="116">
        <v>0.96515899314215425</v>
      </c>
      <c r="BA1048" s="116">
        <v>0.96515899314215425</v>
      </c>
      <c r="BB1048" s="116">
        <v>0.96515899314215425</v>
      </c>
      <c r="BC1048" s="116">
        <v>0.96515899314215425</v>
      </c>
      <c r="BD1048" s="116">
        <v>0.96515899314215425</v>
      </c>
      <c r="BE1048" s="116">
        <v>0.96515899314215425</v>
      </c>
      <c r="BF1048" s="116">
        <v>0.96515899314215425</v>
      </c>
      <c r="BG1048" s="116">
        <v>0.96515899314215425</v>
      </c>
    </row>
    <row r="1049" spans="1:59">
      <c r="A1049" s="141" t="s">
        <v>644</v>
      </c>
      <c r="F1049" s="168" t="s">
        <v>705</v>
      </c>
      <c r="AE1049" s="116">
        <v>0</v>
      </c>
      <c r="AF1049" s="116" t="e">
        <v>#VALUE!</v>
      </c>
      <c r="AG1049" s="116" t="e">
        <v>#VALUE!</v>
      </c>
      <c r="AH1049" s="116" t="e">
        <v>#VALUE!</v>
      </c>
      <c r="AI1049" s="116" t="e">
        <v>#VALUE!</v>
      </c>
      <c r="AJ1049" s="116" t="e">
        <v>#VALUE!</v>
      </c>
      <c r="AK1049" s="116" t="e">
        <v>#VALUE!</v>
      </c>
      <c r="AL1049" s="116" t="e">
        <v>#VALUE!</v>
      </c>
      <c r="AM1049" s="116" t="e">
        <v>#VALUE!</v>
      </c>
      <c r="AN1049" s="116" t="e">
        <v>#VALUE!</v>
      </c>
      <c r="AO1049" s="116" t="e">
        <v>#VALUE!</v>
      </c>
      <c r="AP1049" s="116" t="e">
        <v>#VALUE!</v>
      </c>
      <c r="AQ1049" s="116" t="e">
        <v>#VALUE!</v>
      </c>
      <c r="AR1049" s="116" t="e">
        <v>#VALUE!</v>
      </c>
      <c r="AS1049" s="116" t="e">
        <v>#VALUE!</v>
      </c>
      <c r="AT1049" s="116" t="e">
        <v>#VALUE!</v>
      </c>
      <c r="AU1049" s="116" t="e">
        <v>#VALUE!</v>
      </c>
      <c r="AV1049" s="116">
        <v>1.0149818140982525</v>
      </c>
      <c r="AW1049" s="116">
        <v>1.0150370331798777</v>
      </c>
      <c r="AX1049" s="116">
        <v>1.0178860455312304</v>
      </c>
      <c r="AY1049" s="116">
        <v>1.0151422660837481</v>
      </c>
      <c r="AZ1049" s="116">
        <v>1.0151422660837481</v>
      </c>
      <c r="BA1049" s="116">
        <v>1.0151422660837481</v>
      </c>
      <c r="BB1049" s="116">
        <v>1.0151422660837481</v>
      </c>
      <c r="BC1049" s="116">
        <v>1.0151422660837481</v>
      </c>
      <c r="BD1049" s="116">
        <v>1.0151422660837481</v>
      </c>
      <c r="BE1049" s="116">
        <v>1.0151422660837481</v>
      </c>
      <c r="BF1049" s="116">
        <v>1.0151422660837481</v>
      </c>
      <c r="BG1049" s="116">
        <v>1.0151422660837481</v>
      </c>
    </row>
    <row r="1050" spans="1:59">
      <c r="A1050" s="141" t="s">
        <v>644</v>
      </c>
      <c r="F1050" s="168" t="s">
        <v>706</v>
      </c>
      <c r="AE1050" s="116">
        <v>0</v>
      </c>
      <c r="AF1050" s="116" t="e">
        <v>#VALUE!</v>
      </c>
      <c r="AG1050" s="116" t="e">
        <v>#VALUE!</v>
      </c>
      <c r="AH1050" s="116" t="e">
        <v>#VALUE!</v>
      </c>
      <c r="AI1050" s="116" t="e">
        <v>#VALUE!</v>
      </c>
      <c r="AJ1050" s="116" t="e">
        <v>#VALUE!</v>
      </c>
      <c r="AK1050" s="116" t="e">
        <v>#VALUE!</v>
      </c>
      <c r="AL1050" s="116" t="e">
        <v>#VALUE!</v>
      </c>
      <c r="AM1050" s="116" t="e">
        <v>#VALUE!</v>
      </c>
      <c r="AN1050" s="116" t="e">
        <v>#VALUE!</v>
      </c>
      <c r="AO1050" s="116" t="e">
        <v>#VALUE!</v>
      </c>
      <c r="AP1050" s="116" t="e">
        <v>#VALUE!</v>
      </c>
      <c r="AQ1050" s="116" t="e">
        <v>#VALUE!</v>
      </c>
      <c r="AR1050" s="116" t="e">
        <v>#VALUE!</v>
      </c>
      <c r="AS1050" s="116" t="e">
        <v>#VALUE!</v>
      </c>
      <c r="AT1050" s="116" t="e">
        <v>#VALUE!</v>
      </c>
      <c r="AU1050" s="116" t="e">
        <v>#VALUE!</v>
      </c>
      <c r="AV1050" s="116">
        <v>0.96206768726531566</v>
      </c>
      <c r="AW1050" s="116">
        <v>0.96202221039318669</v>
      </c>
      <c r="AX1050" s="116">
        <v>0.96462754718016064</v>
      </c>
      <c r="AY1050" s="116">
        <v>0.9619354454944784</v>
      </c>
      <c r="AZ1050" s="116">
        <v>0.9619354454944784</v>
      </c>
      <c r="BA1050" s="116">
        <v>0.9619354454944784</v>
      </c>
      <c r="BB1050" s="116">
        <v>0.9619354454944784</v>
      </c>
      <c r="BC1050" s="116">
        <v>0.9619354454944784</v>
      </c>
      <c r="BD1050" s="116">
        <v>0.9619354454944784</v>
      </c>
      <c r="BE1050" s="116">
        <v>0.9619354454944784</v>
      </c>
      <c r="BF1050" s="116">
        <v>0.9619354454944784</v>
      </c>
      <c r="BG1050" s="116">
        <v>0.9619354454944784</v>
      </c>
    </row>
    <row r="1051" spans="1:59">
      <c r="A1051" s="141" t="s">
        <v>644</v>
      </c>
      <c r="F1051" s="168" t="s">
        <v>707</v>
      </c>
      <c r="AE1051" s="116">
        <v>0</v>
      </c>
      <c r="AF1051" s="116" t="e">
        <v>#VALUE!</v>
      </c>
      <c r="AG1051" s="116" t="e">
        <v>#VALUE!</v>
      </c>
      <c r="AH1051" s="116" t="e">
        <v>#VALUE!</v>
      </c>
      <c r="AI1051" s="116" t="e">
        <v>#VALUE!</v>
      </c>
      <c r="AJ1051" s="116" t="e">
        <v>#VALUE!</v>
      </c>
      <c r="AK1051" s="116" t="e">
        <v>#VALUE!</v>
      </c>
      <c r="AL1051" s="116" t="e">
        <v>#VALUE!</v>
      </c>
      <c r="AM1051" s="116" t="e">
        <v>#VALUE!</v>
      </c>
      <c r="AN1051" s="116" t="e">
        <v>#VALUE!</v>
      </c>
      <c r="AO1051" s="116" t="e">
        <v>#VALUE!</v>
      </c>
      <c r="AP1051" s="116" t="e">
        <v>#VALUE!</v>
      </c>
      <c r="AQ1051" s="116" t="e">
        <v>#VALUE!</v>
      </c>
      <c r="AR1051" s="116" t="e">
        <v>#VALUE!</v>
      </c>
      <c r="AS1051" s="116" t="e">
        <v>#VALUE!</v>
      </c>
      <c r="AT1051" s="116" t="e">
        <v>#VALUE!</v>
      </c>
      <c r="AU1051" s="116" t="e">
        <v>#VALUE!</v>
      </c>
      <c r="AV1051" s="116">
        <v>1.0576459146532273</v>
      </c>
      <c r="AW1051" s="116">
        <v>1.0574944497390799</v>
      </c>
      <c r="AX1051" s="116">
        <v>1.0602597988351747</v>
      </c>
      <c r="AY1051" s="116">
        <v>1.0572056991610173</v>
      </c>
      <c r="AZ1051" s="116">
        <v>1.0572056991610173</v>
      </c>
      <c r="BA1051" s="116">
        <v>1.0572056991610173</v>
      </c>
      <c r="BB1051" s="116">
        <v>1.0572056991610173</v>
      </c>
      <c r="BC1051" s="116">
        <v>1.0572056991610173</v>
      </c>
      <c r="BD1051" s="116">
        <v>1.0572056991610173</v>
      </c>
      <c r="BE1051" s="116">
        <v>1.0572056991610173</v>
      </c>
      <c r="BF1051" s="116">
        <v>1.0572056991610173</v>
      </c>
      <c r="BG1051" s="116">
        <v>1.0572056991610173</v>
      </c>
    </row>
    <row r="1052" spans="1:59">
      <c r="AE1052" s="143"/>
      <c r="AF1052" s="143"/>
      <c r="AG1052" s="143"/>
      <c r="AH1052" s="143"/>
      <c r="AI1052" s="143"/>
      <c r="AJ1052" s="143"/>
      <c r="AK1052" s="143"/>
      <c r="AL1052" s="143"/>
      <c r="AM1052" s="143"/>
      <c r="AN1052" s="143"/>
      <c r="AO1052" s="143"/>
      <c r="AP1052" s="143"/>
      <c r="AQ1052" s="143"/>
      <c r="AR1052" s="143"/>
      <c r="AS1052" s="143"/>
      <c r="AT1052" s="143"/>
      <c r="AU1052" s="143"/>
      <c r="AV1052" s="143"/>
      <c r="AW1052" s="143"/>
      <c r="AX1052" s="143"/>
      <c r="AY1052" s="143"/>
      <c r="AZ1052" s="143"/>
      <c r="BA1052" s="143"/>
      <c r="BB1052" s="143"/>
      <c r="BC1052" s="143"/>
      <c r="BD1052" s="143"/>
      <c r="BE1052" s="143"/>
      <c r="BF1052" s="143"/>
      <c r="BG1052" s="143"/>
    </row>
    <row r="1053" spans="1:59">
      <c r="AE1053" s="143"/>
      <c r="AF1053" s="143"/>
      <c r="AG1053" s="143"/>
      <c r="AH1053" s="143"/>
      <c r="AI1053" s="143"/>
      <c r="AJ1053" s="143"/>
      <c r="AK1053" s="143"/>
      <c r="AL1053" s="143"/>
      <c r="AM1053" s="143"/>
      <c r="AN1053" s="143"/>
      <c r="AO1053" s="143"/>
      <c r="AP1053" s="143"/>
      <c r="AQ1053" s="143"/>
      <c r="AR1053" s="143"/>
      <c r="AS1053" s="143"/>
      <c r="AT1053" s="143"/>
      <c r="AU1053" s="143"/>
      <c r="AV1053" s="143"/>
      <c r="AW1053" s="143"/>
      <c r="AX1053" s="143"/>
      <c r="AY1053" s="143"/>
      <c r="AZ1053" s="143"/>
      <c r="BA1053" s="143"/>
      <c r="BB1053" s="143"/>
      <c r="BC1053" s="143"/>
      <c r="BD1053" s="143"/>
      <c r="BE1053" s="143"/>
      <c r="BF1053" s="143"/>
      <c r="BG1053" s="143"/>
    </row>
    <row r="1054" spans="1:59">
      <c r="AE1054" s="143"/>
      <c r="AF1054" s="143"/>
      <c r="AG1054" s="143"/>
      <c r="AH1054" s="143"/>
      <c r="AI1054" s="143"/>
      <c r="AJ1054" s="143"/>
      <c r="AK1054" s="143"/>
      <c r="AL1054" s="143"/>
      <c r="AM1054" s="143"/>
      <c r="AN1054" s="143"/>
      <c r="AO1054" s="143"/>
      <c r="AP1054" s="143"/>
      <c r="AQ1054" s="143"/>
      <c r="AR1054" s="143"/>
      <c r="AS1054" s="143"/>
      <c r="AT1054" s="143"/>
      <c r="AU1054" s="143"/>
      <c r="AV1054" s="143"/>
      <c r="AW1054" s="143"/>
      <c r="AX1054" s="143"/>
      <c r="AY1054" s="143"/>
      <c r="AZ1054" s="143"/>
      <c r="BA1054" s="143"/>
      <c r="BB1054" s="143"/>
      <c r="BC1054" s="143"/>
      <c r="BD1054" s="143"/>
      <c r="BE1054" s="143"/>
      <c r="BF1054" s="143"/>
      <c r="BG1054" s="143"/>
    </row>
    <row r="1055" spans="1:59">
      <c r="AE1055" s="143"/>
      <c r="AF1055" s="143"/>
      <c r="AG1055" s="143"/>
      <c r="AH1055" s="143"/>
      <c r="AI1055" s="143"/>
      <c r="AJ1055" s="143"/>
      <c r="AK1055" s="143"/>
      <c r="AL1055" s="143"/>
      <c r="AM1055" s="143"/>
      <c r="AN1055" s="143"/>
      <c r="AO1055" s="143"/>
      <c r="AP1055" s="143"/>
      <c r="AQ1055" s="143"/>
      <c r="AR1055" s="143"/>
      <c r="AS1055" s="143"/>
      <c r="AT1055" s="143"/>
      <c r="AU1055" s="143"/>
      <c r="AV1055" s="143"/>
      <c r="AW1055" s="143"/>
      <c r="AX1055" s="143"/>
      <c r="AY1055" s="143"/>
      <c r="AZ1055" s="143"/>
      <c r="BA1055" s="143"/>
      <c r="BB1055" s="143"/>
      <c r="BC1055" s="143"/>
      <c r="BD1055" s="143"/>
      <c r="BE1055" s="143"/>
      <c r="BF1055" s="143"/>
      <c r="BG1055" s="143"/>
    </row>
    <row r="1056" spans="1:59">
      <c r="AE1056" s="143"/>
      <c r="AF1056" s="143"/>
      <c r="AG1056" s="143"/>
      <c r="AH1056" s="143"/>
      <c r="AI1056" s="143"/>
      <c r="AJ1056" s="143"/>
      <c r="AK1056" s="143"/>
      <c r="AL1056" s="143"/>
      <c r="AM1056" s="143"/>
      <c r="AN1056" s="143"/>
      <c r="AO1056" s="143"/>
      <c r="AP1056" s="143"/>
      <c r="AQ1056" s="143"/>
      <c r="AR1056" s="143"/>
      <c r="AS1056" s="143"/>
      <c r="AT1056" s="143"/>
      <c r="AU1056" s="143"/>
      <c r="AV1056" s="143"/>
      <c r="AW1056" s="143"/>
      <c r="AX1056" s="143"/>
      <c r="AY1056" s="143"/>
      <c r="AZ1056" s="143"/>
      <c r="BA1056" s="143"/>
      <c r="BB1056" s="143"/>
      <c r="BC1056" s="143"/>
      <c r="BD1056" s="143"/>
      <c r="BE1056" s="143"/>
      <c r="BF1056" s="143"/>
      <c r="BG1056" s="143"/>
    </row>
    <row r="1057" spans="31:59">
      <c r="AE1057" s="143"/>
      <c r="AF1057" s="143"/>
      <c r="AG1057" s="143"/>
      <c r="AH1057" s="143"/>
      <c r="AI1057" s="143"/>
      <c r="AJ1057" s="143"/>
      <c r="AK1057" s="143"/>
      <c r="AL1057" s="143"/>
      <c r="AM1057" s="143"/>
      <c r="AN1057" s="143"/>
      <c r="AO1057" s="143"/>
      <c r="AP1057" s="143"/>
      <c r="AQ1057" s="143"/>
      <c r="AR1057" s="143"/>
      <c r="AS1057" s="143"/>
      <c r="AT1057" s="143"/>
      <c r="AU1057" s="143"/>
      <c r="AV1057" s="143"/>
      <c r="AW1057" s="143"/>
      <c r="AX1057" s="143"/>
      <c r="AY1057" s="143"/>
      <c r="AZ1057" s="143"/>
      <c r="BA1057" s="143"/>
      <c r="BB1057" s="143"/>
      <c r="BC1057" s="143"/>
      <c r="BD1057" s="143"/>
      <c r="BE1057" s="143"/>
      <c r="BF1057" s="143"/>
      <c r="BG1057" s="143"/>
    </row>
    <row r="1058" spans="31:59">
      <c r="AE1058" s="143"/>
      <c r="AF1058" s="143"/>
      <c r="AG1058" s="143"/>
      <c r="AH1058" s="143"/>
      <c r="AI1058" s="143"/>
      <c r="AJ1058" s="143"/>
      <c r="AK1058" s="143"/>
      <c r="AL1058" s="143"/>
      <c r="AM1058" s="143"/>
      <c r="AN1058" s="143"/>
      <c r="AO1058" s="143"/>
      <c r="AP1058" s="143"/>
      <c r="AQ1058" s="143"/>
      <c r="AR1058" s="143"/>
      <c r="AS1058" s="143"/>
      <c r="AT1058" s="143"/>
      <c r="AU1058" s="143"/>
      <c r="AV1058" s="143"/>
      <c r="AW1058" s="143"/>
      <c r="AX1058" s="143"/>
      <c r="AY1058" s="143"/>
      <c r="AZ1058" s="143"/>
      <c r="BA1058" s="143"/>
      <c r="BB1058" s="143"/>
      <c r="BC1058" s="143"/>
      <c r="BD1058" s="143"/>
      <c r="BE1058" s="143"/>
      <c r="BF1058" s="143"/>
      <c r="BG1058" s="143"/>
    </row>
    <row r="1059" spans="31:59">
      <c r="AE1059" s="143"/>
      <c r="AF1059" s="143"/>
      <c r="AG1059" s="143"/>
      <c r="AH1059" s="143"/>
      <c r="AI1059" s="143"/>
      <c r="AJ1059" s="143"/>
      <c r="AK1059" s="143"/>
      <c r="AL1059" s="143"/>
      <c r="AM1059" s="143"/>
      <c r="AN1059" s="143"/>
      <c r="AO1059" s="143"/>
      <c r="AP1059" s="143"/>
      <c r="AQ1059" s="143"/>
      <c r="AR1059" s="143"/>
      <c r="AS1059" s="143"/>
      <c r="AT1059" s="143"/>
      <c r="AU1059" s="143"/>
      <c r="AV1059" s="143"/>
      <c r="AW1059" s="143"/>
      <c r="AX1059" s="143"/>
      <c r="AY1059" s="143"/>
      <c r="AZ1059" s="143"/>
      <c r="BA1059" s="143"/>
      <c r="BB1059" s="143"/>
      <c r="BC1059" s="143"/>
      <c r="BD1059" s="143"/>
      <c r="BE1059" s="143"/>
      <c r="BF1059" s="143"/>
      <c r="BG1059" s="143"/>
    </row>
    <row r="1060" spans="31:59">
      <c r="AE1060" s="143"/>
      <c r="AF1060" s="143"/>
      <c r="AG1060" s="143"/>
      <c r="AH1060" s="143"/>
      <c r="AI1060" s="143"/>
      <c r="AJ1060" s="143"/>
      <c r="AK1060" s="143"/>
      <c r="AL1060" s="143"/>
      <c r="AM1060" s="143"/>
      <c r="AN1060" s="143"/>
      <c r="AO1060" s="143"/>
      <c r="AP1060" s="143"/>
      <c r="AQ1060" s="143"/>
      <c r="AR1060" s="143"/>
      <c r="AS1060" s="143"/>
      <c r="AT1060" s="143"/>
      <c r="AU1060" s="143"/>
      <c r="AV1060" s="143"/>
      <c r="AW1060" s="143"/>
      <c r="AX1060" s="143"/>
      <c r="AY1060" s="143"/>
      <c r="AZ1060" s="143"/>
      <c r="BA1060" s="143"/>
      <c r="BB1060" s="143"/>
      <c r="BC1060" s="143"/>
      <c r="BD1060" s="143"/>
      <c r="BE1060" s="143"/>
      <c r="BF1060" s="143"/>
      <c r="BG1060" s="143"/>
    </row>
    <row r="1061" spans="31:59">
      <c r="AE1061" s="143"/>
      <c r="AF1061" s="143"/>
      <c r="AG1061" s="143"/>
      <c r="AH1061" s="143"/>
      <c r="AI1061" s="143"/>
      <c r="AJ1061" s="143"/>
      <c r="AK1061" s="143"/>
      <c r="AL1061" s="143"/>
      <c r="AM1061" s="143"/>
      <c r="AN1061" s="143"/>
      <c r="AO1061" s="143"/>
      <c r="AP1061" s="143"/>
      <c r="AQ1061" s="143"/>
      <c r="AR1061" s="143"/>
      <c r="AS1061" s="143"/>
      <c r="AT1061" s="143"/>
      <c r="AU1061" s="143"/>
      <c r="AV1061" s="143"/>
      <c r="AW1061" s="143"/>
      <c r="AX1061" s="143"/>
      <c r="AY1061" s="143"/>
      <c r="AZ1061" s="143"/>
      <c r="BA1061" s="143"/>
      <c r="BB1061" s="143"/>
      <c r="BC1061" s="143"/>
      <c r="BD1061" s="143"/>
      <c r="BE1061" s="143"/>
      <c r="BF1061" s="143"/>
      <c r="BG1061" s="143"/>
    </row>
    <row r="1062" spans="31:59">
      <c r="AE1062" s="143"/>
      <c r="AF1062" s="143"/>
      <c r="AG1062" s="143"/>
      <c r="AH1062" s="143"/>
      <c r="AI1062" s="143"/>
      <c r="AJ1062" s="143"/>
      <c r="AK1062" s="143"/>
      <c r="AL1062" s="143"/>
      <c r="AM1062" s="143"/>
      <c r="AN1062" s="143"/>
      <c r="AO1062" s="143"/>
      <c r="AP1062" s="143"/>
      <c r="AQ1062" s="143"/>
      <c r="AR1062" s="143"/>
      <c r="AS1062" s="143"/>
      <c r="AT1062" s="143"/>
      <c r="AU1062" s="143"/>
      <c r="AV1062" s="143"/>
      <c r="AW1062" s="143"/>
      <c r="AX1062" s="143"/>
      <c r="AY1062" s="143"/>
      <c r="AZ1062" s="143"/>
      <c r="BA1062" s="143"/>
      <c r="BB1062" s="143"/>
      <c r="BC1062" s="143"/>
      <c r="BD1062" s="143"/>
      <c r="BE1062" s="143"/>
      <c r="BF1062" s="143"/>
      <c r="BG1062" s="143"/>
    </row>
    <row r="1063" spans="31:59">
      <c r="AE1063" s="143"/>
      <c r="AF1063" s="143"/>
      <c r="AG1063" s="143"/>
      <c r="AH1063" s="143"/>
      <c r="AI1063" s="143"/>
      <c r="AJ1063" s="143"/>
      <c r="AK1063" s="143"/>
      <c r="AL1063" s="143"/>
      <c r="AM1063" s="143"/>
      <c r="AN1063" s="143"/>
      <c r="AO1063" s="143"/>
      <c r="AP1063" s="143"/>
      <c r="AQ1063" s="143"/>
      <c r="AR1063" s="143"/>
      <c r="AS1063" s="143"/>
      <c r="AT1063" s="143"/>
      <c r="AU1063" s="143"/>
      <c r="AV1063" s="143"/>
      <c r="AW1063" s="143"/>
      <c r="AX1063" s="143"/>
      <c r="AY1063" s="143"/>
      <c r="AZ1063" s="143"/>
      <c r="BA1063" s="143"/>
      <c r="BB1063" s="143"/>
      <c r="BC1063" s="143"/>
      <c r="BD1063" s="143"/>
      <c r="BE1063" s="143"/>
      <c r="BF1063" s="143"/>
      <c r="BG1063" s="143"/>
    </row>
    <row r="1064" spans="31:59">
      <c r="AE1064" s="143"/>
      <c r="AF1064" s="143"/>
      <c r="AG1064" s="143"/>
      <c r="AH1064" s="143"/>
      <c r="AI1064" s="143"/>
      <c r="AJ1064" s="143"/>
      <c r="AK1064" s="143"/>
      <c r="AL1064" s="143"/>
      <c r="AM1064" s="143"/>
      <c r="AN1064" s="143"/>
      <c r="AO1064" s="143"/>
      <c r="AP1064" s="143"/>
      <c r="AQ1064" s="143"/>
      <c r="AR1064" s="143"/>
      <c r="AS1064" s="143"/>
      <c r="AT1064" s="143"/>
      <c r="AU1064" s="143"/>
      <c r="AV1064" s="143"/>
      <c r="AW1064" s="143"/>
      <c r="AX1064" s="143"/>
      <c r="AY1064" s="143"/>
      <c r="AZ1064" s="143"/>
      <c r="BA1064" s="143"/>
      <c r="BB1064" s="143"/>
      <c r="BC1064" s="143"/>
      <c r="BD1064" s="143"/>
      <c r="BE1064" s="143"/>
      <c r="BF1064" s="143"/>
      <c r="BG1064" s="143"/>
    </row>
    <row r="1065" spans="31:59">
      <c r="AE1065" s="143"/>
      <c r="AF1065" s="143"/>
      <c r="AG1065" s="143"/>
      <c r="AH1065" s="143"/>
      <c r="AI1065" s="143"/>
      <c r="AJ1065" s="143"/>
      <c r="AK1065" s="143"/>
      <c r="AL1065" s="143"/>
      <c r="AM1065" s="143"/>
      <c r="AN1065" s="143"/>
      <c r="AO1065" s="143"/>
      <c r="AP1065" s="143"/>
      <c r="AQ1065" s="143"/>
      <c r="AR1065" s="143"/>
      <c r="AS1065" s="143"/>
      <c r="AT1065" s="143"/>
      <c r="AU1065" s="143"/>
      <c r="AV1065" s="143"/>
      <c r="AW1065" s="143"/>
      <c r="AX1065" s="143"/>
      <c r="AY1065" s="143"/>
      <c r="AZ1065" s="143"/>
      <c r="BA1065" s="143"/>
      <c r="BB1065" s="143"/>
      <c r="BC1065" s="143"/>
      <c r="BD1065" s="143"/>
      <c r="BE1065" s="143"/>
      <c r="BF1065" s="143"/>
      <c r="BG1065" s="143"/>
    </row>
    <row r="1066" spans="31:59">
      <c r="AE1066" s="143"/>
      <c r="AF1066" s="143"/>
      <c r="AG1066" s="143"/>
      <c r="AH1066" s="143"/>
      <c r="AI1066" s="143"/>
      <c r="AJ1066" s="143"/>
      <c r="AK1066" s="143"/>
      <c r="AL1066" s="143"/>
      <c r="AM1066" s="143"/>
      <c r="AN1066" s="143"/>
      <c r="AO1066" s="143"/>
      <c r="AP1066" s="143"/>
      <c r="AQ1066" s="143"/>
      <c r="AR1066" s="143"/>
      <c r="AS1066" s="143"/>
      <c r="AT1066" s="143"/>
      <c r="AU1066" s="143"/>
      <c r="AV1066" s="143"/>
      <c r="AW1066" s="143"/>
      <c r="AX1066" s="143"/>
      <c r="AY1066" s="143"/>
      <c r="AZ1066" s="143"/>
      <c r="BA1066" s="143"/>
      <c r="BB1066" s="143"/>
      <c r="BC1066" s="143"/>
      <c r="BD1066" s="143"/>
      <c r="BE1066" s="143"/>
      <c r="BF1066" s="143"/>
      <c r="BG1066" s="143"/>
    </row>
    <row r="1067" spans="31:59">
      <c r="AE1067" s="143"/>
      <c r="AF1067" s="143"/>
      <c r="AG1067" s="143"/>
      <c r="AH1067" s="143"/>
      <c r="AI1067" s="143"/>
      <c r="AJ1067" s="143"/>
      <c r="AK1067" s="143"/>
      <c r="AL1067" s="143"/>
      <c r="AM1067" s="143"/>
      <c r="AN1067" s="143"/>
      <c r="AO1067" s="143"/>
      <c r="AP1067" s="143"/>
      <c r="AQ1067" s="143"/>
      <c r="AR1067" s="143"/>
      <c r="AS1067" s="143"/>
      <c r="AT1067" s="143"/>
      <c r="AU1067" s="143"/>
      <c r="AV1067" s="143"/>
      <c r="AW1067" s="143"/>
      <c r="AX1067" s="143"/>
      <c r="AY1067" s="143"/>
      <c r="AZ1067" s="143"/>
      <c r="BA1067" s="143"/>
      <c r="BB1067" s="143"/>
      <c r="BC1067" s="143"/>
      <c r="BD1067" s="143"/>
      <c r="BE1067" s="143"/>
      <c r="BF1067" s="143"/>
      <c r="BG1067" s="143"/>
    </row>
    <row r="1068" spans="31:59">
      <c r="AE1068" s="143"/>
      <c r="AF1068" s="143"/>
      <c r="AG1068" s="143"/>
      <c r="AH1068" s="143"/>
      <c r="AI1068" s="143"/>
      <c r="AJ1068" s="143"/>
      <c r="AK1068" s="143"/>
      <c r="AL1068" s="143"/>
      <c r="AM1068" s="143"/>
      <c r="AN1068" s="143"/>
      <c r="AO1068" s="143"/>
      <c r="AP1068" s="143"/>
      <c r="AQ1068" s="143"/>
      <c r="AR1068" s="143"/>
      <c r="AS1068" s="143"/>
      <c r="AT1068" s="143"/>
      <c r="AU1068" s="143"/>
      <c r="AV1068" s="143"/>
      <c r="AW1068" s="143"/>
      <c r="AX1068" s="143"/>
      <c r="AY1068" s="143"/>
      <c r="AZ1068" s="143"/>
      <c r="BA1068" s="143"/>
      <c r="BB1068" s="143"/>
      <c r="BC1068" s="143"/>
      <c r="BD1068" s="143"/>
      <c r="BE1068" s="143"/>
      <c r="BF1068" s="143"/>
      <c r="BG1068" s="143"/>
    </row>
    <row r="1069" spans="31:59">
      <c r="AE1069" s="143"/>
      <c r="AF1069" s="143"/>
      <c r="AG1069" s="143"/>
      <c r="AH1069" s="143"/>
      <c r="AI1069" s="143"/>
      <c r="AJ1069" s="143"/>
      <c r="AK1069" s="143"/>
      <c r="AL1069" s="143"/>
      <c r="AM1069" s="143"/>
      <c r="AN1069" s="143"/>
      <c r="AO1069" s="143"/>
      <c r="AP1069" s="143"/>
      <c r="AQ1069" s="143"/>
      <c r="AR1069" s="143"/>
      <c r="AS1069" s="143"/>
      <c r="AT1069" s="143"/>
      <c r="AU1069" s="143"/>
      <c r="AV1069" s="143"/>
      <c r="AW1069" s="143"/>
      <c r="AX1069" s="143"/>
      <c r="AY1069" s="143"/>
      <c r="AZ1069" s="143"/>
      <c r="BA1069" s="143"/>
      <c r="BB1069" s="143"/>
      <c r="BC1069" s="143"/>
      <c r="BD1069" s="143"/>
      <c r="BE1069" s="143"/>
      <c r="BF1069" s="143"/>
      <c r="BG1069" s="143"/>
    </row>
    <row r="1070" spans="31:59">
      <c r="AE1070" s="143"/>
      <c r="AF1070" s="143"/>
      <c r="AG1070" s="143"/>
      <c r="AH1070" s="143"/>
      <c r="AI1070" s="143"/>
      <c r="AJ1070" s="143"/>
      <c r="AK1070" s="143"/>
      <c r="AL1070" s="143"/>
      <c r="AM1070" s="143"/>
      <c r="AN1070" s="143"/>
      <c r="AO1070" s="143"/>
      <c r="AP1070" s="143"/>
      <c r="AQ1070" s="143"/>
      <c r="AR1070" s="143"/>
      <c r="AS1070" s="143"/>
      <c r="AT1070" s="143"/>
      <c r="AU1070" s="143"/>
      <c r="AV1070" s="143"/>
      <c r="AW1070" s="143"/>
      <c r="AX1070" s="143"/>
      <c r="AY1070" s="143"/>
      <c r="AZ1070" s="143"/>
      <c r="BA1070" s="143"/>
      <c r="BB1070" s="143"/>
      <c r="BC1070" s="143"/>
      <c r="BD1070" s="143"/>
      <c r="BE1070" s="143"/>
      <c r="BF1070" s="143"/>
      <c r="BG1070" s="143"/>
    </row>
    <row r="1072" spans="31:59">
      <c r="AI1072" s="116"/>
      <c r="AJ1072" s="116"/>
      <c r="AK1072" s="116"/>
      <c r="AL1072" s="116"/>
      <c r="AM1072" s="116"/>
      <c r="AN1072" s="116"/>
      <c r="AO1072" s="116"/>
      <c r="AP1072" s="116"/>
      <c r="AQ1072" s="116"/>
      <c r="AR1072" s="116"/>
      <c r="AS1072" s="116"/>
      <c r="AT1072" s="116"/>
      <c r="AU1072" s="116"/>
      <c r="AV1072" s="116"/>
      <c r="AW1072" s="116"/>
      <c r="AX1072" s="116"/>
      <c r="AY1072" s="116"/>
      <c r="AZ1072" s="116"/>
      <c r="BA1072" s="116"/>
      <c r="BB1072" s="116"/>
      <c r="BC1072" s="116"/>
      <c r="BD1072" s="116"/>
      <c r="BE1072" s="116"/>
      <c r="BF1072" s="116"/>
      <c r="BG1072" s="116"/>
    </row>
    <row r="1073" spans="35:59">
      <c r="AI1073" s="116"/>
      <c r="AJ1073" s="116"/>
      <c r="AK1073" s="116"/>
      <c r="AL1073" s="116"/>
      <c r="AM1073" s="116"/>
      <c r="AN1073" s="116"/>
      <c r="AO1073" s="116"/>
      <c r="AP1073" s="116"/>
      <c r="AQ1073" s="116"/>
      <c r="AR1073" s="116"/>
      <c r="AS1073" s="116"/>
      <c r="AT1073" s="116"/>
      <c r="AU1073" s="116"/>
      <c r="AV1073" s="116"/>
      <c r="AW1073" s="116"/>
      <c r="AX1073" s="116"/>
      <c r="AY1073" s="116"/>
      <c r="AZ1073" s="116"/>
      <c r="BA1073" s="116"/>
      <c r="BB1073" s="116"/>
      <c r="BC1073" s="116"/>
      <c r="BD1073" s="116"/>
      <c r="BE1073" s="116"/>
      <c r="BF1073" s="116"/>
      <c r="BG1073" s="116"/>
    </row>
    <row r="1074" spans="35:59">
      <c r="AI1074" s="116"/>
      <c r="AJ1074" s="116"/>
      <c r="AK1074" s="116"/>
      <c r="AL1074" s="116"/>
      <c r="AM1074" s="116"/>
      <c r="AN1074" s="116"/>
      <c r="AO1074" s="116"/>
      <c r="AP1074" s="116"/>
      <c r="AQ1074" s="116"/>
      <c r="AR1074" s="116"/>
      <c r="AS1074" s="116"/>
      <c r="AT1074" s="116"/>
      <c r="AU1074" s="116"/>
      <c r="AV1074" s="116"/>
      <c r="AW1074" s="116"/>
      <c r="AX1074" s="116"/>
      <c r="AY1074" s="116"/>
      <c r="AZ1074" s="116"/>
      <c r="BA1074" s="116"/>
      <c r="BB1074" s="116"/>
      <c r="BC1074" s="116"/>
      <c r="BD1074" s="116"/>
      <c r="BE1074" s="116"/>
      <c r="BF1074" s="116"/>
      <c r="BG1074" s="116"/>
    </row>
    <row r="1075" spans="35:59">
      <c r="AI1075" s="116"/>
      <c r="AJ1075" s="116"/>
      <c r="AK1075" s="116"/>
      <c r="AL1075" s="116"/>
      <c r="AM1075" s="116"/>
      <c r="AN1075" s="116"/>
      <c r="AO1075" s="116"/>
      <c r="AP1075" s="116"/>
      <c r="AQ1075" s="116"/>
      <c r="AR1075" s="116"/>
      <c r="AS1075" s="116"/>
      <c r="AT1075" s="116"/>
      <c r="AU1075" s="116"/>
      <c r="AV1075" s="116"/>
      <c r="AW1075" s="116"/>
      <c r="AX1075" s="116"/>
      <c r="AY1075" s="116"/>
      <c r="AZ1075" s="116"/>
      <c r="BA1075" s="116"/>
      <c r="BB1075" s="116"/>
      <c r="BC1075" s="116"/>
      <c r="BD1075" s="116"/>
      <c r="BE1075" s="116"/>
      <c r="BF1075" s="116"/>
      <c r="BG1075" s="116"/>
    </row>
    <row r="1076" spans="35:59">
      <c r="AI1076" s="116"/>
      <c r="AJ1076" s="116"/>
      <c r="AK1076" s="116"/>
      <c r="AL1076" s="116"/>
      <c r="AM1076" s="116"/>
      <c r="AN1076" s="116"/>
      <c r="AO1076" s="116"/>
      <c r="AP1076" s="116"/>
      <c r="AQ1076" s="116"/>
      <c r="AR1076" s="116"/>
      <c r="AS1076" s="116"/>
      <c r="AT1076" s="116"/>
      <c r="AU1076" s="116"/>
      <c r="AV1076" s="116"/>
      <c r="AW1076" s="116"/>
      <c r="AX1076" s="116"/>
      <c r="AY1076" s="116"/>
      <c r="AZ1076" s="116"/>
      <c r="BA1076" s="116"/>
      <c r="BB1076" s="116"/>
      <c r="BC1076" s="116"/>
      <c r="BD1076" s="116"/>
      <c r="BE1076" s="116"/>
      <c r="BF1076" s="116"/>
      <c r="BG1076" s="116"/>
    </row>
    <row r="1077" spans="35:59">
      <c r="AI1077" s="116"/>
      <c r="AJ1077" s="116"/>
      <c r="AK1077" s="116"/>
      <c r="AL1077" s="116"/>
      <c r="AM1077" s="116"/>
      <c r="AN1077" s="116"/>
      <c r="AO1077" s="116"/>
      <c r="AP1077" s="116"/>
      <c r="AQ1077" s="116"/>
      <c r="AR1077" s="116"/>
      <c r="AS1077" s="116"/>
      <c r="AT1077" s="116"/>
      <c r="AU1077" s="116"/>
      <c r="AV1077" s="116"/>
      <c r="AW1077" s="116"/>
      <c r="AX1077" s="116"/>
      <c r="AY1077" s="116"/>
      <c r="AZ1077" s="116"/>
      <c r="BA1077" s="116"/>
      <c r="BB1077" s="116"/>
      <c r="BC1077" s="116"/>
      <c r="BD1077" s="116"/>
      <c r="BE1077" s="116"/>
      <c r="BF1077" s="116"/>
      <c r="BG1077" s="116"/>
    </row>
    <row r="1078" spans="35:59">
      <c r="AI1078" s="116"/>
      <c r="AJ1078" s="116"/>
      <c r="AK1078" s="116"/>
      <c r="AL1078" s="116"/>
      <c r="AM1078" s="116"/>
      <c r="AN1078" s="116"/>
      <c r="AO1078" s="116"/>
      <c r="AP1078" s="116"/>
      <c r="AQ1078" s="116"/>
      <c r="AR1078" s="116"/>
      <c r="AS1078" s="116"/>
      <c r="AT1078" s="116"/>
      <c r="AU1078" s="116"/>
      <c r="AV1078" s="116"/>
      <c r="AW1078" s="116"/>
      <c r="AX1078" s="116"/>
      <c r="AY1078" s="116"/>
      <c r="AZ1078" s="116"/>
      <c r="BA1078" s="116"/>
      <c r="BB1078" s="116"/>
      <c r="BC1078" s="116"/>
      <c r="BD1078" s="116"/>
      <c r="BE1078" s="116"/>
      <c r="BF1078" s="116"/>
      <c r="BG1078" s="116"/>
    </row>
    <row r="1079" spans="35:59">
      <c r="AI1079" s="116"/>
      <c r="AJ1079" s="116"/>
      <c r="AK1079" s="116"/>
      <c r="AL1079" s="116"/>
      <c r="AM1079" s="116"/>
      <c r="AN1079" s="116"/>
      <c r="AO1079" s="116"/>
      <c r="AP1079" s="116"/>
      <c r="AQ1079" s="116"/>
      <c r="AR1079" s="116"/>
      <c r="AS1079" s="116"/>
      <c r="AT1079" s="116"/>
      <c r="AU1079" s="116"/>
      <c r="AV1079" s="116"/>
      <c r="AW1079" s="116"/>
      <c r="AX1079" s="116"/>
      <c r="AY1079" s="116"/>
      <c r="AZ1079" s="116"/>
      <c r="BA1079" s="116"/>
      <c r="BB1079" s="116"/>
      <c r="BC1079" s="116"/>
      <c r="BD1079" s="116"/>
      <c r="BE1079" s="116"/>
      <c r="BF1079" s="116"/>
      <c r="BG1079" s="116"/>
    </row>
    <row r="1080" spans="35:59">
      <c r="AI1080" s="116"/>
      <c r="AJ1080" s="116"/>
      <c r="AK1080" s="116"/>
      <c r="AL1080" s="116"/>
      <c r="AM1080" s="116"/>
      <c r="AN1080" s="116"/>
      <c r="AO1080" s="116"/>
      <c r="AP1080" s="116"/>
      <c r="AQ1080" s="116"/>
      <c r="AR1080" s="116"/>
      <c r="AS1080" s="116"/>
      <c r="AT1080" s="116"/>
      <c r="AU1080" s="116"/>
      <c r="AV1080" s="116"/>
      <c r="AW1080" s="116"/>
      <c r="AX1080" s="116"/>
      <c r="AY1080" s="116"/>
      <c r="AZ1080" s="116"/>
      <c r="BA1080" s="116"/>
      <c r="BB1080" s="116"/>
      <c r="BC1080" s="116"/>
      <c r="BD1080" s="116"/>
      <c r="BE1080" s="116"/>
      <c r="BF1080" s="116"/>
      <c r="BG1080" s="116"/>
    </row>
    <row r="1081" spans="35:59">
      <c r="AI1081" s="116"/>
      <c r="AJ1081" s="116"/>
      <c r="AK1081" s="116"/>
      <c r="AL1081" s="116"/>
      <c r="AM1081" s="116"/>
      <c r="AN1081" s="116"/>
      <c r="AO1081" s="116"/>
      <c r="AP1081" s="116"/>
      <c r="AQ1081" s="116"/>
      <c r="AR1081" s="116"/>
      <c r="AS1081" s="116"/>
      <c r="AT1081" s="116"/>
      <c r="AU1081" s="116"/>
      <c r="AV1081" s="116"/>
      <c r="AW1081" s="116"/>
      <c r="AX1081" s="116"/>
      <c r="AY1081" s="116"/>
      <c r="AZ1081" s="116"/>
      <c r="BA1081" s="116"/>
      <c r="BB1081" s="116"/>
      <c r="BC1081" s="116"/>
      <c r="BD1081" s="116"/>
      <c r="BE1081" s="116"/>
      <c r="BF1081" s="116"/>
      <c r="BG1081" s="116"/>
    </row>
    <row r="1082" spans="35:59">
      <c r="AI1082" s="116"/>
      <c r="AJ1082" s="116"/>
      <c r="AK1082" s="116"/>
      <c r="AL1082" s="116"/>
      <c r="AM1082" s="116"/>
      <c r="AN1082" s="116"/>
      <c r="AO1082" s="116"/>
      <c r="AP1082" s="116"/>
      <c r="AQ1082" s="116"/>
      <c r="AR1082" s="116"/>
      <c r="AS1082" s="116"/>
      <c r="AT1082" s="116"/>
      <c r="AU1082" s="116"/>
      <c r="AV1082" s="116"/>
      <c r="AW1082" s="116"/>
      <c r="AX1082" s="116"/>
      <c r="AY1082" s="116"/>
      <c r="AZ1082" s="116"/>
      <c r="BA1082" s="116"/>
      <c r="BB1082" s="116"/>
      <c r="BC1082" s="116"/>
      <c r="BD1082" s="116"/>
      <c r="BE1082" s="116"/>
      <c r="BF1082" s="116"/>
      <c r="BG1082" s="116"/>
    </row>
    <row r="1083" spans="35:59">
      <c r="AI1083" s="116"/>
      <c r="AJ1083" s="116"/>
      <c r="AK1083" s="116"/>
      <c r="AL1083" s="116"/>
      <c r="AM1083" s="116"/>
      <c r="AN1083" s="116"/>
      <c r="AO1083" s="116"/>
      <c r="AP1083" s="116"/>
      <c r="AQ1083" s="116"/>
      <c r="AR1083" s="116"/>
      <c r="AS1083" s="116"/>
      <c r="AT1083" s="116"/>
      <c r="AU1083" s="116"/>
      <c r="AV1083" s="116"/>
      <c r="AW1083" s="116"/>
      <c r="AX1083" s="116"/>
      <c r="AY1083" s="116"/>
      <c r="AZ1083" s="116"/>
      <c r="BA1083" s="116"/>
      <c r="BB1083" s="116"/>
      <c r="BC1083" s="116"/>
      <c r="BD1083" s="116"/>
      <c r="BE1083" s="116"/>
      <c r="BF1083" s="116"/>
      <c r="BG1083" s="116"/>
    </row>
    <row r="1084" spans="35:59">
      <c r="AI1084" s="116"/>
      <c r="AJ1084" s="116"/>
      <c r="AK1084" s="116"/>
      <c r="AL1084" s="116"/>
      <c r="AM1084" s="116"/>
      <c r="AN1084" s="116"/>
      <c r="AO1084" s="116"/>
      <c r="AP1084" s="116"/>
      <c r="AQ1084" s="116"/>
      <c r="AR1084" s="116"/>
      <c r="AS1084" s="116"/>
      <c r="AT1084" s="116"/>
      <c r="AU1084" s="116"/>
      <c r="AV1084" s="116"/>
      <c r="AW1084" s="116"/>
      <c r="AX1084" s="116"/>
      <c r="AY1084" s="116"/>
      <c r="AZ1084" s="116"/>
      <c r="BA1084" s="116"/>
      <c r="BB1084" s="116"/>
      <c r="BC1084" s="116"/>
      <c r="BD1084" s="116"/>
      <c r="BE1084" s="116"/>
      <c r="BF1084" s="116"/>
      <c r="BG1084" s="116"/>
    </row>
    <row r="1085" spans="35:59">
      <c r="AI1085" s="116"/>
      <c r="AJ1085" s="116"/>
      <c r="AK1085" s="116"/>
      <c r="AL1085" s="116"/>
      <c r="AM1085" s="116"/>
      <c r="AN1085" s="116"/>
      <c r="AO1085" s="116"/>
      <c r="AP1085" s="116"/>
      <c r="AQ1085" s="116"/>
      <c r="AR1085" s="116"/>
      <c r="AS1085" s="116"/>
      <c r="AT1085" s="116"/>
      <c r="AU1085" s="116"/>
      <c r="AV1085" s="116"/>
      <c r="AW1085" s="116"/>
      <c r="AX1085" s="116"/>
      <c r="AY1085" s="116"/>
      <c r="AZ1085" s="116"/>
      <c r="BA1085" s="116"/>
      <c r="BB1085" s="116"/>
      <c r="BC1085" s="116"/>
      <c r="BD1085" s="116"/>
      <c r="BE1085" s="116"/>
      <c r="BF1085" s="116"/>
      <c r="BG1085" s="116"/>
    </row>
    <row r="1086" spans="35:59">
      <c r="AI1086" s="116"/>
      <c r="AJ1086" s="116"/>
      <c r="AK1086" s="116"/>
      <c r="AL1086" s="116"/>
      <c r="AM1086" s="116"/>
      <c r="AN1086" s="116"/>
      <c r="AO1086" s="116"/>
      <c r="AP1086" s="116"/>
      <c r="AQ1086" s="116"/>
      <c r="AR1086" s="116"/>
      <c r="AS1086" s="116"/>
      <c r="AT1086" s="116"/>
      <c r="AU1086" s="116"/>
      <c r="AV1086" s="116"/>
      <c r="AW1086" s="116"/>
      <c r="AX1086" s="116"/>
      <c r="AY1086" s="116"/>
      <c r="AZ1086" s="116"/>
      <c r="BA1086" s="116"/>
      <c r="BB1086" s="116"/>
      <c r="BC1086" s="116"/>
      <c r="BD1086" s="116"/>
      <c r="BE1086" s="116"/>
      <c r="BF1086" s="116"/>
      <c r="BG1086" s="116"/>
    </row>
    <row r="1087" spans="35:59">
      <c r="AI1087" s="116"/>
      <c r="AJ1087" s="116"/>
      <c r="AK1087" s="116"/>
      <c r="AL1087" s="116"/>
      <c r="AM1087" s="116"/>
      <c r="AN1087" s="116"/>
      <c r="AO1087" s="116"/>
      <c r="AP1087" s="116"/>
      <c r="AQ1087" s="116"/>
      <c r="AR1087" s="116"/>
      <c r="AS1087" s="116"/>
      <c r="AT1087" s="116"/>
      <c r="AU1087" s="116"/>
      <c r="AV1087" s="116"/>
      <c r="AW1087" s="116"/>
      <c r="AX1087" s="116"/>
      <c r="AY1087" s="116"/>
      <c r="AZ1087" s="116"/>
      <c r="BA1087" s="116"/>
      <c r="BB1087" s="116"/>
      <c r="BC1087" s="116"/>
      <c r="BD1087" s="116"/>
      <c r="BE1087" s="116"/>
      <c r="BF1087" s="116"/>
      <c r="BG1087" s="116"/>
    </row>
    <row r="1088" spans="35:59">
      <c r="AI1088" s="116"/>
      <c r="AJ1088" s="116"/>
      <c r="AK1088" s="116"/>
      <c r="AL1088" s="116"/>
      <c r="AM1088" s="116"/>
      <c r="AN1088" s="116"/>
      <c r="AO1088" s="116"/>
      <c r="AP1088" s="116"/>
      <c r="AQ1088" s="116"/>
      <c r="AR1088" s="116"/>
      <c r="AS1088" s="116"/>
      <c r="AT1088" s="116"/>
      <c r="AU1088" s="116"/>
      <c r="AV1088" s="116"/>
      <c r="AW1088" s="116"/>
      <c r="AX1088" s="116"/>
      <c r="AY1088" s="116"/>
      <c r="AZ1088" s="116"/>
      <c r="BA1088" s="116"/>
      <c r="BB1088" s="116"/>
      <c r="BC1088" s="116"/>
      <c r="BD1088" s="116"/>
      <c r="BE1088" s="116"/>
      <c r="BF1088" s="116"/>
      <c r="BG1088" s="116"/>
    </row>
    <row r="1089" spans="35:59">
      <c r="AI1089" s="116"/>
      <c r="AJ1089" s="116"/>
      <c r="AK1089" s="116"/>
      <c r="AL1089" s="116"/>
      <c r="AM1089" s="116"/>
      <c r="AN1089" s="116"/>
      <c r="AO1089" s="116"/>
      <c r="AP1089" s="116"/>
      <c r="AQ1089" s="116"/>
      <c r="AR1089" s="116"/>
      <c r="AS1089" s="116"/>
      <c r="AT1089" s="116"/>
      <c r="AU1089" s="116"/>
      <c r="AV1089" s="116"/>
      <c r="AW1089" s="116"/>
      <c r="AX1089" s="116"/>
      <c r="AY1089" s="116"/>
      <c r="AZ1089" s="116"/>
      <c r="BA1089" s="116"/>
      <c r="BB1089" s="116"/>
      <c r="BC1089" s="116"/>
      <c r="BD1089" s="116"/>
      <c r="BE1089" s="116"/>
      <c r="BF1089" s="116"/>
      <c r="BG1089" s="116"/>
    </row>
    <row r="1090" spans="35:59">
      <c r="AI1090" s="116"/>
      <c r="AJ1090" s="116"/>
      <c r="AK1090" s="116"/>
      <c r="AL1090" s="116"/>
      <c r="AM1090" s="116"/>
      <c r="AN1090" s="116"/>
      <c r="AO1090" s="116"/>
      <c r="AP1090" s="116"/>
      <c r="AQ1090" s="116"/>
      <c r="AR1090" s="116"/>
      <c r="AS1090" s="116"/>
      <c r="AT1090" s="116"/>
      <c r="AU1090" s="116"/>
      <c r="AV1090" s="116"/>
      <c r="AW1090" s="116"/>
      <c r="AX1090" s="116"/>
      <c r="AY1090" s="116"/>
      <c r="AZ1090" s="116"/>
      <c r="BA1090" s="116"/>
      <c r="BB1090" s="116"/>
      <c r="BC1090" s="116"/>
      <c r="BD1090" s="116"/>
      <c r="BE1090" s="116"/>
      <c r="BF1090" s="116"/>
      <c r="BG1090" s="116"/>
    </row>
    <row r="1091" spans="35:59">
      <c r="AI1091" s="116"/>
      <c r="AJ1091" s="116"/>
      <c r="AK1091" s="116"/>
      <c r="AL1091" s="116"/>
      <c r="AM1091" s="116"/>
      <c r="AN1091" s="116"/>
      <c r="AO1091" s="116"/>
      <c r="AP1091" s="116"/>
      <c r="AQ1091" s="116"/>
      <c r="AR1091" s="116"/>
      <c r="AS1091" s="116"/>
      <c r="AT1091" s="116"/>
      <c r="AU1091" s="116"/>
      <c r="AV1091" s="116"/>
      <c r="AW1091" s="116"/>
      <c r="AX1091" s="116"/>
      <c r="AY1091" s="116"/>
      <c r="AZ1091" s="116"/>
      <c r="BA1091" s="116"/>
      <c r="BB1091" s="116"/>
      <c r="BC1091" s="116"/>
      <c r="BD1091" s="116"/>
      <c r="BE1091" s="116"/>
      <c r="BF1091" s="116"/>
      <c r="BG1091" s="116"/>
    </row>
  </sheetData>
  <autoFilter ref="A1:AM1028" xr:uid="{00000000-0009-0000-0000-000008000000}"/>
  <pageMargins left="0.19685039370078741" right="0.70866141732283472" top="0.19685039370078741" bottom="0.19685039370078741" header="0.11811023622047245" footer="0.19685039370078741"/>
  <pageSetup paperSize="9" scale="10" orientation="portrait" r:id="rId1"/>
  <rowBreaks count="1" manualBreakCount="1">
    <brk id="193" max="33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249977111117893"/>
    <pageSetUpPr fitToPage="1"/>
  </sheetPr>
  <dimension ref="A1:BG1070"/>
  <sheetViews>
    <sheetView showGridLines="0" zoomScale="85" zoomScaleNormal="85" zoomScaleSheetLayoutView="85" workbookViewId="0">
      <pane xSplit="7" ySplit="1" topLeftCell="H323" activePane="bottomRight" state="frozen"/>
      <selection activeCell="Q7" sqref="Q7"/>
      <selection pane="topRight" activeCell="Q7" sqref="Q7"/>
      <selection pane="bottomLeft" activeCell="Q7" sqref="Q7"/>
      <selection pane="bottomRight" activeCell="Q7" sqref="Q7"/>
    </sheetView>
  </sheetViews>
  <sheetFormatPr baseColWidth="10" defaultColWidth="8.1640625" defaultRowHeight="13" outlineLevelRow="1" outlineLevelCol="1"/>
  <cols>
    <col min="1" max="1" width="3.6640625" style="141" customWidth="1" outlineLevel="1"/>
    <col min="2" max="2" width="20.1640625" style="142" customWidth="1" outlineLevel="1"/>
    <col min="3" max="3" width="11.83203125" style="142" customWidth="1" outlineLevel="1"/>
    <col min="4" max="4" width="9.33203125" style="142" customWidth="1"/>
    <col min="5" max="5" width="20.6640625" style="109" hidden="1" customWidth="1"/>
    <col min="6" max="6" width="44.1640625" style="109" customWidth="1"/>
    <col min="7" max="7" width="9.6640625" style="109" customWidth="1"/>
    <col min="8" max="8" width="8.33203125" style="109" customWidth="1"/>
    <col min="9" max="9" width="18.33203125" style="109" customWidth="1"/>
    <col min="10" max="21" width="8.6640625" style="109" hidden="1" customWidth="1" outlineLevel="1"/>
    <col min="22" max="22" width="8.6640625" style="109" customWidth="1" collapsed="1"/>
    <col min="23" max="34" width="8.6640625" style="116" customWidth="1"/>
    <col min="35" max="59" width="8.6640625" style="109" customWidth="1"/>
    <col min="60" max="16384" width="8.1640625" style="109"/>
  </cols>
  <sheetData>
    <row r="1" spans="1:59" s="105" customFormat="1">
      <c r="A1" s="102" t="s">
        <v>77</v>
      </c>
      <c r="B1" s="102" t="s">
        <v>78</v>
      </c>
      <c r="C1" s="102" t="s">
        <v>79</v>
      </c>
      <c r="D1" s="102" t="s">
        <v>80</v>
      </c>
      <c r="E1" s="103" t="s">
        <v>81</v>
      </c>
      <c r="F1" s="103" t="s">
        <v>82</v>
      </c>
      <c r="G1" s="103" t="s">
        <v>83</v>
      </c>
      <c r="H1" s="103" t="s">
        <v>84</v>
      </c>
      <c r="I1" s="104" t="s">
        <v>85</v>
      </c>
      <c r="J1" s="105">
        <v>2001</v>
      </c>
      <c r="K1" s="105">
        <v>2002</v>
      </c>
      <c r="L1" s="105">
        <v>2003</v>
      </c>
      <c r="M1" s="105">
        <v>2004</v>
      </c>
      <c r="N1" s="105">
        <v>2005</v>
      </c>
      <c r="O1" s="105">
        <v>2006</v>
      </c>
      <c r="P1" s="105">
        <v>2007</v>
      </c>
      <c r="Q1" s="105">
        <v>2008</v>
      </c>
      <c r="R1" s="105">
        <v>2009</v>
      </c>
      <c r="S1" s="105">
        <v>2010</v>
      </c>
      <c r="T1" s="105">
        <v>2011</v>
      </c>
      <c r="U1" s="105">
        <v>2012</v>
      </c>
      <c r="V1" s="105">
        <v>2013</v>
      </c>
      <c r="W1" s="105">
        <v>2014</v>
      </c>
      <c r="X1" s="105">
        <v>2015</v>
      </c>
      <c r="Y1" s="105">
        <v>2016</v>
      </c>
      <c r="Z1" s="105">
        <v>2017</v>
      </c>
      <c r="AA1" s="105">
        <v>2018</v>
      </c>
      <c r="AB1" s="105">
        <v>2019</v>
      </c>
      <c r="AC1" s="105">
        <v>2020</v>
      </c>
      <c r="AD1" s="105">
        <v>2021</v>
      </c>
      <c r="AE1" s="105">
        <v>2022</v>
      </c>
      <c r="AF1" s="105">
        <v>2023</v>
      </c>
      <c r="AG1" s="105">
        <v>2024</v>
      </c>
      <c r="AH1" s="105">
        <v>2025</v>
      </c>
      <c r="AI1" s="105">
        <v>2026</v>
      </c>
      <c r="AJ1" s="105">
        <v>2027</v>
      </c>
      <c r="AK1" s="105">
        <v>2028</v>
      </c>
      <c r="AL1" s="105">
        <v>2029</v>
      </c>
      <c r="AM1" s="105">
        <v>2030</v>
      </c>
      <c r="AN1" s="105">
        <v>2031</v>
      </c>
      <c r="AO1" s="105">
        <v>2032</v>
      </c>
      <c r="AP1" s="105">
        <v>2033</v>
      </c>
      <c r="AQ1" s="105">
        <v>2034</v>
      </c>
      <c r="AR1" s="105">
        <v>2035</v>
      </c>
      <c r="AS1" s="105">
        <v>2036</v>
      </c>
      <c r="AT1" s="105">
        <v>2037</v>
      </c>
      <c r="AU1" s="105">
        <v>2038</v>
      </c>
      <c r="AV1" s="105">
        <v>2039</v>
      </c>
      <c r="AW1" s="105">
        <v>2040</v>
      </c>
      <c r="AX1" s="105">
        <v>2041</v>
      </c>
      <c r="AY1" s="105">
        <v>2042</v>
      </c>
      <c r="AZ1" s="105">
        <v>2043</v>
      </c>
      <c r="BA1" s="105">
        <v>2044</v>
      </c>
      <c r="BB1" s="105">
        <v>2045</v>
      </c>
      <c r="BC1" s="105">
        <v>2046</v>
      </c>
      <c r="BD1" s="105">
        <v>2047</v>
      </c>
      <c r="BE1" s="105">
        <v>2048</v>
      </c>
      <c r="BF1" s="105">
        <v>2049</v>
      </c>
      <c r="BG1" s="105">
        <v>2050</v>
      </c>
    </row>
    <row r="2" spans="1:59" ht="13.75" customHeight="1">
      <c r="A2" s="141" t="s">
        <v>86</v>
      </c>
      <c r="B2" s="165"/>
      <c r="C2" s="165"/>
      <c r="D2" s="166" t="s">
        <v>87</v>
      </c>
      <c r="E2" s="167"/>
      <c r="F2" s="168" t="s">
        <v>88</v>
      </c>
      <c r="G2" s="168" t="s">
        <v>3</v>
      </c>
      <c r="H2" s="168" t="s">
        <v>89</v>
      </c>
      <c r="I2" s="168" t="s">
        <v>90</v>
      </c>
      <c r="J2" s="123">
        <v>5.0999999999999934E-2</v>
      </c>
      <c r="K2" s="123">
        <v>4.7000000000000153E-2</v>
      </c>
      <c r="L2" s="123">
        <v>7.2956140639931499E-2</v>
      </c>
      <c r="M2" s="123">
        <v>7.1759330350896766E-2</v>
      </c>
      <c r="N2" s="123">
        <v>6.3764415208960923E-2</v>
      </c>
      <c r="O2" s="123">
        <v>8.1534248215381355E-2</v>
      </c>
      <c r="P2" s="123">
        <v>8.5350329047505724E-2</v>
      </c>
      <c r="Q2" s="123">
        <v>5.24775171028109E-2</v>
      </c>
      <c r="R2" s="123">
        <v>-7.8208582060624976E-2</v>
      </c>
      <c r="S2" s="123">
        <v>4.503713671462295E-2</v>
      </c>
      <c r="T2" s="123">
        <v>4.2643515700841572E-2</v>
      </c>
      <c r="U2" s="107">
        <v>3.6559015730638293E-2</v>
      </c>
      <c r="V2" s="110">
        <v>1.7853545009105715E-2</v>
      </c>
      <c r="W2" s="110">
        <v>7.3860077330101604E-3</v>
      </c>
      <c r="X2" s="107">
        <v>-2.5383167926162287E-2</v>
      </c>
      <c r="Y2" s="107">
        <v>2.8878411599990274E-3</v>
      </c>
      <c r="Z2" s="107">
        <v>1.6468836726949689E-2</v>
      </c>
      <c r="AA2" s="107">
        <v>2.8063408200000025E-2</v>
      </c>
      <c r="AB2" s="108">
        <v>2.0329827399999899E-2</v>
      </c>
      <c r="AC2" s="108">
        <v>-2.6832962200000025E-2</v>
      </c>
      <c r="AD2" s="108">
        <v>5.6142322974481476E-2</v>
      </c>
      <c r="AE2" s="108">
        <v>-2.0696995454377344E-2</v>
      </c>
      <c r="AF2" s="108">
        <v>2.2180927271783307E-2</v>
      </c>
      <c r="AG2" s="108">
        <v>-8.0790516897694259E-3</v>
      </c>
      <c r="AH2" s="108">
        <v>9.2979803348519734E-3</v>
      </c>
      <c r="AI2" s="108">
        <v>1.2855608529445313E-2</v>
      </c>
      <c r="AJ2" s="108">
        <v>0.01</v>
      </c>
      <c r="AK2" s="108">
        <f t="shared" ref="AK2:AZ5" si="0">AJ2</f>
        <v>0.01</v>
      </c>
      <c r="AL2" s="108">
        <f t="shared" si="0"/>
        <v>0.01</v>
      </c>
      <c r="AM2" s="108">
        <f t="shared" si="0"/>
        <v>0.01</v>
      </c>
      <c r="AN2" s="108">
        <f t="shared" si="0"/>
        <v>0.01</v>
      </c>
      <c r="AO2" s="108">
        <f t="shared" si="0"/>
        <v>0.01</v>
      </c>
      <c r="AP2" s="108">
        <f t="shared" si="0"/>
        <v>0.01</v>
      </c>
      <c r="AQ2" s="108">
        <f t="shared" si="0"/>
        <v>0.01</v>
      </c>
      <c r="AR2" s="108">
        <f t="shared" si="0"/>
        <v>0.01</v>
      </c>
      <c r="AS2" s="108">
        <f t="shared" si="0"/>
        <v>0.01</v>
      </c>
      <c r="AT2" s="108">
        <f t="shared" si="0"/>
        <v>0.01</v>
      </c>
      <c r="AU2" s="108">
        <f t="shared" si="0"/>
        <v>0.01</v>
      </c>
      <c r="AV2" s="108">
        <f t="shared" si="0"/>
        <v>0.01</v>
      </c>
      <c r="AW2" s="108">
        <f t="shared" si="0"/>
        <v>0.01</v>
      </c>
      <c r="AX2" s="108">
        <f t="shared" si="0"/>
        <v>0.01</v>
      </c>
      <c r="AY2" s="108">
        <f t="shared" si="0"/>
        <v>0.01</v>
      </c>
      <c r="AZ2" s="108">
        <f t="shared" si="0"/>
        <v>0.01</v>
      </c>
      <c r="BA2" s="108">
        <f t="shared" ref="AY2:BG5" si="1">AZ2</f>
        <v>0.01</v>
      </c>
      <c r="BB2" s="108">
        <f t="shared" si="1"/>
        <v>0.01</v>
      </c>
      <c r="BC2" s="108">
        <f t="shared" si="1"/>
        <v>0.01</v>
      </c>
      <c r="BD2" s="108">
        <f t="shared" si="1"/>
        <v>0.01</v>
      </c>
      <c r="BE2" s="108">
        <f t="shared" si="1"/>
        <v>0.01</v>
      </c>
      <c r="BF2" s="108">
        <f t="shared" si="1"/>
        <v>0.01</v>
      </c>
      <c r="BG2" s="108">
        <f t="shared" si="1"/>
        <v>0.01</v>
      </c>
    </row>
    <row r="3" spans="1:59" ht="13.75" customHeight="1">
      <c r="A3" s="141" t="s">
        <v>86</v>
      </c>
      <c r="B3" s="165"/>
      <c r="C3" s="165"/>
      <c r="D3" s="166" t="s">
        <v>87</v>
      </c>
      <c r="E3" s="167"/>
      <c r="F3" s="168" t="s">
        <v>91</v>
      </c>
      <c r="G3" s="168" t="s">
        <v>3</v>
      </c>
      <c r="H3" s="168"/>
      <c r="I3" s="168" t="s">
        <v>90</v>
      </c>
      <c r="J3" s="123">
        <v>0.18579999999999999</v>
      </c>
      <c r="K3" s="123">
        <v>0.15060000000000001</v>
      </c>
      <c r="L3" s="123">
        <v>0.11989999999999995</v>
      </c>
      <c r="M3" s="123">
        <v>0.11730000000000004</v>
      </c>
      <c r="N3" s="123">
        <v>0.10920000000000002</v>
      </c>
      <c r="O3" s="123">
        <v>0.09</v>
      </c>
      <c r="P3" s="123">
        <v>0.11870000000000004</v>
      </c>
      <c r="Q3" s="123">
        <v>0.1328</v>
      </c>
      <c r="R3" s="123">
        <v>8.7999999999999967E-2</v>
      </c>
      <c r="S3" s="123">
        <v>8.7800000000000017E-2</v>
      </c>
      <c r="T3" s="123">
        <v>6.0999999999999943E-2</v>
      </c>
      <c r="U3" s="107">
        <v>6.6000000000000003E-2</v>
      </c>
      <c r="V3" s="107">
        <v>6.5000000000000002E-2</v>
      </c>
      <c r="W3" s="107">
        <v>0.114</v>
      </c>
      <c r="X3" s="107">
        <v>0.12909999999999999</v>
      </c>
      <c r="Y3" s="107">
        <v>5.4000000000000006E-2</v>
      </c>
      <c r="Z3" s="107">
        <v>2.5000000000000001E-2</v>
      </c>
      <c r="AA3" s="107">
        <v>4.2600000000000054E-2</v>
      </c>
      <c r="AB3" s="107">
        <v>3.0400000000000062E-2</v>
      </c>
      <c r="AC3" s="107">
        <v>4.9099999999999963E-2</v>
      </c>
      <c r="AD3" s="107">
        <v>8.394561758750374E-2</v>
      </c>
      <c r="AE3" s="107">
        <v>0.11923569598633632</v>
      </c>
      <c r="AF3" s="107">
        <v>7.0965337750225954E-2</v>
      </c>
      <c r="AG3" s="107">
        <v>7.4118161371848679E-2</v>
      </c>
      <c r="AH3" s="107">
        <v>4.3453021866158847E-2</v>
      </c>
      <c r="AI3" s="107">
        <v>4.0391390824965567E-2</v>
      </c>
      <c r="AJ3" s="107">
        <v>0.04</v>
      </c>
      <c r="AK3" s="107">
        <f t="shared" si="0"/>
        <v>0.04</v>
      </c>
      <c r="AL3" s="107">
        <f t="shared" si="0"/>
        <v>0.04</v>
      </c>
      <c r="AM3" s="107">
        <f t="shared" si="0"/>
        <v>0.04</v>
      </c>
      <c r="AN3" s="107">
        <f t="shared" si="0"/>
        <v>0.04</v>
      </c>
      <c r="AO3" s="107">
        <f t="shared" si="0"/>
        <v>0.04</v>
      </c>
      <c r="AP3" s="107">
        <f t="shared" si="0"/>
        <v>0.04</v>
      </c>
      <c r="AQ3" s="107">
        <f t="shared" si="0"/>
        <v>0.04</v>
      </c>
      <c r="AR3" s="107">
        <f t="shared" si="0"/>
        <v>0.04</v>
      </c>
      <c r="AS3" s="107">
        <f t="shared" si="0"/>
        <v>0.04</v>
      </c>
      <c r="AT3" s="107">
        <f t="shared" si="0"/>
        <v>0.04</v>
      </c>
      <c r="AU3" s="107">
        <f t="shared" si="0"/>
        <v>0.04</v>
      </c>
      <c r="AV3" s="107">
        <f t="shared" si="0"/>
        <v>0.04</v>
      </c>
      <c r="AW3" s="107">
        <f t="shared" si="0"/>
        <v>0.04</v>
      </c>
      <c r="AX3" s="107">
        <f t="shared" si="0"/>
        <v>0.04</v>
      </c>
      <c r="AY3" s="107">
        <f t="shared" si="1"/>
        <v>0.04</v>
      </c>
      <c r="AZ3" s="107">
        <f t="shared" si="1"/>
        <v>0.04</v>
      </c>
      <c r="BA3" s="107">
        <f t="shared" si="1"/>
        <v>0.04</v>
      </c>
      <c r="BB3" s="107">
        <f t="shared" si="1"/>
        <v>0.04</v>
      </c>
      <c r="BC3" s="107">
        <f t="shared" si="1"/>
        <v>0.04</v>
      </c>
      <c r="BD3" s="107">
        <f t="shared" si="1"/>
        <v>0.04</v>
      </c>
      <c r="BE3" s="107">
        <f t="shared" si="1"/>
        <v>0.04</v>
      </c>
      <c r="BF3" s="107">
        <f t="shared" si="1"/>
        <v>0.04</v>
      </c>
      <c r="BG3" s="107">
        <f t="shared" si="1"/>
        <v>0.04</v>
      </c>
    </row>
    <row r="4" spans="1:59" ht="13.75" customHeight="1">
      <c r="A4" s="141" t="s">
        <v>86</v>
      </c>
      <c r="B4" s="165"/>
      <c r="C4" s="165"/>
      <c r="D4" s="165" t="s">
        <v>92</v>
      </c>
      <c r="E4" s="167"/>
      <c r="F4" s="168" t="s">
        <v>93</v>
      </c>
      <c r="G4" s="168" t="s">
        <v>3</v>
      </c>
      <c r="H4" s="168"/>
      <c r="I4" s="168" t="s">
        <v>94</v>
      </c>
      <c r="J4" s="123">
        <v>1.7242899999999999E-2</v>
      </c>
      <c r="K4" s="123">
        <v>1.72766E-2</v>
      </c>
      <c r="L4" s="123">
        <v>1.4146700000000002E-2</v>
      </c>
      <c r="M4" s="123">
        <v>2.1474000000000004E-2</v>
      </c>
      <c r="N4" s="123">
        <v>2.1996399999999999E-2</v>
      </c>
      <c r="O4" s="123">
        <v>2.2229200000000001E-2</v>
      </c>
      <c r="P4" s="123">
        <v>2.3346800000000001E-2</v>
      </c>
      <c r="Q4" s="123">
        <v>1.35128E-2</v>
      </c>
      <c r="R4" s="123">
        <v>1.6155599999999999E-2</v>
      </c>
      <c r="S4" s="123">
        <v>9.0210999999999989E-3</v>
      </c>
      <c r="T4" s="123">
        <v>2.0582600000000003E-2</v>
      </c>
      <c r="U4" s="110">
        <v>1.71363E-2</v>
      </c>
      <c r="V4" s="110">
        <v>1.6330999999999998E-2</v>
      </c>
      <c r="W4" s="110">
        <v>1.46123E-2</v>
      </c>
      <c r="X4" s="107">
        <v>1.2523400000000001E-2</v>
      </c>
      <c r="Y4" s="107">
        <v>1.85337E-2</v>
      </c>
      <c r="Z4" s="107">
        <v>1.6384200000000002E-2</v>
      </c>
      <c r="AA4" s="110">
        <v>1.9E-2</v>
      </c>
      <c r="AB4" s="110">
        <v>2.3E-2</v>
      </c>
      <c r="AC4" s="110">
        <v>1.4E-2</v>
      </c>
      <c r="AD4" s="107">
        <v>7.0965239828017848E-2</v>
      </c>
      <c r="AE4" s="110">
        <v>6.5000000000000002E-2</v>
      </c>
      <c r="AF4" s="110">
        <v>3.1843454310135098E-2</v>
      </c>
      <c r="AG4" s="110">
        <v>2.1299826653166605E-2</v>
      </c>
      <c r="AH4" s="110">
        <v>2.0591825005557212E-2</v>
      </c>
      <c r="AI4" s="110">
        <v>0.02</v>
      </c>
      <c r="AJ4" s="110">
        <v>0.02</v>
      </c>
      <c r="AK4" s="110">
        <f t="shared" si="0"/>
        <v>0.02</v>
      </c>
      <c r="AL4" s="110">
        <f t="shared" si="0"/>
        <v>0.02</v>
      </c>
      <c r="AM4" s="110">
        <f t="shared" si="0"/>
        <v>0.02</v>
      </c>
      <c r="AN4" s="110">
        <f t="shared" si="0"/>
        <v>0.02</v>
      </c>
      <c r="AO4" s="110">
        <f t="shared" si="0"/>
        <v>0.02</v>
      </c>
      <c r="AP4" s="110">
        <f t="shared" si="0"/>
        <v>0.02</v>
      </c>
      <c r="AQ4" s="110">
        <f t="shared" si="0"/>
        <v>0.02</v>
      </c>
      <c r="AR4" s="110">
        <f t="shared" si="0"/>
        <v>0.02</v>
      </c>
      <c r="AS4" s="110">
        <f t="shared" si="0"/>
        <v>0.02</v>
      </c>
      <c r="AT4" s="110">
        <f t="shared" si="0"/>
        <v>0.02</v>
      </c>
      <c r="AU4" s="110">
        <f t="shared" si="0"/>
        <v>0.02</v>
      </c>
      <c r="AV4" s="110">
        <f t="shared" si="0"/>
        <v>0.02</v>
      </c>
      <c r="AW4" s="110">
        <f t="shared" si="0"/>
        <v>0.02</v>
      </c>
      <c r="AX4" s="110">
        <f t="shared" si="0"/>
        <v>0.02</v>
      </c>
      <c r="AY4" s="110">
        <v>0.02</v>
      </c>
      <c r="AZ4" s="110">
        <v>0.02</v>
      </c>
      <c r="BA4" s="110">
        <v>0.02</v>
      </c>
      <c r="BB4" s="110">
        <v>0.02</v>
      </c>
      <c r="BC4" s="110">
        <f>BB4</f>
        <v>0.02</v>
      </c>
      <c r="BD4" s="110">
        <f t="shared" si="1"/>
        <v>0.02</v>
      </c>
      <c r="BE4" s="110">
        <f t="shared" si="1"/>
        <v>0.02</v>
      </c>
      <c r="BF4" s="110">
        <f t="shared" si="1"/>
        <v>0.02</v>
      </c>
      <c r="BG4" s="110">
        <f t="shared" si="1"/>
        <v>0.02</v>
      </c>
    </row>
    <row r="5" spans="1:59" ht="13.75" customHeight="1">
      <c r="A5" s="141" t="s">
        <v>86</v>
      </c>
      <c r="B5" s="165"/>
      <c r="C5" s="165"/>
      <c r="D5" s="166" t="s">
        <v>87</v>
      </c>
      <c r="E5" s="167"/>
      <c r="F5" s="168" t="s">
        <v>95</v>
      </c>
      <c r="G5" s="168" t="s">
        <v>3</v>
      </c>
      <c r="H5" s="168"/>
      <c r="I5" s="168" t="s">
        <v>90</v>
      </c>
      <c r="J5" s="123">
        <v>8.3299999999999985E-2</v>
      </c>
      <c r="K5" s="123">
        <v>0.17650000000000005</v>
      </c>
      <c r="L5" s="123">
        <v>0.12540000000000007</v>
      </c>
      <c r="M5" s="123">
        <v>0.28830000000000011</v>
      </c>
      <c r="N5" s="123">
        <v>0.13349999999999995</v>
      </c>
      <c r="O5" s="123">
        <v>0.10370000000000004</v>
      </c>
      <c r="P5" s="123">
        <v>0.25069999999999992</v>
      </c>
      <c r="Q5" s="123">
        <v>-7.0000000000000007E-2</v>
      </c>
      <c r="R5" s="123">
        <v>0.13849999999999996</v>
      </c>
      <c r="S5" s="123">
        <v>0.16659999999999997</v>
      </c>
      <c r="T5" s="123">
        <v>0.12010000000000005</v>
      </c>
      <c r="U5" s="107">
        <v>5.0999999999999997E-2</v>
      </c>
      <c r="V5" s="107">
        <v>3.4599999999999964E-2</v>
      </c>
      <c r="W5" s="107">
        <v>6.2799999999999967E-2</v>
      </c>
      <c r="X5" s="107">
        <v>0.12139999999999995</v>
      </c>
      <c r="Y5" s="107">
        <v>7.4500000000000011E-2</v>
      </c>
      <c r="Z5" s="107">
        <v>8.3699999999999997E-2</v>
      </c>
      <c r="AA5" s="107">
        <v>0.11709999999999994</v>
      </c>
      <c r="AB5" s="107">
        <v>-4.2600000000000054E-2</v>
      </c>
      <c r="AC5" s="107">
        <v>3.5600000000000021E-2</v>
      </c>
      <c r="AD5" s="107">
        <v>0.28520000000000012</v>
      </c>
      <c r="AE5" s="107">
        <v>-3.2999999999999974E-2</v>
      </c>
      <c r="AF5" s="107">
        <v>0.23133026259058975</v>
      </c>
      <c r="AG5" s="108">
        <v>-1.6692709427017505E-3</v>
      </c>
      <c r="AH5" s="107">
        <v>9.5362768208921089E-2</v>
      </c>
      <c r="AI5" s="107">
        <v>3.6976446593608658E-2</v>
      </c>
      <c r="AJ5" s="107">
        <v>0.04</v>
      </c>
      <c r="AK5" s="107">
        <f>AJ5</f>
        <v>0.04</v>
      </c>
      <c r="AL5" s="107">
        <f>AK5</f>
        <v>0.04</v>
      </c>
      <c r="AM5" s="107">
        <f t="shared" si="0"/>
        <v>0.04</v>
      </c>
      <c r="AN5" s="107">
        <f t="shared" si="0"/>
        <v>0.04</v>
      </c>
      <c r="AO5" s="107">
        <f t="shared" si="0"/>
        <v>0.04</v>
      </c>
      <c r="AP5" s="107">
        <f t="shared" si="0"/>
        <v>0.04</v>
      </c>
      <c r="AQ5" s="107">
        <f t="shared" si="0"/>
        <v>0.04</v>
      </c>
      <c r="AR5" s="107">
        <f t="shared" si="0"/>
        <v>0.04</v>
      </c>
      <c r="AS5" s="107">
        <f t="shared" si="0"/>
        <v>0.04</v>
      </c>
      <c r="AT5" s="107">
        <f t="shared" si="0"/>
        <v>0.04</v>
      </c>
      <c r="AU5" s="107">
        <f t="shared" si="0"/>
        <v>0.04</v>
      </c>
      <c r="AV5" s="107">
        <f t="shared" si="0"/>
        <v>0.04</v>
      </c>
      <c r="AW5" s="107">
        <f t="shared" si="0"/>
        <v>0.04</v>
      </c>
      <c r="AX5" s="107">
        <f t="shared" si="0"/>
        <v>0.04</v>
      </c>
      <c r="AY5" s="107">
        <f t="shared" si="0"/>
        <v>0.04</v>
      </c>
      <c r="AZ5" s="107">
        <f t="shared" si="0"/>
        <v>0.04</v>
      </c>
      <c r="BA5" s="107">
        <f t="shared" ref="BA5:BB5" si="2">AZ5</f>
        <v>0.04</v>
      </c>
      <c r="BB5" s="107">
        <f t="shared" si="2"/>
        <v>0.04</v>
      </c>
      <c r="BC5" s="107">
        <f>BB5</f>
        <v>0.04</v>
      </c>
      <c r="BD5" s="107">
        <f t="shared" si="1"/>
        <v>0.04</v>
      </c>
      <c r="BE5" s="107">
        <f t="shared" si="1"/>
        <v>0.04</v>
      </c>
      <c r="BF5" s="107">
        <f t="shared" si="1"/>
        <v>0.04</v>
      </c>
      <c r="BG5" s="107">
        <f t="shared" si="1"/>
        <v>0.04</v>
      </c>
    </row>
    <row r="6" spans="1:59" ht="13.75" customHeight="1">
      <c r="A6" s="141" t="s">
        <v>86</v>
      </c>
      <c r="B6" s="165"/>
      <c r="C6" s="165"/>
      <c r="D6" s="166" t="s">
        <v>87</v>
      </c>
      <c r="E6" s="167"/>
      <c r="F6" s="168" t="s">
        <v>96</v>
      </c>
      <c r="G6" s="168" t="s">
        <v>3</v>
      </c>
      <c r="H6" s="168"/>
      <c r="I6" s="169" t="s">
        <v>97</v>
      </c>
      <c r="J6" s="123">
        <v>0.16489519347599996</v>
      </c>
      <c r="K6" s="123">
        <v>0.15613926203768627</v>
      </c>
      <c r="L6" s="123">
        <v>0.13780061468851998</v>
      </c>
      <c r="M6" s="123">
        <v>0.2028207692821789</v>
      </c>
      <c r="N6" s="123">
        <v>0.19306094835868493</v>
      </c>
      <c r="O6" s="123">
        <v>0.15170047105096246</v>
      </c>
      <c r="P6" s="123">
        <v>0.13804420679740631</v>
      </c>
      <c r="Q6" s="123">
        <v>0.17959714037318933</v>
      </c>
      <c r="R6" s="123">
        <v>1.9937228232017646E-2</v>
      </c>
      <c r="S6" s="123">
        <v>0.14187038581354486</v>
      </c>
      <c r="T6" s="123">
        <v>0.15914447600206813</v>
      </c>
      <c r="U6" s="107">
        <v>7.3999999999999996E-2</v>
      </c>
      <c r="V6" s="107">
        <v>0.05</v>
      </c>
      <c r="W6" s="107">
        <v>8.8999999999999996E-2</v>
      </c>
      <c r="X6" s="107">
        <v>7.9000000000000001E-2</v>
      </c>
      <c r="Y6" s="107">
        <v>3.5158922314520946E-2</v>
      </c>
      <c r="Z6" s="107">
        <v>4.4000000000000004E-2</v>
      </c>
      <c r="AA6" s="107">
        <v>9.9989475800000061E-2</v>
      </c>
      <c r="AB6" s="107">
        <v>3.0841738400000054E-2</v>
      </c>
      <c r="AC6" s="107">
        <v>9.0000000000000011E-3</v>
      </c>
      <c r="AD6" s="107">
        <v>0.19</v>
      </c>
      <c r="AE6" s="107">
        <v>0.15799999999999997</v>
      </c>
      <c r="AF6" s="107">
        <v>6.4881731180328903E-2</v>
      </c>
      <c r="AG6" s="108">
        <v>6.1304943373048947E-2</v>
      </c>
      <c r="AH6" s="107">
        <v>8.2000000000000003E-2</v>
      </c>
      <c r="AI6" s="107">
        <v>4.4000000000000004E-2</v>
      </c>
      <c r="AJ6" s="107">
        <f t="shared" ref="AJ6:AX6" si="3">0.8*AJ3+0.2*AJ5</f>
        <v>0.04</v>
      </c>
      <c r="AK6" s="107">
        <f t="shared" si="3"/>
        <v>0.04</v>
      </c>
      <c r="AL6" s="107">
        <f t="shared" si="3"/>
        <v>0.04</v>
      </c>
      <c r="AM6" s="107">
        <f t="shared" si="3"/>
        <v>0.04</v>
      </c>
      <c r="AN6" s="107">
        <f t="shared" si="3"/>
        <v>0.04</v>
      </c>
      <c r="AO6" s="107">
        <f t="shared" si="3"/>
        <v>0.04</v>
      </c>
      <c r="AP6" s="107">
        <f t="shared" si="3"/>
        <v>0.04</v>
      </c>
      <c r="AQ6" s="107">
        <f t="shared" si="3"/>
        <v>0.04</v>
      </c>
      <c r="AR6" s="107">
        <f t="shared" si="3"/>
        <v>0.04</v>
      </c>
      <c r="AS6" s="107">
        <f t="shared" si="3"/>
        <v>0.04</v>
      </c>
      <c r="AT6" s="107">
        <f t="shared" si="3"/>
        <v>0.04</v>
      </c>
      <c r="AU6" s="107">
        <f t="shared" si="3"/>
        <v>0.04</v>
      </c>
      <c r="AV6" s="107">
        <f t="shared" si="3"/>
        <v>0.04</v>
      </c>
      <c r="AW6" s="107">
        <f t="shared" si="3"/>
        <v>0.04</v>
      </c>
      <c r="AX6" s="107">
        <f t="shared" si="3"/>
        <v>0.04</v>
      </c>
      <c r="AY6" s="107">
        <f>0.8*AY3+0.2*AY5</f>
        <v>0.04</v>
      </c>
      <c r="AZ6" s="107">
        <f t="shared" ref="AZ6" si="4">0.8*AZ3+0.2*AZ5</f>
        <v>0.04</v>
      </c>
      <c r="BA6" s="107">
        <f>0.8*BA3+0.2*BA5</f>
        <v>0.04</v>
      </c>
      <c r="BB6" s="107">
        <f>0.8*BB3+0.2*BB5</f>
        <v>0.04</v>
      </c>
      <c r="BC6" s="107">
        <f>0.8*BC3+0.2*BC5</f>
        <v>0.04</v>
      </c>
      <c r="BD6" s="107">
        <f t="shared" ref="BD6:BG6" si="5">0.8*BD3+0.2*BD5</f>
        <v>0.04</v>
      </c>
      <c r="BE6" s="107">
        <f t="shared" si="5"/>
        <v>0.04</v>
      </c>
      <c r="BF6" s="107">
        <f t="shared" si="5"/>
        <v>0.04</v>
      </c>
      <c r="BG6" s="107">
        <f t="shared" si="5"/>
        <v>0.04</v>
      </c>
    </row>
    <row r="7" spans="1:59" ht="13.75" customHeight="1">
      <c r="A7" s="141" t="s">
        <v>86</v>
      </c>
      <c r="B7" s="165"/>
      <c r="C7" s="165"/>
      <c r="D7" s="170" t="s">
        <v>98</v>
      </c>
      <c r="E7" s="167"/>
      <c r="F7" s="168" t="s">
        <v>99</v>
      </c>
      <c r="G7" s="168" t="s">
        <v>100</v>
      </c>
      <c r="H7" s="168"/>
      <c r="I7" s="168" t="s">
        <v>101</v>
      </c>
      <c r="J7" s="147">
        <v>30.14</v>
      </c>
      <c r="K7" s="147">
        <v>31.78</v>
      </c>
      <c r="L7" s="147">
        <v>29.45</v>
      </c>
      <c r="M7" s="147">
        <v>27.75</v>
      </c>
      <c r="N7" s="147">
        <v>28.78</v>
      </c>
      <c r="O7" s="147">
        <v>26.33</v>
      </c>
      <c r="P7" s="147">
        <v>24.55</v>
      </c>
      <c r="Q7" s="147">
        <v>29.38</v>
      </c>
      <c r="R7" s="147">
        <v>30.24</v>
      </c>
      <c r="S7" s="147">
        <v>30.48</v>
      </c>
      <c r="T7" s="147">
        <v>32.200000000000003</v>
      </c>
      <c r="U7" s="111">
        <v>30.37</v>
      </c>
      <c r="V7" s="111">
        <v>32.729999999999997</v>
      </c>
      <c r="W7" s="111">
        <v>56.26</v>
      </c>
      <c r="X7" s="140">
        <v>72.8827</v>
      </c>
      <c r="Y7" s="111">
        <v>60.6569</v>
      </c>
      <c r="Z7" s="111">
        <v>57.600200000000001</v>
      </c>
      <c r="AA7" s="111">
        <v>69.470600000000005</v>
      </c>
      <c r="AB7" s="111">
        <v>61.905700000000003</v>
      </c>
      <c r="AC7" s="111">
        <v>73.875699999999995</v>
      </c>
      <c r="AD7" s="111">
        <v>74.292599999999993</v>
      </c>
      <c r="AE7" s="111">
        <v>70.337500000000006</v>
      </c>
      <c r="AF7" s="111">
        <v>89</v>
      </c>
      <c r="AG7" s="111">
        <f>AH14</f>
        <v>93.750000000000014</v>
      </c>
      <c r="AH7" s="111">
        <f>AI14</f>
        <v>93.04999999999994</v>
      </c>
      <c r="AI7" s="111">
        <f t="shared" ref="AI7:AX7" si="6">AJ14</f>
        <v>95.84149999999994</v>
      </c>
      <c r="AJ7" s="111">
        <f>AK14</f>
        <v>98.716744999999946</v>
      </c>
      <c r="AK7" s="111">
        <f>AL14</f>
        <v>101.67824734999995</v>
      </c>
      <c r="AL7" s="111">
        <f t="shared" si="6"/>
        <v>104.72859477049995</v>
      </c>
      <c r="AM7" s="111">
        <f t="shared" si="6"/>
        <v>107.87045261361496</v>
      </c>
      <c r="AN7" s="111">
        <f t="shared" si="6"/>
        <v>111.10656619202341</v>
      </c>
      <c r="AO7" s="111">
        <f t="shared" si="6"/>
        <v>114.43976317778412</v>
      </c>
      <c r="AP7" s="111">
        <f t="shared" si="6"/>
        <v>117.87295607311765</v>
      </c>
      <c r="AQ7" s="111">
        <f t="shared" si="6"/>
        <v>121.40914475531117</v>
      </c>
      <c r="AR7" s="111">
        <f t="shared" si="6"/>
        <v>125.05141909797051</v>
      </c>
      <c r="AS7" s="111">
        <f t="shared" si="6"/>
        <v>128.80296167090964</v>
      </c>
      <c r="AT7" s="111">
        <f t="shared" si="6"/>
        <v>132.66705052103694</v>
      </c>
      <c r="AU7" s="111">
        <f t="shared" si="6"/>
        <v>136.64706203666805</v>
      </c>
      <c r="AV7" s="111">
        <f t="shared" si="6"/>
        <v>140.74647389776808</v>
      </c>
      <c r="AW7" s="111">
        <f t="shared" si="6"/>
        <v>144.96886811470114</v>
      </c>
      <c r="AX7" s="111">
        <f t="shared" si="6"/>
        <v>149.31793415814218</v>
      </c>
      <c r="AY7" s="111">
        <f>AY14</f>
        <v>149.31793415814218</v>
      </c>
      <c r="AZ7" s="111">
        <f>AZ14</f>
        <v>153.79747218288645</v>
      </c>
      <c r="BA7" s="111">
        <f>BA14</f>
        <v>158.41139634837305</v>
      </c>
      <c r="BB7" s="111">
        <f>BB14</f>
        <v>163.16373823882424</v>
      </c>
      <c r="BC7" s="111">
        <f t="shared" ref="BC7:BG7" si="7">BC14</f>
        <v>166.42701300360073</v>
      </c>
      <c r="BD7" s="111">
        <f t="shared" si="7"/>
        <v>169.75555326367277</v>
      </c>
      <c r="BE7" s="111">
        <f t="shared" si="7"/>
        <v>173.15066432894622</v>
      </c>
      <c r="BF7" s="111">
        <f t="shared" si="7"/>
        <v>176.61367761552515</v>
      </c>
      <c r="BG7" s="111">
        <f t="shared" si="7"/>
        <v>180.14595116783565</v>
      </c>
    </row>
    <row r="8" spans="1:59" ht="13.75" customHeight="1">
      <c r="A8" s="141" t="s">
        <v>86</v>
      </c>
      <c r="B8" s="165"/>
      <c r="C8" s="165"/>
      <c r="D8" s="170" t="s">
        <v>98</v>
      </c>
      <c r="E8" s="167"/>
      <c r="F8" s="168" t="s">
        <v>102</v>
      </c>
      <c r="G8" s="168" t="s">
        <v>103</v>
      </c>
      <c r="H8" s="168"/>
      <c r="I8" s="168" t="s">
        <v>104</v>
      </c>
      <c r="J8" s="147">
        <v>26.49</v>
      </c>
      <c r="K8" s="147">
        <v>33.11</v>
      </c>
      <c r="L8" s="147">
        <v>36.82</v>
      </c>
      <c r="M8" s="147">
        <v>37.81</v>
      </c>
      <c r="N8" s="147">
        <v>34.19</v>
      </c>
      <c r="O8" s="147">
        <v>34.700000000000003</v>
      </c>
      <c r="P8" s="147">
        <v>35.93</v>
      </c>
      <c r="Q8" s="147">
        <v>41.44</v>
      </c>
      <c r="R8" s="147">
        <v>43.39</v>
      </c>
      <c r="S8" s="147">
        <v>40.33</v>
      </c>
      <c r="T8" s="147">
        <v>41.67</v>
      </c>
      <c r="U8" s="111">
        <v>40.229999999999997</v>
      </c>
      <c r="V8" s="111">
        <v>44.97</v>
      </c>
      <c r="W8" s="111">
        <v>68.34</v>
      </c>
      <c r="X8" s="107">
        <v>79.56</v>
      </c>
      <c r="Y8" s="111">
        <v>63.811100000000003</v>
      </c>
      <c r="Z8" s="111">
        <v>68.866799999999998</v>
      </c>
      <c r="AA8" s="111">
        <v>79.460499999999996</v>
      </c>
      <c r="AB8" s="111">
        <v>69.340599999999995</v>
      </c>
      <c r="AC8" s="111">
        <v>90.682400000000001</v>
      </c>
      <c r="AD8" s="111">
        <v>84.069500000000005</v>
      </c>
      <c r="AE8" s="111">
        <v>75.655299999999997</v>
      </c>
      <c r="AF8" s="111">
        <f>AF7*AF36</f>
        <v>95.948114210468574</v>
      </c>
      <c r="AG8" s="111">
        <f t="shared" ref="AG8:AL8" si="8">AG7*AG36</f>
        <v>96.250000000000028</v>
      </c>
      <c r="AH8" s="111">
        <f t="shared" si="8"/>
        <v>96.771999999999935</v>
      </c>
      <c r="AI8" s="111">
        <f t="shared" si="8"/>
        <v>99.675159999999934</v>
      </c>
      <c r="AJ8" s="111">
        <f t="shared" si="8"/>
        <v>102.66541479999995</v>
      </c>
      <c r="AK8" s="111">
        <f t="shared" si="8"/>
        <v>105.74537724399995</v>
      </c>
      <c r="AL8" s="111">
        <f t="shared" si="8"/>
        <v>108.91773856131995</v>
      </c>
      <c r="AM8" s="111">
        <f>AM7*AM36</f>
        <v>112.18527071815956</v>
      </c>
      <c r="AN8" s="111">
        <f t="shared" ref="AN8:AX8" si="9">AN7*AN36</f>
        <v>115.55082883970435</v>
      </c>
      <c r="AO8" s="111">
        <f t="shared" si="9"/>
        <v>119.01735370489548</v>
      </c>
      <c r="AP8" s="111">
        <f t="shared" si="9"/>
        <v>122.58787431604236</v>
      </c>
      <c r="AQ8" s="111">
        <f t="shared" si="9"/>
        <v>126.26551054552363</v>
      </c>
      <c r="AR8" s="111">
        <f t="shared" si="9"/>
        <v>130.05347586188932</v>
      </c>
      <c r="AS8" s="111">
        <f t="shared" si="9"/>
        <v>133.95508013774602</v>
      </c>
      <c r="AT8" s="111">
        <f t="shared" si="9"/>
        <v>137.97373254187843</v>
      </c>
      <c r="AU8" s="111">
        <f t="shared" si="9"/>
        <v>142.11294451813478</v>
      </c>
      <c r="AV8" s="111">
        <f t="shared" si="9"/>
        <v>146.3763328536788</v>
      </c>
      <c r="AW8" s="111">
        <f t="shared" si="9"/>
        <v>150.7676228392892</v>
      </c>
      <c r="AX8" s="111">
        <f t="shared" si="9"/>
        <v>155.29065152446788</v>
      </c>
      <c r="AY8" s="111">
        <f>AY7*AY36</f>
        <v>155.29065152446788</v>
      </c>
      <c r="AZ8" s="111">
        <f>AZ7*AZ36</f>
        <v>159.94937107020192</v>
      </c>
      <c r="BA8" s="111">
        <f>BA7*BA36</f>
        <v>164.74785220230797</v>
      </c>
      <c r="BB8" s="111">
        <f>BB7*BB36</f>
        <v>169.6902877683772</v>
      </c>
      <c r="BC8" s="111">
        <f t="shared" ref="BC8:BG8" si="10">BC7*BC36</f>
        <v>173.08409352374477</v>
      </c>
      <c r="BD8" s="111">
        <f t="shared" si="10"/>
        <v>176.54577539421967</v>
      </c>
      <c r="BE8" s="111">
        <f t="shared" si="10"/>
        <v>180.07669090210408</v>
      </c>
      <c r="BF8" s="111">
        <f t="shared" si="10"/>
        <v>183.67822472014615</v>
      </c>
      <c r="BG8" s="111">
        <f t="shared" si="10"/>
        <v>187.35178921454909</v>
      </c>
    </row>
    <row r="9" spans="1:59" ht="13.75" customHeight="1">
      <c r="A9" s="141" t="s">
        <v>86</v>
      </c>
      <c r="B9" s="165"/>
      <c r="C9" s="165"/>
      <c r="D9" s="166" t="s">
        <v>87</v>
      </c>
      <c r="E9" s="167"/>
      <c r="F9" s="168" t="s">
        <v>105</v>
      </c>
      <c r="G9" s="168" t="s">
        <v>3</v>
      </c>
      <c r="H9" s="168"/>
      <c r="I9" s="168" t="s">
        <v>90</v>
      </c>
      <c r="J9" s="123">
        <v>8.7000000000000022E-2</v>
      </c>
      <c r="K9" s="123">
        <v>0.11099999999999995</v>
      </c>
      <c r="L9" s="123">
        <v>0.15</v>
      </c>
      <c r="M9" s="123">
        <v>0.10400000000000005</v>
      </c>
      <c r="N9" s="123">
        <v>0.12400000000000005</v>
      </c>
      <c r="O9" s="123">
        <v>0.13500000000000001</v>
      </c>
      <c r="P9" s="123">
        <v>0.12099999999999994</v>
      </c>
      <c r="Q9" s="123">
        <v>2.4000000000000056E-2</v>
      </c>
      <c r="R9" s="123">
        <v>0.03</v>
      </c>
      <c r="S9" s="123">
        <v>5.9000000000000059E-2</v>
      </c>
      <c r="T9" s="123">
        <v>5.0000000000000001E-3</v>
      </c>
      <c r="U9" s="107">
        <v>5.8000000000000003E-2</v>
      </c>
      <c r="V9" s="107">
        <v>4.8000000000000001E-2</v>
      </c>
      <c r="W9" s="107">
        <v>-1.2000000000000028E-2</v>
      </c>
      <c r="X9" s="107">
        <v>-2.4000000000000056E-2</v>
      </c>
      <c r="Y9" s="107">
        <v>-4.4999999999999998E-2</v>
      </c>
      <c r="Z9" s="107">
        <v>-5.0000000000000001E-3</v>
      </c>
      <c r="AA9" s="107">
        <v>7.9999999999998291E-4</v>
      </c>
      <c r="AB9" s="107">
        <v>9.0250000000000347E-3</v>
      </c>
      <c r="AC9" s="107">
        <v>-1.9749999999999979E-2</v>
      </c>
      <c r="AD9" s="107">
        <v>3.0790398424308384E-2</v>
      </c>
      <c r="AE9" s="107">
        <v>-9.4520199691621159E-3</v>
      </c>
      <c r="AF9" s="107">
        <v>4.4452944161055614E-2</v>
      </c>
      <c r="AG9" s="107">
        <v>-9.2610277905554733E-3</v>
      </c>
      <c r="AH9" s="107">
        <v>9.4512368123722303E-3</v>
      </c>
      <c r="AI9" s="107">
        <v>1.2054108080999538E-2</v>
      </c>
      <c r="AJ9" s="107">
        <f t="shared" ref="AJ9:AY10" si="11">AI9</f>
        <v>1.2054108080999538E-2</v>
      </c>
      <c r="AK9" s="107">
        <f t="shared" si="11"/>
        <v>1.2054108080999538E-2</v>
      </c>
      <c r="AL9" s="107">
        <f t="shared" si="11"/>
        <v>1.2054108080999538E-2</v>
      </c>
      <c r="AM9" s="107">
        <f t="shared" si="11"/>
        <v>1.2054108080999538E-2</v>
      </c>
      <c r="AN9" s="107">
        <f t="shared" si="11"/>
        <v>1.2054108080999538E-2</v>
      </c>
      <c r="AO9" s="107">
        <f t="shared" si="11"/>
        <v>1.2054108080999538E-2</v>
      </c>
      <c r="AP9" s="107">
        <f t="shared" si="11"/>
        <v>1.2054108080999538E-2</v>
      </c>
      <c r="AQ9" s="107">
        <f t="shared" si="11"/>
        <v>1.2054108080999538E-2</v>
      </c>
      <c r="AR9" s="107">
        <f t="shared" si="11"/>
        <v>1.2054108080999538E-2</v>
      </c>
      <c r="AS9" s="107">
        <f t="shared" si="11"/>
        <v>1.2054108080999538E-2</v>
      </c>
      <c r="AT9" s="107">
        <f t="shared" si="11"/>
        <v>1.2054108080999538E-2</v>
      </c>
      <c r="AU9" s="107">
        <f t="shared" si="11"/>
        <v>1.2054108080999538E-2</v>
      </c>
      <c r="AV9" s="107">
        <f t="shared" si="11"/>
        <v>1.2054108080999538E-2</v>
      </c>
      <c r="AW9" s="107">
        <f t="shared" si="11"/>
        <v>1.2054108080999538E-2</v>
      </c>
      <c r="AX9" s="107">
        <f t="shared" si="11"/>
        <v>1.2054108080999538E-2</v>
      </c>
      <c r="AY9" s="107">
        <f t="shared" si="11"/>
        <v>1.2054108080999538E-2</v>
      </c>
      <c r="AZ9" s="107">
        <f t="shared" ref="AY9:BG10" si="12">AY9</f>
        <v>1.2054108080999538E-2</v>
      </c>
      <c r="BA9" s="107">
        <f t="shared" si="12"/>
        <v>1.2054108080999538E-2</v>
      </c>
      <c r="BB9" s="107">
        <f t="shared" si="12"/>
        <v>1.2054108080999538E-2</v>
      </c>
      <c r="BC9" s="107">
        <f t="shared" si="12"/>
        <v>1.2054108080999538E-2</v>
      </c>
      <c r="BD9" s="107">
        <f t="shared" si="12"/>
        <v>1.2054108080999538E-2</v>
      </c>
      <c r="BE9" s="107">
        <f t="shared" si="12"/>
        <v>1.2054108080999538E-2</v>
      </c>
      <c r="BF9" s="107">
        <f t="shared" si="12"/>
        <v>1.2054108080999538E-2</v>
      </c>
      <c r="BG9" s="107">
        <f t="shared" si="12"/>
        <v>1.2054108080999538E-2</v>
      </c>
    </row>
    <row r="10" spans="1:59" ht="13.75" customHeight="1">
      <c r="A10" s="141" t="s">
        <v>86</v>
      </c>
      <c r="B10" s="165"/>
      <c r="C10" s="165"/>
      <c r="D10" s="166" t="s">
        <v>87</v>
      </c>
      <c r="E10" s="167"/>
      <c r="F10" s="168" t="s">
        <v>106</v>
      </c>
      <c r="G10" s="168" t="s">
        <v>3</v>
      </c>
      <c r="H10" s="168"/>
      <c r="I10" s="168" t="s">
        <v>107</v>
      </c>
      <c r="J10" s="123">
        <v>1.8812499999999999E-2</v>
      </c>
      <c r="K10" s="123">
        <v>1.38E-2</v>
      </c>
      <c r="L10" s="123">
        <v>1.1518800000000001E-2</v>
      </c>
      <c r="M10" s="123">
        <v>2.5643799999999998E-2</v>
      </c>
      <c r="N10" s="123">
        <v>4.53625E-2</v>
      </c>
      <c r="O10" s="123">
        <v>5.3600000000000002E-2</v>
      </c>
      <c r="P10" s="123">
        <v>4.7024999999999997E-2</v>
      </c>
      <c r="Q10" s="123">
        <v>1.4250000000000001E-2</v>
      </c>
      <c r="R10" s="123">
        <v>2.5063000000000004E-3</v>
      </c>
      <c r="S10" s="123">
        <v>3.0281000000000001E-3</v>
      </c>
      <c r="T10" s="114">
        <v>5.8099999999999992E-3</v>
      </c>
      <c r="U10" s="107">
        <v>4.3006071428571399E-3</v>
      </c>
      <c r="V10" s="107">
        <v>2.6720118577075098E-3</v>
      </c>
      <c r="W10" s="107">
        <v>2.3369980237154201E-3</v>
      </c>
      <c r="X10" s="107">
        <v>6.1269999999999996E-3</v>
      </c>
      <c r="Y10" s="110">
        <v>9.9789000000000006E-3</v>
      </c>
      <c r="Z10" s="110">
        <v>1.6942800000000001E-2</v>
      </c>
      <c r="AA10" s="110">
        <v>2.8076300000000002E-2</v>
      </c>
      <c r="AB10" s="110">
        <v>1.9083800000000001E-2</v>
      </c>
      <c r="AC10" s="110">
        <v>2.3999999999999998E-3</v>
      </c>
      <c r="AD10" s="110">
        <v>2.0999999999999999E-3</v>
      </c>
      <c r="AE10" s="110">
        <v>4.7699999999999992E-2</v>
      </c>
      <c r="AF10" s="110">
        <v>5.7000000000000002E-2</v>
      </c>
      <c r="AG10" s="107">
        <v>2.9529999999999997E-2</v>
      </c>
      <c r="AH10" s="110">
        <v>2.5000000000000001E-2</v>
      </c>
      <c r="AI10" s="110">
        <v>2.5499999999999998E-2</v>
      </c>
      <c r="AJ10" s="110">
        <v>9.4999999999999998E-3</v>
      </c>
      <c r="AK10" s="110">
        <f t="shared" si="11"/>
        <v>9.4999999999999998E-3</v>
      </c>
      <c r="AL10" s="110">
        <f t="shared" si="11"/>
        <v>9.4999999999999998E-3</v>
      </c>
      <c r="AM10" s="110">
        <f t="shared" si="11"/>
        <v>9.4999999999999998E-3</v>
      </c>
      <c r="AN10" s="110">
        <f t="shared" si="11"/>
        <v>9.4999999999999998E-3</v>
      </c>
      <c r="AO10" s="110">
        <f t="shared" si="11"/>
        <v>9.4999999999999998E-3</v>
      </c>
      <c r="AP10" s="110">
        <f t="shared" si="11"/>
        <v>9.4999999999999998E-3</v>
      </c>
      <c r="AQ10" s="110">
        <f t="shared" si="11"/>
        <v>9.4999999999999998E-3</v>
      </c>
      <c r="AR10" s="110">
        <f t="shared" si="11"/>
        <v>9.4999999999999998E-3</v>
      </c>
      <c r="AS10" s="110">
        <f t="shared" si="11"/>
        <v>9.4999999999999998E-3</v>
      </c>
      <c r="AT10" s="110">
        <f t="shared" si="11"/>
        <v>9.4999999999999998E-3</v>
      </c>
      <c r="AU10" s="110">
        <f t="shared" si="11"/>
        <v>9.4999999999999998E-3</v>
      </c>
      <c r="AV10" s="110">
        <f t="shared" si="11"/>
        <v>9.4999999999999998E-3</v>
      </c>
      <c r="AW10" s="110">
        <f t="shared" si="11"/>
        <v>9.4999999999999998E-3</v>
      </c>
      <c r="AX10" s="110">
        <f t="shared" si="11"/>
        <v>9.4999999999999998E-3</v>
      </c>
      <c r="AY10" s="110">
        <f t="shared" si="12"/>
        <v>9.4999999999999998E-3</v>
      </c>
      <c r="AZ10" s="110">
        <f t="shared" si="12"/>
        <v>9.4999999999999998E-3</v>
      </c>
      <c r="BA10" s="110">
        <f t="shared" si="12"/>
        <v>9.4999999999999998E-3</v>
      </c>
      <c r="BB10" s="110">
        <f t="shared" si="12"/>
        <v>9.4999999999999998E-3</v>
      </c>
      <c r="BC10" s="110">
        <f t="shared" si="12"/>
        <v>9.4999999999999998E-3</v>
      </c>
      <c r="BD10" s="110">
        <f t="shared" si="12"/>
        <v>9.4999999999999998E-3</v>
      </c>
      <c r="BE10" s="110">
        <f t="shared" si="12"/>
        <v>9.4999999999999998E-3</v>
      </c>
      <c r="BF10" s="110">
        <f t="shared" si="12"/>
        <v>9.4999999999999998E-3</v>
      </c>
      <c r="BG10" s="110">
        <f t="shared" si="12"/>
        <v>9.4999999999999998E-3</v>
      </c>
    </row>
    <row r="11" spans="1:59" ht="13.75" customHeight="1">
      <c r="A11" s="141" t="s">
        <v>86</v>
      </c>
      <c r="B11" s="165"/>
      <c r="C11" s="165"/>
      <c r="D11" s="165" t="s">
        <v>87</v>
      </c>
      <c r="E11" s="167"/>
      <c r="F11" s="168" t="s">
        <v>108</v>
      </c>
      <c r="G11" s="168" t="s">
        <v>3</v>
      </c>
      <c r="H11" s="168"/>
      <c r="I11" s="168" t="s">
        <v>109</v>
      </c>
      <c r="J11" s="123"/>
      <c r="K11" s="123"/>
      <c r="L11" s="123"/>
      <c r="M11" s="123"/>
      <c r="N11" s="123">
        <v>6.2199999999999998E-2</v>
      </c>
      <c r="O11" s="123">
        <v>5.7999999999999996E-2</v>
      </c>
      <c r="P11" s="123">
        <v>6.7099999999999993E-2</v>
      </c>
      <c r="Q11" s="123">
        <v>0.218</v>
      </c>
      <c r="R11" s="123">
        <v>7.0499999999999993E-2</v>
      </c>
      <c r="S11" s="123">
        <v>4.0599999999999997E-2</v>
      </c>
      <c r="T11" s="123">
        <v>7.22E-2</v>
      </c>
      <c r="U11" s="107">
        <v>7.0919918699186998E-2</v>
      </c>
      <c r="V11" s="107">
        <v>7.0100406504065002E-2</v>
      </c>
      <c r="W11" s="107">
        <v>0.105294331983806</v>
      </c>
      <c r="X11" s="107">
        <v>0.11789999999999999</v>
      </c>
      <c r="Y11" s="110">
        <v>0.10490000000000001</v>
      </c>
      <c r="Z11" s="110">
        <v>7.8799999999999995E-2</v>
      </c>
      <c r="AA11" s="110">
        <v>8.5800000000000001E-2</v>
      </c>
      <c r="AB11" s="110">
        <v>6.4500000000000002E-2</v>
      </c>
      <c r="AC11" s="110">
        <v>4.9200000000000001E-2</v>
      </c>
      <c r="AD11" s="110">
        <v>9.5000000000000001E-2</v>
      </c>
      <c r="AE11" s="110">
        <v>8.4100000000000008E-2</v>
      </c>
      <c r="AF11" s="110">
        <v>9.5500000000000002E-2</v>
      </c>
      <c r="AG11" s="107">
        <v>8.900000000000001E-2</v>
      </c>
      <c r="AH11" s="110">
        <f t="shared" ref="AH11:BB11" si="13">AG11+(AH$39-AG$39)</f>
        <v>4.4000000000000011E-2</v>
      </c>
      <c r="AI11" s="110">
        <f t="shared" si="13"/>
        <v>1.9000000000000003E-2</v>
      </c>
      <c r="AJ11" s="110">
        <f t="shared" si="13"/>
        <v>1.9000000000000003E-2</v>
      </c>
      <c r="AK11" s="110">
        <f t="shared" si="13"/>
        <v>1.9000000000000003E-2</v>
      </c>
      <c r="AL11" s="110">
        <f t="shared" si="13"/>
        <v>1.9000000000000003E-2</v>
      </c>
      <c r="AM11" s="110">
        <f t="shared" si="13"/>
        <v>1.9000000000000003E-2</v>
      </c>
      <c r="AN11" s="110">
        <f t="shared" si="13"/>
        <v>1.9000000000000003E-2</v>
      </c>
      <c r="AO11" s="110">
        <f t="shared" si="13"/>
        <v>1.9000000000000003E-2</v>
      </c>
      <c r="AP11" s="110">
        <f t="shared" si="13"/>
        <v>1.9000000000000003E-2</v>
      </c>
      <c r="AQ11" s="110">
        <f t="shared" si="13"/>
        <v>1.9000000000000003E-2</v>
      </c>
      <c r="AR11" s="110">
        <f t="shared" si="13"/>
        <v>1.9000000000000003E-2</v>
      </c>
      <c r="AS11" s="110">
        <f t="shared" si="13"/>
        <v>1.9000000000000003E-2</v>
      </c>
      <c r="AT11" s="110">
        <f t="shared" si="13"/>
        <v>1.9000000000000003E-2</v>
      </c>
      <c r="AU11" s="110">
        <f t="shared" si="13"/>
        <v>1.9000000000000003E-2</v>
      </c>
      <c r="AV11" s="110">
        <f t="shared" si="13"/>
        <v>1.9000000000000003E-2</v>
      </c>
      <c r="AW11" s="110">
        <f t="shared" si="13"/>
        <v>1.9000000000000003E-2</v>
      </c>
      <c r="AX11" s="110">
        <f t="shared" si="13"/>
        <v>1.9000000000000003E-2</v>
      </c>
      <c r="AY11" s="110">
        <f t="shared" si="13"/>
        <v>1.9000000000000003E-2</v>
      </c>
      <c r="AZ11" s="110">
        <f t="shared" si="13"/>
        <v>1.9000000000000003E-2</v>
      </c>
      <c r="BA11" s="110">
        <f t="shared" si="13"/>
        <v>1.9000000000000003E-2</v>
      </c>
      <c r="BB11" s="110">
        <f t="shared" si="13"/>
        <v>1.9000000000000003E-2</v>
      </c>
      <c r="BC11" s="110">
        <f>BB11+(BC$39-BB$39)</f>
        <v>1.9000000000000003E-2</v>
      </c>
      <c r="BD11" s="110">
        <f>BC11+(BD$39-BC$39)</f>
        <v>1.9000000000000003E-2</v>
      </c>
      <c r="BE11" s="110">
        <f>BD11+(BE$39-BD$39)</f>
        <v>1.9000000000000003E-2</v>
      </c>
      <c r="BF11" s="110">
        <f>BE11+(BF$39-BE$39)</f>
        <v>1.9000000000000003E-2</v>
      </c>
      <c r="BG11" s="110">
        <f>BF11+(BG$39-BF$39)</f>
        <v>1.9000000000000003E-2</v>
      </c>
    </row>
    <row r="12" spans="1:59" ht="13.75" customHeight="1">
      <c r="A12" s="141" t="s">
        <v>86</v>
      </c>
      <c r="B12" s="165"/>
      <c r="C12" s="165"/>
      <c r="D12" s="165" t="s">
        <v>110</v>
      </c>
      <c r="E12" s="167"/>
      <c r="F12" s="168" t="s">
        <v>111</v>
      </c>
      <c r="G12" s="168" t="s">
        <v>3</v>
      </c>
      <c r="H12" s="168"/>
      <c r="I12" s="168" t="s">
        <v>112</v>
      </c>
      <c r="U12" s="107">
        <v>0.18</v>
      </c>
      <c r="V12" s="107">
        <v>0.18</v>
      </c>
      <c r="W12" s="107">
        <v>0.18</v>
      </c>
      <c r="X12" s="107">
        <v>0.18</v>
      </c>
      <c r="Y12" s="107">
        <v>0.18</v>
      </c>
      <c r="Z12" s="107">
        <v>0.18</v>
      </c>
      <c r="AA12" s="107">
        <v>0.18</v>
      </c>
      <c r="AB12" s="107">
        <v>0.2</v>
      </c>
      <c r="AC12" s="107">
        <v>0.2</v>
      </c>
      <c r="AD12" s="107">
        <v>0.2</v>
      </c>
      <c r="AE12" s="107">
        <f t="shared" ref="AE12:AT13" si="14">AD12</f>
        <v>0.2</v>
      </c>
      <c r="AF12" s="107">
        <f t="shared" si="14"/>
        <v>0.2</v>
      </c>
      <c r="AG12" s="107">
        <f t="shared" si="14"/>
        <v>0.2</v>
      </c>
      <c r="AH12" s="107">
        <f t="shared" si="14"/>
        <v>0.2</v>
      </c>
      <c r="AI12" s="107">
        <f t="shared" si="14"/>
        <v>0.2</v>
      </c>
      <c r="AJ12" s="107">
        <f t="shared" si="14"/>
        <v>0.2</v>
      </c>
      <c r="AK12" s="107">
        <f t="shared" si="14"/>
        <v>0.2</v>
      </c>
      <c r="AL12" s="107">
        <f t="shared" si="14"/>
        <v>0.2</v>
      </c>
      <c r="AM12" s="107">
        <f t="shared" si="14"/>
        <v>0.2</v>
      </c>
      <c r="AN12" s="107">
        <f t="shared" si="14"/>
        <v>0.2</v>
      </c>
      <c r="AO12" s="107">
        <f t="shared" si="14"/>
        <v>0.2</v>
      </c>
      <c r="AP12" s="107">
        <f t="shared" si="14"/>
        <v>0.2</v>
      </c>
      <c r="AQ12" s="107">
        <f t="shared" si="14"/>
        <v>0.2</v>
      </c>
      <c r="AR12" s="107">
        <f t="shared" si="14"/>
        <v>0.2</v>
      </c>
      <c r="AS12" s="107">
        <f t="shared" si="14"/>
        <v>0.2</v>
      </c>
      <c r="AT12" s="107">
        <f t="shared" si="14"/>
        <v>0.2</v>
      </c>
      <c r="AU12" s="107">
        <f t="shared" ref="AU12:BG13" si="15">AT12</f>
        <v>0.2</v>
      </c>
      <c r="AV12" s="107">
        <f t="shared" si="15"/>
        <v>0.2</v>
      </c>
      <c r="AW12" s="107">
        <f t="shared" si="15"/>
        <v>0.2</v>
      </c>
      <c r="AX12" s="107">
        <f t="shared" si="15"/>
        <v>0.2</v>
      </c>
      <c r="AY12" s="107">
        <f t="shared" si="15"/>
        <v>0.2</v>
      </c>
      <c r="AZ12" s="107">
        <f t="shared" si="15"/>
        <v>0.2</v>
      </c>
      <c r="BA12" s="107">
        <f t="shared" si="15"/>
        <v>0.2</v>
      </c>
      <c r="BB12" s="107">
        <f t="shared" si="15"/>
        <v>0.2</v>
      </c>
      <c r="BC12" s="107">
        <f t="shared" si="15"/>
        <v>0.2</v>
      </c>
      <c r="BD12" s="107">
        <f t="shared" si="15"/>
        <v>0.2</v>
      </c>
      <c r="BE12" s="107">
        <f t="shared" si="15"/>
        <v>0.2</v>
      </c>
      <c r="BF12" s="107">
        <f t="shared" si="15"/>
        <v>0.2</v>
      </c>
      <c r="BG12" s="107">
        <f t="shared" si="15"/>
        <v>0.2</v>
      </c>
    </row>
    <row r="13" spans="1:59" ht="13.75" customHeight="1">
      <c r="A13" s="141" t="s">
        <v>86</v>
      </c>
      <c r="B13" s="165"/>
      <c r="C13" s="165"/>
      <c r="D13" s="165" t="s">
        <v>110</v>
      </c>
      <c r="E13" s="167"/>
      <c r="F13" s="168" t="s">
        <v>113</v>
      </c>
      <c r="G13" s="168" t="s">
        <v>3</v>
      </c>
      <c r="H13" s="168"/>
      <c r="I13" s="168" t="s">
        <v>112</v>
      </c>
      <c r="U13" s="107">
        <v>0.13</v>
      </c>
      <c r="V13" s="107">
        <v>0.13</v>
      </c>
      <c r="W13" s="107">
        <v>0.13</v>
      </c>
      <c r="X13" s="107">
        <v>0.13</v>
      </c>
      <c r="Y13" s="107">
        <v>0.13</v>
      </c>
      <c r="Z13" s="107">
        <v>0.13</v>
      </c>
      <c r="AA13" s="107">
        <v>0.13</v>
      </c>
      <c r="AB13" s="107">
        <v>0.13</v>
      </c>
      <c r="AC13" s="107">
        <v>0.13</v>
      </c>
      <c r="AD13" s="107">
        <v>0.13</v>
      </c>
      <c r="AE13" s="107">
        <f t="shared" si="14"/>
        <v>0.13</v>
      </c>
      <c r="AF13" s="107">
        <f t="shared" si="14"/>
        <v>0.13</v>
      </c>
      <c r="AG13" s="107">
        <v>0.13</v>
      </c>
      <c r="AH13" s="107">
        <v>0.13</v>
      </c>
      <c r="AI13" s="107">
        <f t="shared" si="14"/>
        <v>0.13</v>
      </c>
      <c r="AJ13" s="107">
        <v>0.13</v>
      </c>
      <c r="AK13" s="107">
        <f t="shared" si="14"/>
        <v>0.13</v>
      </c>
      <c r="AL13" s="107">
        <f t="shared" si="14"/>
        <v>0.13</v>
      </c>
      <c r="AM13" s="107">
        <f t="shared" si="14"/>
        <v>0.13</v>
      </c>
      <c r="AN13" s="107">
        <f t="shared" si="14"/>
        <v>0.13</v>
      </c>
      <c r="AO13" s="107">
        <f t="shared" si="14"/>
        <v>0.13</v>
      </c>
      <c r="AP13" s="107">
        <f t="shared" si="14"/>
        <v>0.13</v>
      </c>
      <c r="AQ13" s="107">
        <f t="shared" si="14"/>
        <v>0.13</v>
      </c>
      <c r="AR13" s="107">
        <f t="shared" si="14"/>
        <v>0.13</v>
      </c>
      <c r="AS13" s="107">
        <f t="shared" si="14"/>
        <v>0.13</v>
      </c>
      <c r="AT13" s="107">
        <f t="shared" si="14"/>
        <v>0.13</v>
      </c>
      <c r="AU13" s="107">
        <f t="shared" si="15"/>
        <v>0.13</v>
      </c>
      <c r="AV13" s="107">
        <f t="shared" si="15"/>
        <v>0.13</v>
      </c>
      <c r="AW13" s="107">
        <f t="shared" si="15"/>
        <v>0.13</v>
      </c>
      <c r="AX13" s="107">
        <f t="shared" si="15"/>
        <v>0.13</v>
      </c>
      <c r="AY13" s="107">
        <f t="shared" si="15"/>
        <v>0.13</v>
      </c>
      <c r="AZ13" s="107">
        <f t="shared" si="15"/>
        <v>0.13</v>
      </c>
      <c r="BA13" s="107">
        <f t="shared" si="15"/>
        <v>0.13</v>
      </c>
      <c r="BB13" s="107">
        <f t="shared" si="15"/>
        <v>0.13</v>
      </c>
      <c r="BC13" s="107">
        <f t="shared" si="15"/>
        <v>0.13</v>
      </c>
      <c r="BD13" s="107">
        <f t="shared" si="15"/>
        <v>0.13</v>
      </c>
      <c r="BE13" s="107">
        <f t="shared" si="15"/>
        <v>0.13</v>
      </c>
      <c r="BF13" s="107">
        <f t="shared" si="15"/>
        <v>0.13</v>
      </c>
      <c r="BG13" s="107">
        <f t="shared" si="15"/>
        <v>0.13</v>
      </c>
    </row>
    <row r="14" spans="1:59" ht="13.75" customHeight="1">
      <c r="A14" s="141" t="s">
        <v>86</v>
      </c>
      <c r="B14" s="165"/>
      <c r="D14" s="142" t="s">
        <v>87</v>
      </c>
      <c r="F14" s="168" t="s">
        <v>114</v>
      </c>
      <c r="G14" s="168" t="s">
        <v>100</v>
      </c>
      <c r="I14" s="168" t="s">
        <v>90</v>
      </c>
      <c r="J14" s="147">
        <v>29.17</v>
      </c>
      <c r="K14" s="147">
        <v>31.35</v>
      </c>
      <c r="L14" s="147">
        <v>30.68</v>
      </c>
      <c r="M14" s="147">
        <v>28.81</v>
      </c>
      <c r="N14" s="147">
        <v>28.7</v>
      </c>
      <c r="O14" s="147">
        <v>27.18</v>
      </c>
      <c r="P14" s="147">
        <v>25.57</v>
      </c>
      <c r="Q14" s="147">
        <v>24.81</v>
      </c>
      <c r="R14" s="147">
        <v>31.68</v>
      </c>
      <c r="S14" s="147">
        <v>30.36</v>
      </c>
      <c r="T14" s="147">
        <v>29.35</v>
      </c>
      <c r="U14" s="111">
        <v>31.07</v>
      </c>
      <c r="V14" s="111">
        <v>31.82</v>
      </c>
      <c r="W14" s="111">
        <v>38.380000000000003</v>
      </c>
      <c r="X14" s="111">
        <v>60.94</v>
      </c>
      <c r="Y14" s="111">
        <v>67.05</v>
      </c>
      <c r="Z14" s="111">
        <v>58.298184615384642</v>
      </c>
      <c r="AA14" s="111">
        <v>62.926389473684253</v>
      </c>
      <c r="AB14" s="111">
        <v>64.618432113821143</v>
      </c>
      <c r="AC14" s="111">
        <v>72.323002057613166</v>
      </c>
      <c r="AD14" s="111">
        <v>73.654349999999994</v>
      </c>
      <c r="AE14" s="111">
        <v>68.485225</v>
      </c>
      <c r="AF14" s="111">
        <v>85.046666666666653</v>
      </c>
      <c r="AG14" s="111">
        <v>100.7</v>
      </c>
      <c r="AH14" s="111">
        <v>93.750000000000014</v>
      </c>
      <c r="AI14" s="111">
        <v>93.04999999999994</v>
      </c>
      <c r="AJ14" s="111">
        <f>AI14*(1+AJ3-AJ4+1%)</f>
        <v>95.84149999999994</v>
      </c>
      <c r="AK14" s="111">
        <f t="shared" ref="AK14:BB14" si="16">AJ14*(1+AK3-AK4+1%)</f>
        <v>98.716744999999946</v>
      </c>
      <c r="AL14" s="111">
        <f t="shared" si="16"/>
        <v>101.67824734999995</v>
      </c>
      <c r="AM14" s="111">
        <f t="shared" si="16"/>
        <v>104.72859477049995</v>
      </c>
      <c r="AN14" s="111">
        <f t="shared" si="16"/>
        <v>107.87045261361496</v>
      </c>
      <c r="AO14" s="111">
        <f t="shared" si="16"/>
        <v>111.10656619202341</v>
      </c>
      <c r="AP14" s="111">
        <f t="shared" si="16"/>
        <v>114.43976317778412</v>
      </c>
      <c r="AQ14" s="111">
        <f t="shared" si="16"/>
        <v>117.87295607311765</v>
      </c>
      <c r="AR14" s="111">
        <f t="shared" si="16"/>
        <v>121.40914475531117</v>
      </c>
      <c r="AS14" s="111">
        <f t="shared" si="16"/>
        <v>125.05141909797051</v>
      </c>
      <c r="AT14" s="111">
        <f t="shared" si="16"/>
        <v>128.80296167090964</v>
      </c>
      <c r="AU14" s="111">
        <f t="shared" si="16"/>
        <v>132.66705052103694</v>
      </c>
      <c r="AV14" s="111">
        <f t="shared" si="16"/>
        <v>136.64706203666805</v>
      </c>
      <c r="AW14" s="111">
        <f t="shared" si="16"/>
        <v>140.74647389776808</v>
      </c>
      <c r="AX14" s="111">
        <f t="shared" si="16"/>
        <v>144.96886811470114</v>
      </c>
      <c r="AY14" s="111">
        <f t="shared" si="16"/>
        <v>149.31793415814218</v>
      </c>
      <c r="AZ14" s="111">
        <f t="shared" si="16"/>
        <v>153.79747218288645</v>
      </c>
      <c r="BA14" s="111">
        <f t="shared" si="16"/>
        <v>158.41139634837305</v>
      </c>
      <c r="BB14" s="111">
        <f t="shared" si="16"/>
        <v>163.16373823882424</v>
      </c>
      <c r="BC14" s="111">
        <f t="shared" ref="BC14:BG14" si="17">BB14*(1+BC3-BC4)</f>
        <v>166.42701300360073</v>
      </c>
      <c r="BD14" s="111">
        <f t="shared" si="17"/>
        <v>169.75555326367277</v>
      </c>
      <c r="BE14" s="111">
        <f t="shared" si="17"/>
        <v>173.15066432894622</v>
      </c>
      <c r="BF14" s="111">
        <f t="shared" si="17"/>
        <v>176.61367761552515</v>
      </c>
      <c r="BG14" s="111">
        <f t="shared" si="17"/>
        <v>180.14595116783565</v>
      </c>
    </row>
    <row r="15" spans="1:59" ht="13.75" customHeight="1">
      <c r="A15" s="141" t="s">
        <v>86</v>
      </c>
      <c r="B15" s="165"/>
      <c r="D15" s="166" t="s">
        <v>87</v>
      </c>
      <c r="E15" s="167"/>
      <c r="F15" s="168" t="s">
        <v>115</v>
      </c>
      <c r="G15" s="168" t="s">
        <v>103</v>
      </c>
      <c r="H15" s="168"/>
      <c r="I15" s="168" t="s">
        <v>116</v>
      </c>
      <c r="J15" s="147">
        <v>26.13</v>
      </c>
      <c r="K15" s="147">
        <v>29.65</v>
      </c>
      <c r="L15" s="147">
        <v>34.69</v>
      </c>
      <c r="M15" s="147">
        <v>35.81</v>
      </c>
      <c r="N15" s="147">
        <v>34.17</v>
      </c>
      <c r="O15" s="147">
        <v>34.11</v>
      </c>
      <c r="P15" s="147">
        <v>35.01</v>
      </c>
      <c r="Q15" s="147">
        <v>36.409999999999997</v>
      </c>
      <c r="R15" s="147">
        <v>44.13</v>
      </c>
      <c r="S15" s="147">
        <v>40.270000000000003</v>
      </c>
      <c r="T15" s="147">
        <v>40.869999999999997</v>
      </c>
      <c r="U15" s="111">
        <v>39.937520491803269</v>
      </c>
      <c r="V15" s="111">
        <v>42.38285477178421</v>
      </c>
      <c r="W15" s="111">
        <v>51.002878099173586</v>
      </c>
      <c r="X15" s="111">
        <v>67.977302469135793</v>
      </c>
      <c r="Y15" s="111">
        <v>73.992421774193559</v>
      </c>
      <c r="Z15" s="111">
        <v>66.030461943319835</v>
      </c>
      <c r="AA15" s="111">
        <v>74.132998785425059</v>
      </c>
      <c r="AB15" s="111">
        <v>72.318717479674788</v>
      </c>
      <c r="AC15" s="111">
        <v>82.835824279835293</v>
      </c>
      <c r="AD15" s="111">
        <v>87.086124596774255</v>
      </c>
      <c r="AE15" s="111">
        <f t="shared" ref="AE15" si="18">AE14*AE35</f>
        <v>72.02233850310796</v>
      </c>
      <c r="AF15" s="111">
        <f>AF14*AF35</f>
        <v>91.686149287112158</v>
      </c>
      <c r="AG15" s="111">
        <f t="shared" ref="AG15:AL15" si="19">AG14*AG35</f>
        <v>103.38533333333335</v>
      </c>
      <c r="AH15" s="111">
        <f t="shared" si="19"/>
        <v>97.500000000000014</v>
      </c>
      <c r="AI15" s="111">
        <f t="shared" si="19"/>
        <v>96.771999999999935</v>
      </c>
      <c r="AJ15" s="111">
        <f t="shared" si="19"/>
        <v>99.675159999999934</v>
      </c>
      <c r="AK15" s="111">
        <f t="shared" si="19"/>
        <v>102.66541479999995</v>
      </c>
      <c r="AL15" s="111">
        <f t="shared" si="19"/>
        <v>105.74537724399995</v>
      </c>
      <c r="AM15" s="111">
        <f>AM14*AM35</f>
        <v>108.91773856131995</v>
      </c>
      <c r="AN15" s="111">
        <f t="shared" ref="AN15:AX15" si="20">AN14*AN35</f>
        <v>112.18527071815956</v>
      </c>
      <c r="AO15" s="111">
        <f t="shared" si="20"/>
        <v>115.55082883970435</v>
      </c>
      <c r="AP15" s="111">
        <f t="shared" si="20"/>
        <v>119.01735370489548</v>
      </c>
      <c r="AQ15" s="111">
        <f t="shared" si="20"/>
        <v>122.58787431604236</v>
      </c>
      <c r="AR15" s="111">
        <f t="shared" si="20"/>
        <v>126.26551054552363</v>
      </c>
      <c r="AS15" s="111">
        <f t="shared" si="20"/>
        <v>130.05347586188932</v>
      </c>
      <c r="AT15" s="111">
        <f t="shared" si="20"/>
        <v>133.95508013774602</v>
      </c>
      <c r="AU15" s="111">
        <f t="shared" si="20"/>
        <v>137.97373254187843</v>
      </c>
      <c r="AV15" s="111">
        <f t="shared" si="20"/>
        <v>142.11294451813478</v>
      </c>
      <c r="AW15" s="111">
        <f t="shared" si="20"/>
        <v>146.3763328536788</v>
      </c>
      <c r="AX15" s="111">
        <f t="shared" si="20"/>
        <v>150.7676228392892</v>
      </c>
      <c r="AY15" s="111">
        <f>AY14*AY35</f>
        <v>155.29065152446788</v>
      </c>
      <c r="AZ15" s="111">
        <f>AZ14*AZ35</f>
        <v>159.94937107020192</v>
      </c>
      <c r="BA15" s="111">
        <f>BA14*BA35</f>
        <v>164.74785220230797</v>
      </c>
      <c r="BB15" s="111">
        <f>BB14*BB35</f>
        <v>169.6902877683772</v>
      </c>
      <c r="BC15" s="111">
        <f t="shared" ref="BC15" si="21">BC14*BC35</f>
        <v>173.08409352374477</v>
      </c>
      <c r="BD15" s="111">
        <f>BD14*BD35</f>
        <v>176.54577539421967</v>
      </c>
      <c r="BE15" s="111">
        <f>BE14*BE35</f>
        <v>180.07669090210408</v>
      </c>
      <c r="BF15" s="111">
        <f>BF14*BF35</f>
        <v>183.67822472014615</v>
      </c>
      <c r="BG15" s="111">
        <f>BG14*BG35</f>
        <v>187.35178921454909</v>
      </c>
    </row>
    <row r="16" spans="1:59" ht="13.75" customHeight="1">
      <c r="A16" s="141" t="s">
        <v>86</v>
      </c>
      <c r="B16" s="165"/>
      <c r="C16" s="165"/>
      <c r="D16" s="165" t="s">
        <v>110</v>
      </c>
      <c r="E16" s="167"/>
      <c r="F16" s="168" t="s">
        <v>117</v>
      </c>
      <c r="G16" s="168" t="s">
        <v>3</v>
      </c>
      <c r="H16" s="168"/>
      <c r="I16" s="168" t="s">
        <v>118</v>
      </c>
      <c r="U16" s="107">
        <v>2.1999999999999999E-2</v>
      </c>
      <c r="V16" s="107">
        <v>2.1999999999999999E-2</v>
      </c>
      <c r="W16" s="107">
        <v>2.1999999999999999E-2</v>
      </c>
      <c r="X16" s="107">
        <v>2.1999999999999999E-2</v>
      </c>
      <c r="Y16" s="107">
        <v>2.1999999999999999E-2</v>
      </c>
      <c r="Z16" s="107">
        <v>2.1999999999999999E-2</v>
      </c>
      <c r="AA16" s="107">
        <v>2.1999999999999999E-2</v>
      </c>
      <c r="AB16" s="107">
        <v>2.1999999999999999E-2</v>
      </c>
      <c r="AC16" s="107">
        <v>2.1999999999999999E-2</v>
      </c>
      <c r="AD16" s="107">
        <v>2.1999999999999999E-2</v>
      </c>
      <c r="AE16" s="107">
        <f t="shared" ref="AE16:AF16" si="22">AD16</f>
        <v>2.1999999999999999E-2</v>
      </c>
      <c r="AF16" s="107">
        <f t="shared" si="22"/>
        <v>2.1999999999999999E-2</v>
      </c>
      <c r="AG16" s="107">
        <v>2.1999999999999999E-2</v>
      </c>
      <c r="AH16" s="107">
        <v>2.1999999999999999E-2</v>
      </c>
      <c r="AI16" s="107">
        <f t="shared" ref="AI16:AX18" si="23">AH16</f>
        <v>2.1999999999999999E-2</v>
      </c>
      <c r="AJ16" s="107">
        <v>2.1999999999999999E-2</v>
      </c>
      <c r="AK16" s="107">
        <f t="shared" si="23"/>
        <v>2.1999999999999999E-2</v>
      </c>
      <c r="AL16" s="107">
        <f t="shared" si="23"/>
        <v>2.1999999999999999E-2</v>
      </c>
      <c r="AM16" s="107">
        <f t="shared" si="23"/>
        <v>2.1999999999999999E-2</v>
      </c>
      <c r="AN16" s="107">
        <f t="shared" si="23"/>
        <v>2.1999999999999999E-2</v>
      </c>
      <c r="AO16" s="107">
        <f t="shared" si="23"/>
        <v>2.1999999999999999E-2</v>
      </c>
      <c r="AP16" s="107">
        <f t="shared" si="23"/>
        <v>2.1999999999999999E-2</v>
      </c>
      <c r="AQ16" s="107">
        <f t="shared" si="23"/>
        <v>2.1999999999999999E-2</v>
      </c>
      <c r="AR16" s="107">
        <f t="shared" si="23"/>
        <v>2.1999999999999999E-2</v>
      </c>
      <c r="AS16" s="107">
        <f t="shared" si="23"/>
        <v>2.1999999999999999E-2</v>
      </c>
      <c r="AT16" s="107">
        <f t="shared" si="23"/>
        <v>2.1999999999999999E-2</v>
      </c>
      <c r="AU16" s="107">
        <f t="shared" si="23"/>
        <v>2.1999999999999999E-2</v>
      </c>
      <c r="AV16" s="107">
        <f t="shared" si="23"/>
        <v>2.1999999999999999E-2</v>
      </c>
      <c r="AW16" s="107">
        <f t="shared" si="23"/>
        <v>2.1999999999999999E-2</v>
      </c>
      <c r="AX16" s="107">
        <f t="shared" si="23"/>
        <v>2.1999999999999999E-2</v>
      </c>
      <c r="AY16" s="107">
        <f t="shared" ref="AY16:BG18" si="24">AX16</f>
        <v>2.1999999999999999E-2</v>
      </c>
      <c r="AZ16" s="107">
        <f t="shared" si="24"/>
        <v>2.1999999999999999E-2</v>
      </c>
      <c r="BA16" s="107">
        <f t="shared" si="24"/>
        <v>2.1999999999999999E-2</v>
      </c>
      <c r="BB16" s="107">
        <f t="shared" si="24"/>
        <v>2.1999999999999999E-2</v>
      </c>
      <c r="BC16" s="107">
        <f t="shared" si="24"/>
        <v>2.1999999999999999E-2</v>
      </c>
      <c r="BD16" s="107">
        <f t="shared" si="24"/>
        <v>2.1999999999999999E-2</v>
      </c>
      <c r="BE16" s="107">
        <f t="shared" si="24"/>
        <v>2.1999999999999999E-2</v>
      </c>
      <c r="BF16" s="107">
        <f t="shared" si="24"/>
        <v>2.1999999999999999E-2</v>
      </c>
      <c r="BG16" s="107">
        <f t="shared" si="24"/>
        <v>2.1999999999999999E-2</v>
      </c>
    </row>
    <row r="17" spans="1:59" ht="13.75" customHeight="1">
      <c r="A17" s="141" t="s">
        <v>86</v>
      </c>
      <c r="B17" s="165"/>
      <c r="C17" s="165"/>
      <c r="D17" s="165" t="s">
        <v>110</v>
      </c>
      <c r="E17" s="167"/>
      <c r="F17" s="168" t="s">
        <v>119</v>
      </c>
      <c r="G17" s="168" t="s">
        <v>3</v>
      </c>
      <c r="H17" s="168"/>
      <c r="I17" s="168" t="s">
        <v>118</v>
      </c>
      <c r="W17" s="107">
        <v>8.9999999999999993E-3</v>
      </c>
      <c r="X17" s="107">
        <v>1.2E-2</v>
      </c>
      <c r="Y17" s="107">
        <v>1.2999999999999999E-2</v>
      </c>
      <c r="Z17" s="107">
        <v>1.4E-2</v>
      </c>
      <c r="AA17" s="107">
        <v>1.4999999999999999E-2</v>
      </c>
      <c r="AB17" s="107">
        <v>1.6E-2</v>
      </c>
      <c r="AC17" s="107">
        <v>1.7000000000000001E-2</v>
      </c>
      <c r="AD17" s="107">
        <v>1.8000000000000002E-2</v>
      </c>
      <c r="AE17" s="107">
        <f>AD17+0.1%</f>
        <v>1.9000000000000003E-2</v>
      </c>
      <c r="AF17" s="107">
        <f>AE17+0.1%</f>
        <v>2.0000000000000004E-2</v>
      </c>
      <c r="AG17" s="107">
        <f>AF17</f>
        <v>2.0000000000000004E-2</v>
      </c>
      <c r="AH17" s="107">
        <f>AG17</f>
        <v>2.0000000000000004E-2</v>
      </c>
      <c r="AI17" s="107">
        <f t="shared" si="23"/>
        <v>2.0000000000000004E-2</v>
      </c>
      <c r="AJ17" s="107">
        <f>AI17</f>
        <v>2.0000000000000004E-2</v>
      </c>
      <c r="AK17" s="107">
        <f t="shared" si="23"/>
        <v>2.0000000000000004E-2</v>
      </c>
      <c r="AL17" s="107">
        <f t="shared" si="23"/>
        <v>2.0000000000000004E-2</v>
      </c>
      <c r="AM17" s="107">
        <f t="shared" si="23"/>
        <v>2.0000000000000004E-2</v>
      </c>
      <c r="AN17" s="107">
        <f t="shared" si="23"/>
        <v>2.0000000000000004E-2</v>
      </c>
      <c r="AO17" s="107">
        <f t="shared" si="23"/>
        <v>2.0000000000000004E-2</v>
      </c>
      <c r="AP17" s="107">
        <f t="shared" si="23"/>
        <v>2.0000000000000004E-2</v>
      </c>
      <c r="AQ17" s="107">
        <f t="shared" si="23"/>
        <v>2.0000000000000004E-2</v>
      </c>
      <c r="AR17" s="107">
        <f t="shared" si="23"/>
        <v>2.0000000000000004E-2</v>
      </c>
      <c r="AS17" s="107">
        <f t="shared" si="23"/>
        <v>2.0000000000000004E-2</v>
      </c>
      <c r="AT17" s="107">
        <f t="shared" si="23"/>
        <v>2.0000000000000004E-2</v>
      </c>
      <c r="AU17" s="107">
        <f t="shared" si="23"/>
        <v>2.0000000000000004E-2</v>
      </c>
      <c r="AV17" s="107">
        <f t="shared" si="23"/>
        <v>2.0000000000000004E-2</v>
      </c>
      <c r="AW17" s="107">
        <f t="shared" si="23"/>
        <v>2.0000000000000004E-2</v>
      </c>
      <c r="AX17" s="107">
        <f t="shared" si="23"/>
        <v>2.0000000000000004E-2</v>
      </c>
      <c r="AY17" s="107">
        <f t="shared" si="24"/>
        <v>2.0000000000000004E-2</v>
      </c>
      <c r="AZ17" s="107">
        <f t="shared" si="24"/>
        <v>2.0000000000000004E-2</v>
      </c>
      <c r="BA17" s="107">
        <f t="shared" si="24"/>
        <v>2.0000000000000004E-2</v>
      </c>
      <c r="BB17" s="107">
        <f t="shared" si="24"/>
        <v>2.0000000000000004E-2</v>
      </c>
      <c r="BC17" s="107">
        <f t="shared" si="24"/>
        <v>2.0000000000000004E-2</v>
      </c>
      <c r="BD17" s="107">
        <f t="shared" si="24"/>
        <v>2.0000000000000004E-2</v>
      </c>
      <c r="BE17" s="107">
        <f t="shared" si="24"/>
        <v>2.0000000000000004E-2</v>
      </c>
      <c r="BF17" s="107">
        <f t="shared" si="24"/>
        <v>2.0000000000000004E-2</v>
      </c>
      <c r="BG17" s="107">
        <f t="shared" si="24"/>
        <v>2.0000000000000004E-2</v>
      </c>
    </row>
    <row r="18" spans="1:59" ht="13.75" customHeight="1">
      <c r="A18" s="141" t="s">
        <v>86</v>
      </c>
      <c r="B18" s="165"/>
      <c r="C18" s="165"/>
      <c r="D18" s="165" t="s">
        <v>110</v>
      </c>
      <c r="E18" s="167"/>
      <c r="F18" s="168" t="s">
        <v>120</v>
      </c>
      <c r="G18" s="168" t="s">
        <v>3</v>
      </c>
      <c r="H18" s="168"/>
      <c r="I18" s="168" t="s">
        <v>118</v>
      </c>
      <c r="W18" s="107">
        <v>0.01</v>
      </c>
      <c r="X18" s="107">
        <v>1.4999999999999999E-2</v>
      </c>
      <c r="Y18" s="107">
        <v>0.02</v>
      </c>
      <c r="Z18" s="107">
        <v>0.02</v>
      </c>
      <c r="AA18" s="107">
        <v>0.02</v>
      </c>
      <c r="AB18" s="107">
        <v>0.02</v>
      </c>
      <c r="AC18" s="107">
        <v>0.02</v>
      </c>
      <c r="AD18" s="107">
        <v>0.02</v>
      </c>
      <c r="AE18" s="107">
        <f t="shared" ref="AE18:AF18" si="25">AD18</f>
        <v>0.02</v>
      </c>
      <c r="AF18" s="107">
        <f t="shared" si="25"/>
        <v>0.02</v>
      </c>
      <c r="AG18" s="107">
        <v>0.02</v>
      </c>
      <c r="AH18" s="107">
        <v>0.02</v>
      </c>
      <c r="AI18" s="107">
        <f t="shared" si="23"/>
        <v>0.02</v>
      </c>
      <c r="AJ18" s="107">
        <v>0.02</v>
      </c>
      <c r="AK18" s="107">
        <f t="shared" si="23"/>
        <v>0.02</v>
      </c>
      <c r="AL18" s="107">
        <f t="shared" si="23"/>
        <v>0.02</v>
      </c>
      <c r="AM18" s="107">
        <f t="shared" si="23"/>
        <v>0.02</v>
      </c>
      <c r="AN18" s="107">
        <f t="shared" si="23"/>
        <v>0.02</v>
      </c>
      <c r="AO18" s="107">
        <f t="shared" si="23"/>
        <v>0.02</v>
      </c>
      <c r="AP18" s="107">
        <f t="shared" si="23"/>
        <v>0.02</v>
      </c>
      <c r="AQ18" s="107">
        <f t="shared" si="23"/>
        <v>0.02</v>
      </c>
      <c r="AR18" s="107">
        <f t="shared" si="23"/>
        <v>0.02</v>
      </c>
      <c r="AS18" s="107">
        <f t="shared" si="23"/>
        <v>0.02</v>
      </c>
      <c r="AT18" s="107">
        <f t="shared" si="23"/>
        <v>0.02</v>
      </c>
      <c r="AU18" s="107">
        <f t="shared" si="23"/>
        <v>0.02</v>
      </c>
      <c r="AV18" s="107">
        <f t="shared" si="23"/>
        <v>0.02</v>
      </c>
      <c r="AW18" s="107">
        <f t="shared" si="23"/>
        <v>0.02</v>
      </c>
      <c r="AX18" s="107">
        <f t="shared" si="23"/>
        <v>0.02</v>
      </c>
      <c r="AY18" s="107">
        <f t="shared" si="24"/>
        <v>0.02</v>
      </c>
      <c r="AZ18" s="107">
        <f t="shared" si="24"/>
        <v>0.02</v>
      </c>
      <c r="BA18" s="107">
        <f t="shared" si="24"/>
        <v>0.02</v>
      </c>
      <c r="BB18" s="107">
        <f t="shared" si="24"/>
        <v>0.02</v>
      </c>
      <c r="BC18" s="107">
        <f t="shared" si="24"/>
        <v>0.02</v>
      </c>
      <c r="BD18" s="107">
        <f t="shared" si="24"/>
        <v>0.02</v>
      </c>
      <c r="BE18" s="107">
        <f t="shared" si="24"/>
        <v>0.02</v>
      </c>
      <c r="BF18" s="107">
        <f t="shared" si="24"/>
        <v>0.02</v>
      </c>
      <c r="BG18" s="107">
        <f t="shared" si="24"/>
        <v>0.02</v>
      </c>
    </row>
    <row r="19" spans="1:59" ht="13.75" customHeight="1">
      <c r="A19" s="141" t="s">
        <v>86</v>
      </c>
      <c r="B19" s="165"/>
      <c r="C19" s="165"/>
      <c r="D19" s="166" t="s">
        <v>87</v>
      </c>
      <c r="E19" s="167"/>
      <c r="F19" s="168" t="s">
        <v>121</v>
      </c>
      <c r="G19" s="168" t="s">
        <v>3</v>
      </c>
      <c r="H19" s="168"/>
      <c r="I19" s="168" t="s">
        <v>122</v>
      </c>
      <c r="J19" s="123">
        <v>0.45699999999999991</v>
      </c>
      <c r="K19" s="123">
        <v>0.34599999999999992</v>
      </c>
      <c r="L19" s="123">
        <v>0.26099999999999995</v>
      </c>
      <c r="M19" s="123">
        <v>0.22599999999999995</v>
      </c>
      <c r="N19" s="123">
        <v>0.26900000000000007</v>
      </c>
      <c r="O19" s="123">
        <v>0.24299999999999997</v>
      </c>
      <c r="P19" s="123">
        <v>0.27799999999999997</v>
      </c>
      <c r="Q19" s="123">
        <v>0.27200000000000002</v>
      </c>
      <c r="R19" s="123">
        <v>7.7999999999999972E-2</v>
      </c>
      <c r="S19" s="123">
        <v>0.12400000000000005</v>
      </c>
      <c r="T19" s="123">
        <v>0.115</v>
      </c>
      <c r="U19" s="107">
        <v>0.13900000000000001</v>
      </c>
      <c r="V19" s="107">
        <v>0.11899999999999999</v>
      </c>
      <c r="W19" s="107">
        <v>9.0999999999999998E-2</v>
      </c>
      <c r="X19" s="107">
        <v>5.0999999999999997E-2</v>
      </c>
      <c r="Y19" s="107">
        <v>7.9000000000000001E-2</v>
      </c>
      <c r="Z19" s="107">
        <v>6.7000000000000004E-2</v>
      </c>
      <c r="AA19" s="107">
        <v>0.10965864120305359</v>
      </c>
      <c r="AB19" s="107">
        <v>9.1798582669918569E-2</v>
      </c>
      <c r="AC19" s="107">
        <v>7.6035130421954866E-2</v>
      </c>
      <c r="AD19" s="107">
        <v>0.10656959085515826</v>
      </c>
      <c r="AE19" s="107">
        <v>0.13434235871235711</v>
      </c>
      <c r="AF19" s="107">
        <v>0.12369822870537896</v>
      </c>
      <c r="AG19" s="107">
        <v>7.1234994725342338E-2</v>
      </c>
      <c r="AH19" s="107">
        <v>5.9089944414710827E-2</v>
      </c>
      <c r="AI19" s="107">
        <v>5.3453889374339703E-2</v>
      </c>
      <c r="AJ19" s="107">
        <f t="shared" ref="AJ19:BB19" si="26">AJ3+AJ9</f>
        <v>5.2054108080999542E-2</v>
      </c>
      <c r="AK19" s="107">
        <f t="shared" si="26"/>
        <v>5.2054108080999542E-2</v>
      </c>
      <c r="AL19" s="107">
        <f t="shared" si="26"/>
        <v>5.2054108080999542E-2</v>
      </c>
      <c r="AM19" s="107">
        <f t="shared" si="26"/>
        <v>5.2054108080999542E-2</v>
      </c>
      <c r="AN19" s="107">
        <f t="shared" si="26"/>
        <v>5.2054108080999542E-2</v>
      </c>
      <c r="AO19" s="107">
        <f t="shared" si="26"/>
        <v>5.2054108080999542E-2</v>
      </c>
      <c r="AP19" s="107">
        <f t="shared" si="26"/>
        <v>5.2054108080999542E-2</v>
      </c>
      <c r="AQ19" s="107">
        <f t="shared" si="26"/>
        <v>5.2054108080999542E-2</v>
      </c>
      <c r="AR19" s="107">
        <f t="shared" si="26"/>
        <v>5.2054108080999542E-2</v>
      </c>
      <c r="AS19" s="107">
        <f t="shared" si="26"/>
        <v>5.2054108080999542E-2</v>
      </c>
      <c r="AT19" s="107">
        <f t="shared" si="26"/>
        <v>5.2054108080999542E-2</v>
      </c>
      <c r="AU19" s="107">
        <f t="shared" si="26"/>
        <v>5.2054108080999542E-2</v>
      </c>
      <c r="AV19" s="107">
        <f t="shared" si="26"/>
        <v>5.2054108080999542E-2</v>
      </c>
      <c r="AW19" s="107">
        <f t="shared" si="26"/>
        <v>5.2054108080999542E-2</v>
      </c>
      <c r="AX19" s="107">
        <f t="shared" si="26"/>
        <v>5.2054108080999542E-2</v>
      </c>
      <c r="AY19" s="107">
        <f t="shared" si="26"/>
        <v>5.2054108080999542E-2</v>
      </c>
      <c r="AZ19" s="107">
        <f t="shared" si="26"/>
        <v>5.2054108080999542E-2</v>
      </c>
      <c r="BA19" s="107">
        <f t="shared" si="26"/>
        <v>5.2054108080999542E-2</v>
      </c>
      <c r="BB19" s="107">
        <f t="shared" si="26"/>
        <v>5.2054108080999542E-2</v>
      </c>
      <c r="BC19" s="107">
        <f>BC3+BC9</f>
        <v>5.2054108080999542E-2</v>
      </c>
      <c r="BD19" s="107">
        <f>BD3+BD9</f>
        <v>5.2054108080999542E-2</v>
      </c>
      <c r="BE19" s="107">
        <f>BE3+BE9</f>
        <v>5.2054108080999542E-2</v>
      </c>
      <c r="BF19" s="107">
        <f>BF3+BF9</f>
        <v>5.2054108080999542E-2</v>
      </c>
      <c r="BG19" s="107">
        <f>BG3+BG9</f>
        <v>5.2054108080999542E-2</v>
      </c>
    </row>
    <row r="20" spans="1:59" ht="13.75" customHeight="1">
      <c r="A20" s="141" t="s">
        <v>86</v>
      </c>
      <c r="B20" s="165"/>
      <c r="C20" s="165"/>
      <c r="D20" s="166" t="s">
        <v>87</v>
      </c>
      <c r="E20" s="167"/>
      <c r="F20" s="168" t="s">
        <v>123</v>
      </c>
      <c r="G20" s="168" t="s">
        <v>3</v>
      </c>
      <c r="H20" s="168"/>
      <c r="I20" s="168" t="s">
        <v>124</v>
      </c>
      <c r="J20" s="123">
        <v>3.2939999999999997E-2</v>
      </c>
      <c r="K20" s="123">
        <v>2.8650000000000002E-2</v>
      </c>
      <c r="L20" s="123">
        <v>2.1240000000000002E-2</v>
      </c>
      <c r="M20" s="123">
        <v>2.155E-2</v>
      </c>
      <c r="N20" s="123">
        <v>2.4879999999999999E-2</v>
      </c>
      <c r="O20" s="123">
        <v>3.7249999999999998E-2</v>
      </c>
      <c r="P20" s="123">
        <v>4.684E-2</v>
      </c>
      <c r="Q20" s="123">
        <v>2.8919999999999998E-2</v>
      </c>
      <c r="R20" s="123">
        <v>6.9999999999999993E-3</v>
      </c>
      <c r="S20" s="123">
        <v>1.0059999999999999E-2</v>
      </c>
      <c r="T20" s="114">
        <v>1.3559999999999999E-2</v>
      </c>
      <c r="U20" s="107">
        <v>4.9081058365758696E-3</v>
      </c>
      <c r="V20" s="107">
        <v>1.52185019762846E-3</v>
      </c>
      <c r="W20" s="107">
        <v>1.79734743083004E-3</v>
      </c>
      <c r="X20" s="107">
        <v>-1.2786E-3</v>
      </c>
      <c r="Y20" s="110">
        <v>-3.1900000000000001E-3</v>
      </c>
      <c r="Z20" s="110">
        <v>-3.2789999999999998E-3</v>
      </c>
      <c r="AA20" s="110">
        <v>-3.0899999999999999E-3</v>
      </c>
      <c r="AB20" s="110">
        <v>-3.8300000000000001E-3</v>
      </c>
      <c r="AC20" s="110">
        <v>-5.45E-3</v>
      </c>
      <c r="AD20" s="110">
        <v>-5.7199999999999994E-3</v>
      </c>
      <c r="AE20" s="110">
        <v>2.1320000000000002E-2</v>
      </c>
      <c r="AF20" s="110">
        <v>3.9E-2</v>
      </c>
      <c r="AG20" s="110">
        <v>1.3999999999999999E-2</v>
      </c>
      <c r="AH20" s="110">
        <v>9.4999999999999998E-3</v>
      </c>
      <c r="AI20" s="110">
        <v>9.4999999999999998E-3</v>
      </c>
      <c r="AJ20" s="110">
        <v>9.0000000000000011E-3</v>
      </c>
      <c r="AK20" s="110">
        <f t="shared" ref="AK20:BB20" si="27">AJ20</f>
        <v>9.0000000000000011E-3</v>
      </c>
      <c r="AL20" s="110">
        <f t="shared" si="27"/>
        <v>9.0000000000000011E-3</v>
      </c>
      <c r="AM20" s="110">
        <f t="shared" si="27"/>
        <v>9.0000000000000011E-3</v>
      </c>
      <c r="AN20" s="110">
        <f t="shared" si="27"/>
        <v>9.0000000000000011E-3</v>
      </c>
      <c r="AO20" s="110">
        <f t="shared" si="27"/>
        <v>9.0000000000000011E-3</v>
      </c>
      <c r="AP20" s="110">
        <f t="shared" si="27"/>
        <v>9.0000000000000011E-3</v>
      </c>
      <c r="AQ20" s="110">
        <f t="shared" si="27"/>
        <v>9.0000000000000011E-3</v>
      </c>
      <c r="AR20" s="110">
        <f t="shared" si="27"/>
        <v>9.0000000000000011E-3</v>
      </c>
      <c r="AS20" s="110">
        <f t="shared" si="27"/>
        <v>9.0000000000000011E-3</v>
      </c>
      <c r="AT20" s="110">
        <f t="shared" si="27"/>
        <v>9.0000000000000011E-3</v>
      </c>
      <c r="AU20" s="110">
        <f t="shared" si="27"/>
        <v>9.0000000000000011E-3</v>
      </c>
      <c r="AV20" s="110">
        <f t="shared" si="27"/>
        <v>9.0000000000000011E-3</v>
      </c>
      <c r="AW20" s="110">
        <f t="shared" si="27"/>
        <v>9.0000000000000011E-3</v>
      </c>
      <c r="AX20" s="110">
        <f t="shared" si="27"/>
        <v>9.0000000000000011E-3</v>
      </c>
      <c r="AY20" s="110">
        <f t="shared" si="27"/>
        <v>9.0000000000000011E-3</v>
      </c>
      <c r="AZ20" s="110">
        <f t="shared" si="27"/>
        <v>9.0000000000000011E-3</v>
      </c>
      <c r="BA20" s="110">
        <f t="shared" si="27"/>
        <v>9.0000000000000011E-3</v>
      </c>
      <c r="BB20" s="110">
        <f t="shared" si="27"/>
        <v>9.0000000000000011E-3</v>
      </c>
      <c r="BC20" s="110">
        <f>BB20</f>
        <v>9.0000000000000011E-3</v>
      </c>
      <c r="BD20" s="110">
        <f>BC20</f>
        <v>9.0000000000000011E-3</v>
      </c>
      <c r="BE20" s="110">
        <f>BD20</f>
        <v>9.0000000000000011E-3</v>
      </c>
      <c r="BF20" s="110">
        <f>BE20</f>
        <v>9.0000000000000011E-3</v>
      </c>
      <c r="BG20" s="110">
        <f>BF20</f>
        <v>9.0000000000000011E-3</v>
      </c>
    </row>
    <row r="21" spans="1:59" ht="13.75" customHeight="1">
      <c r="A21" s="141" t="s">
        <v>86</v>
      </c>
      <c r="B21" s="165"/>
      <c r="C21" s="165"/>
      <c r="D21" s="165" t="s">
        <v>87</v>
      </c>
      <c r="E21" s="167"/>
      <c r="F21" s="168" t="s">
        <v>125</v>
      </c>
      <c r="G21" s="168" t="s">
        <v>3</v>
      </c>
      <c r="H21" s="168"/>
      <c r="I21" s="168" t="s">
        <v>109</v>
      </c>
      <c r="J21" s="123"/>
      <c r="K21" s="123"/>
      <c r="L21" s="123"/>
      <c r="M21" s="123"/>
      <c r="N21" s="123"/>
      <c r="O21" s="123">
        <v>5.7800000000000004E-2</v>
      </c>
      <c r="P21" s="123">
        <v>5.6799999999999996E-2</v>
      </c>
      <c r="Q21" s="123">
        <v>0.1575</v>
      </c>
      <c r="R21" s="123">
        <v>7.3200000000000001E-2</v>
      </c>
      <c r="S21" s="123">
        <v>5.3350000000000002E-2</v>
      </c>
      <c r="T21" s="123">
        <v>7.2099999999999997E-2</v>
      </c>
      <c r="U21" s="107">
        <v>7.3222593869731775E-2</v>
      </c>
      <c r="V21" s="107">
        <v>6.9354528735632331E-2</v>
      </c>
      <c r="W21" s="107">
        <v>0.10586615708812261</v>
      </c>
      <c r="X21" s="107">
        <v>0.11599999999999999</v>
      </c>
      <c r="Y21" s="110">
        <v>0.10465000000000001</v>
      </c>
      <c r="Z21" s="110">
        <v>7.8E-2</v>
      </c>
      <c r="AA21" s="110">
        <v>9.5700000000000007E-2</v>
      </c>
      <c r="AB21" s="110">
        <v>6.4600000000000005E-2</v>
      </c>
      <c r="AC21" s="110">
        <v>5.04E-2</v>
      </c>
      <c r="AD21" s="114">
        <v>0.10220000000000001</v>
      </c>
      <c r="AE21" s="110">
        <v>8.8000000000000009E-2</v>
      </c>
      <c r="AF21" s="110">
        <v>0.14000000000000001</v>
      </c>
      <c r="AG21" s="107">
        <v>0.12</v>
      </c>
      <c r="AH21" s="110">
        <v>8.2500000000000004E-2</v>
      </c>
      <c r="AI21" s="110">
        <v>6.2E-2</v>
      </c>
      <c r="AJ21" s="110">
        <f>AI21+(AJ$39-AI$39)</f>
        <v>6.2E-2</v>
      </c>
      <c r="AK21" s="110">
        <f t="shared" ref="AK21:AZ23" si="28">AJ21+(AK$39-AJ$39)</f>
        <v>6.2E-2</v>
      </c>
      <c r="AL21" s="110">
        <f t="shared" si="28"/>
        <v>6.2E-2</v>
      </c>
      <c r="AM21" s="110">
        <f t="shared" si="28"/>
        <v>6.2E-2</v>
      </c>
      <c r="AN21" s="110">
        <f t="shared" si="28"/>
        <v>6.2E-2</v>
      </c>
      <c r="AO21" s="110">
        <f t="shared" si="28"/>
        <v>6.2E-2</v>
      </c>
      <c r="AP21" s="110">
        <f t="shared" si="28"/>
        <v>6.2E-2</v>
      </c>
      <c r="AQ21" s="110">
        <f t="shared" si="28"/>
        <v>6.2E-2</v>
      </c>
      <c r="AR21" s="110">
        <f t="shared" si="28"/>
        <v>6.2E-2</v>
      </c>
      <c r="AS21" s="110">
        <f t="shared" si="28"/>
        <v>6.2E-2</v>
      </c>
      <c r="AT21" s="110">
        <f t="shared" si="28"/>
        <v>6.2E-2</v>
      </c>
      <c r="AU21" s="110">
        <f t="shared" si="28"/>
        <v>6.2E-2</v>
      </c>
      <c r="AV21" s="110">
        <f t="shared" si="28"/>
        <v>6.2E-2</v>
      </c>
      <c r="AW21" s="110">
        <f t="shared" si="28"/>
        <v>6.2E-2</v>
      </c>
      <c r="AX21" s="110">
        <f t="shared" si="28"/>
        <v>6.2E-2</v>
      </c>
      <c r="AY21" s="110">
        <f t="shared" si="28"/>
        <v>6.2E-2</v>
      </c>
      <c r="AZ21" s="110">
        <f t="shared" si="28"/>
        <v>6.2E-2</v>
      </c>
      <c r="BA21" s="110">
        <f t="shared" ref="AY21:BG23" si="29">AZ21+(BA$39-AZ$39)</f>
        <v>6.2E-2</v>
      </c>
      <c r="BB21" s="110">
        <f t="shared" si="29"/>
        <v>6.2E-2</v>
      </c>
      <c r="BC21" s="110">
        <f t="shared" si="29"/>
        <v>6.2E-2</v>
      </c>
      <c r="BD21" s="110">
        <f t="shared" si="29"/>
        <v>6.2E-2</v>
      </c>
      <c r="BE21" s="110">
        <f t="shared" si="29"/>
        <v>6.2E-2</v>
      </c>
      <c r="BF21" s="110">
        <f t="shared" si="29"/>
        <v>6.2E-2</v>
      </c>
      <c r="BG21" s="110">
        <f t="shared" si="29"/>
        <v>6.2E-2</v>
      </c>
    </row>
    <row r="22" spans="1:59" ht="13.75" customHeight="1">
      <c r="A22" s="141" t="s">
        <v>86</v>
      </c>
      <c r="B22" s="165"/>
      <c r="C22" s="165"/>
      <c r="D22" s="165" t="s">
        <v>87</v>
      </c>
      <c r="E22" s="167"/>
      <c r="F22" s="168" t="s">
        <v>126</v>
      </c>
      <c r="G22" s="168" t="s">
        <v>3</v>
      </c>
      <c r="H22" s="168"/>
      <c r="I22" s="168" t="s">
        <v>109</v>
      </c>
      <c r="J22" s="123"/>
      <c r="K22" s="123"/>
      <c r="L22" s="123"/>
      <c r="M22" s="123"/>
      <c r="N22" s="123"/>
      <c r="O22" s="123">
        <v>6.1500000000000006E-2</v>
      </c>
      <c r="P22" s="123">
        <v>6.6699999999999995E-2</v>
      </c>
      <c r="Q22" s="123">
        <v>0.16</v>
      </c>
      <c r="R22" s="123">
        <v>7.5999999999999998E-2</v>
      </c>
      <c r="S22" s="123">
        <v>6.7500000000000004E-2</v>
      </c>
      <c r="T22" s="123">
        <v>7.4200000000000002E-2</v>
      </c>
      <c r="U22" s="107">
        <v>7.5070977011494247E-2</v>
      </c>
      <c r="V22" s="107">
        <v>6.9934961685823707E-2</v>
      </c>
      <c r="W22" s="107">
        <v>9.8913639846743243E-2</v>
      </c>
      <c r="X22" s="107">
        <v>0.1079</v>
      </c>
      <c r="Y22" s="110">
        <v>9.5299999999999996E-2</v>
      </c>
      <c r="Z22" s="110">
        <v>7.5899999999999995E-2</v>
      </c>
      <c r="AA22" s="110">
        <v>9.6799999999999997E-2</v>
      </c>
      <c r="AB22" s="110">
        <v>6.3399999999999998E-2</v>
      </c>
      <c r="AC22" s="110">
        <v>5.5399999999999998E-2</v>
      </c>
      <c r="AD22" s="114">
        <v>9.35E-2</v>
      </c>
      <c r="AE22" s="110">
        <v>9.6999999999999989E-2</v>
      </c>
      <c r="AF22" s="110">
        <v>0.13</v>
      </c>
      <c r="AG22" s="107">
        <v>0.115</v>
      </c>
      <c r="AH22" s="110">
        <v>8.5000000000000006E-2</v>
      </c>
      <c r="AI22" s="110">
        <v>6.4000000000000001E-2</v>
      </c>
      <c r="AJ22" s="110">
        <f t="shared" ref="AJ22:AY25" si="30">AI22+(AJ$39-AI$39)</f>
        <v>6.4000000000000001E-2</v>
      </c>
      <c r="AK22" s="110">
        <f t="shared" si="30"/>
        <v>6.4000000000000001E-2</v>
      </c>
      <c r="AL22" s="110">
        <f t="shared" si="30"/>
        <v>6.4000000000000001E-2</v>
      </c>
      <c r="AM22" s="110">
        <f t="shared" si="28"/>
        <v>6.4000000000000001E-2</v>
      </c>
      <c r="AN22" s="110">
        <f t="shared" si="28"/>
        <v>6.4000000000000001E-2</v>
      </c>
      <c r="AO22" s="110">
        <f t="shared" si="28"/>
        <v>6.4000000000000001E-2</v>
      </c>
      <c r="AP22" s="110">
        <f t="shared" si="28"/>
        <v>6.4000000000000001E-2</v>
      </c>
      <c r="AQ22" s="110">
        <f t="shared" si="28"/>
        <v>6.4000000000000001E-2</v>
      </c>
      <c r="AR22" s="110">
        <f t="shared" si="28"/>
        <v>6.4000000000000001E-2</v>
      </c>
      <c r="AS22" s="110">
        <f t="shared" si="28"/>
        <v>6.4000000000000001E-2</v>
      </c>
      <c r="AT22" s="110">
        <f t="shared" si="28"/>
        <v>6.4000000000000001E-2</v>
      </c>
      <c r="AU22" s="110">
        <f t="shared" si="28"/>
        <v>6.4000000000000001E-2</v>
      </c>
      <c r="AV22" s="110">
        <f t="shared" si="28"/>
        <v>6.4000000000000001E-2</v>
      </c>
      <c r="AW22" s="110">
        <f t="shared" si="28"/>
        <v>6.4000000000000001E-2</v>
      </c>
      <c r="AX22" s="110">
        <f t="shared" si="28"/>
        <v>6.4000000000000001E-2</v>
      </c>
      <c r="AY22" s="110">
        <f t="shared" si="29"/>
        <v>6.4000000000000001E-2</v>
      </c>
      <c r="AZ22" s="110">
        <f t="shared" si="29"/>
        <v>6.4000000000000001E-2</v>
      </c>
      <c r="BA22" s="110">
        <f t="shared" si="29"/>
        <v>6.4000000000000001E-2</v>
      </c>
      <c r="BB22" s="110">
        <f t="shared" si="29"/>
        <v>6.4000000000000001E-2</v>
      </c>
      <c r="BC22" s="110">
        <f t="shared" si="29"/>
        <v>6.4000000000000001E-2</v>
      </c>
      <c r="BD22" s="110">
        <f t="shared" si="29"/>
        <v>6.4000000000000001E-2</v>
      </c>
      <c r="BE22" s="110">
        <f t="shared" si="29"/>
        <v>6.4000000000000001E-2</v>
      </c>
      <c r="BF22" s="110">
        <f t="shared" si="29"/>
        <v>6.4000000000000001E-2</v>
      </c>
      <c r="BG22" s="110">
        <f t="shared" si="29"/>
        <v>6.4000000000000001E-2</v>
      </c>
    </row>
    <row r="23" spans="1:59" ht="13.75" customHeight="1">
      <c r="A23" s="141" t="s">
        <v>86</v>
      </c>
      <c r="B23" s="165"/>
      <c r="C23" s="165"/>
      <c r="D23" s="165" t="s">
        <v>87</v>
      </c>
      <c r="E23" s="167"/>
      <c r="F23" s="168" t="s">
        <v>127</v>
      </c>
      <c r="G23" s="168" t="s">
        <v>3</v>
      </c>
      <c r="H23" s="168"/>
      <c r="I23" s="168" t="s">
        <v>109</v>
      </c>
      <c r="J23" s="123"/>
      <c r="K23" s="123"/>
      <c r="L23" s="123"/>
      <c r="M23" s="123"/>
      <c r="N23" s="123"/>
      <c r="O23" s="123">
        <v>6.4000000000000001E-2</v>
      </c>
      <c r="P23" s="123">
        <v>7.1800000000000003E-2</v>
      </c>
      <c r="Q23" s="123">
        <v>0.16500000000000001</v>
      </c>
      <c r="R23" s="123">
        <v>7.85E-2</v>
      </c>
      <c r="S23" s="123">
        <v>7.3499999999999996E-2</v>
      </c>
      <c r="T23" s="123">
        <v>7.5399999999999995E-2</v>
      </c>
      <c r="U23" s="107">
        <v>7.6751555555555559E-2</v>
      </c>
      <c r="V23" s="107">
        <v>7.1434632183908123E-2</v>
      </c>
      <c r="W23" s="107">
        <v>9.633078544061302E-2</v>
      </c>
      <c r="X23" s="107">
        <v>0.10619999999999999</v>
      </c>
      <c r="Y23" s="110">
        <v>9.1799999999999993E-2</v>
      </c>
      <c r="Z23" s="110">
        <v>7.5499999999999998E-2</v>
      </c>
      <c r="AA23" s="110">
        <v>9.5600000000000004E-2</v>
      </c>
      <c r="AB23" s="110">
        <v>6.4600000000000005E-2</v>
      </c>
      <c r="AC23" s="110">
        <v>5.8799999999999998E-2</v>
      </c>
      <c r="AD23" s="114">
        <v>8.9399999999999993E-2</v>
      </c>
      <c r="AE23" s="110">
        <v>0.10199999999999999</v>
      </c>
      <c r="AF23" s="110">
        <v>0.12299999999999998</v>
      </c>
      <c r="AG23" s="107">
        <v>0.1125</v>
      </c>
      <c r="AH23" s="110">
        <v>8.7499999999999994E-2</v>
      </c>
      <c r="AI23" s="110">
        <v>6.9500000000000006E-2</v>
      </c>
      <c r="AJ23" s="110">
        <f t="shared" si="30"/>
        <v>6.9500000000000006E-2</v>
      </c>
      <c r="AK23" s="110">
        <f t="shared" si="30"/>
        <v>6.9500000000000006E-2</v>
      </c>
      <c r="AL23" s="110">
        <f t="shared" si="30"/>
        <v>6.9500000000000006E-2</v>
      </c>
      <c r="AM23" s="110">
        <f t="shared" si="28"/>
        <v>6.9500000000000006E-2</v>
      </c>
      <c r="AN23" s="110">
        <f t="shared" si="28"/>
        <v>6.9500000000000006E-2</v>
      </c>
      <c r="AO23" s="110">
        <f t="shared" si="28"/>
        <v>6.9500000000000006E-2</v>
      </c>
      <c r="AP23" s="110">
        <f t="shared" si="28"/>
        <v>6.9500000000000006E-2</v>
      </c>
      <c r="AQ23" s="110">
        <f t="shared" si="28"/>
        <v>6.9500000000000006E-2</v>
      </c>
      <c r="AR23" s="110">
        <f t="shared" si="28"/>
        <v>6.9500000000000006E-2</v>
      </c>
      <c r="AS23" s="110">
        <f t="shared" si="28"/>
        <v>6.9500000000000006E-2</v>
      </c>
      <c r="AT23" s="110">
        <f t="shared" si="28"/>
        <v>6.9500000000000006E-2</v>
      </c>
      <c r="AU23" s="110">
        <f t="shared" si="28"/>
        <v>6.9500000000000006E-2</v>
      </c>
      <c r="AV23" s="110">
        <f t="shared" si="28"/>
        <v>6.9500000000000006E-2</v>
      </c>
      <c r="AW23" s="110">
        <f t="shared" si="28"/>
        <v>6.9500000000000006E-2</v>
      </c>
      <c r="AX23" s="110">
        <f t="shared" si="28"/>
        <v>6.9500000000000006E-2</v>
      </c>
      <c r="AY23" s="110">
        <f>AX23+(AY$39-AX$39)</f>
        <v>6.9500000000000006E-2</v>
      </c>
      <c r="AZ23" s="110">
        <f t="shared" si="29"/>
        <v>6.9500000000000006E-2</v>
      </c>
      <c r="BA23" s="110">
        <f t="shared" si="29"/>
        <v>6.9500000000000006E-2</v>
      </c>
      <c r="BB23" s="110">
        <f t="shared" si="29"/>
        <v>6.9500000000000006E-2</v>
      </c>
      <c r="BC23" s="110">
        <f t="shared" si="29"/>
        <v>6.9500000000000006E-2</v>
      </c>
      <c r="BD23" s="110">
        <f t="shared" si="29"/>
        <v>6.9500000000000006E-2</v>
      </c>
      <c r="BE23" s="110">
        <f t="shared" si="29"/>
        <v>6.9500000000000006E-2</v>
      </c>
      <c r="BF23" s="110">
        <f t="shared" si="29"/>
        <v>6.9500000000000006E-2</v>
      </c>
      <c r="BG23" s="110">
        <f t="shared" si="29"/>
        <v>6.9500000000000006E-2</v>
      </c>
    </row>
    <row r="24" spans="1:59" ht="13.75" customHeight="1">
      <c r="A24" s="141" t="s">
        <v>86</v>
      </c>
      <c r="B24" s="165"/>
      <c r="C24" s="165"/>
      <c r="D24" s="165" t="s">
        <v>87</v>
      </c>
      <c r="E24" s="167"/>
      <c r="F24" s="168" t="s">
        <v>128</v>
      </c>
      <c r="G24" s="168" t="s">
        <v>3</v>
      </c>
      <c r="H24" s="168"/>
      <c r="I24" s="168" t="s">
        <v>109</v>
      </c>
      <c r="J24" s="123"/>
      <c r="K24" s="123"/>
      <c r="L24" s="123"/>
      <c r="M24" s="123"/>
      <c r="N24" s="123"/>
      <c r="O24" s="123">
        <v>6.4600000000000005E-2</v>
      </c>
      <c r="P24" s="123">
        <v>7.3700000000000002E-2</v>
      </c>
      <c r="Q24" s="123">
        <v>0.16500000000000001</v>
      </c>
      <c r="R24" s="123">
        <v>8.1500000000000003E-2</v>
      </c>
      <c r="S24" s="123">
        <v>7.6509999999999995E-2</v>
      </c>
      <c r="T24" s="123">
        <v>7.7100000000000002E-2</v>
      </c>
      <c r="U24" s="107">
        <v>7.8596911877394732E-2</v>
      </c>
      <c r="V24" s="107">
        <v>7.3566593869731592E-2</v>
      </c>
      <c r="W24" s="107">
        <v>9.5379850574712641E-2</v>
      </c>
      <c r="X24" s="110">
        <v>0.10539999999999999</v>
      </c>
      <c r="Y24" s="110">
        <v>8.9600000000000013E-2</v>
      </c>
      <c r="Z24" s="110">
        <v>7.5300000000000006E-2</v>
      </c>
      <c r="AA24" s="110">
        <v>9.4499999999999987E-2</v>
      </c>
      <c r="AB24" s="110">
        <v>6.8199999999999997E-2</v>
      </c>
      <c r="AC24" s="110">
        <v>6.13E-2</v>
      </c>
      <c r="AD24" s="110">
        <v>8.7899999999999992E-2</v>
      </c>
      <c r="AE24" s="110">
        <f t="shared" ref="AE24:BG24" si="31">AE23+(AE25-AE23)*2/5</f>
        <v>0.10479999999999999</v>
      </c>
      <c r="AF24" s="110">
        <f t="shared" si="31"/>
        <v>0.12039999999999999</v>
      </c>
      <c r="AG24" s="110">
        <f t="shared" si="31"/>
        <v>0.1115</v>
      </c>
      <c r="AH24" s="110">
        <f>AH23+(AH25-AH23)*2/5</f>
        <v>8.8499999999999995E-2</v>
      </c>
      <c r="AI24" s="110">
        <f>AI23+(AI25-AI23)*2/5</f>
        <v>7.1900000000000006E-2</v>
      </c>
      <c r="AJ24" s="110">
        <f>AJ23+(AJ25-AJ23)*2/5</f>
        <v>7.1900000000000006E-2</v>
      </c>
      <c r="AK24" s="110">
        <f t="shared" si="31"/>
        <v>7.1900000000000006E-2</v>
      </c>
      <c r="AL24" s="110">
        <f t="shared" si="31"/>
        <v>7.1900000000000006E-2</v>
      </c>
      <c r="AM24" s="110">
        <f t="shared" si="31"/>
        <v>7.1900000000000006E-2</v>
      </c>
      <c r="AN24" s="110">
        <f t="shared" si="31"/>
        <v>7.1900000000000006E-2</v>
      </c>
      <c r="AO24" s="110">
        <f t="shared" si="31"/>
        <v>7.1900000000000006E-2</v>
      </c>
      <c r="AP24" s="110">
        <f t="shared" si="31"/>
        <v>7.1900000000000006E-2</v>
      </c>
      <c r="AQ24" s="110">
        <f t="shared" si="31"/>
        <v>7.1900000000000006E-2</v>
      </c>
      <c r="AR24" s="110">
        <f t="shared" si="31"/>
        <v>7.1900000000000006E-2</v>
      </c>
      <c r="AS24" s="110">
        <f t="shared" si="31"/>
        <v>7.1900000000000006E-2</v>
      </c>
      <c r="AT24" s="110">
        <f t="shared" si="31"/>
        <v>7.1900000000000006E-2</v>
      </c>
      <c r="AU24" s="110">
        <f t="shared" si="31"/>
        <v>7.1900000000000006E-2</v>
      </c>
      <c r="AV24" s="110">
        <f t="shared" si="31"/>
        <v>7.1900000000000006E-2</v>
      </c>
      <c r="AW24" s="110">
        <f t="shared" si="31"/>
        <v>7.1900000000000006E-2</v>
      </c>
      <c r="AX24" s="110">
        <f t="shared" si="31"/>
        <v>7.1900000000000006E-2</v>
      </c>
      <c r="AY24" s="110">
        <f t="shared" si="31"/>
        <v>7.1900000000000006E-2</v>
      </c>
      <c r="AZ24" s="110">
        <f t="shared" si="31"/>
        <v>7.1900000000000006E-2</v>
      </c>
      <c r="BA24" s="110">
        <f t="shared" si="31"/>
        <v>7.1900000000000006E-2</v>
      </c>
      <c r="BB24" s="110">
        <f t="shared" si="31"/>
        <v>7.1900000000000006E-2</v>
      </c>
      <c r="BC24" s="110">
        <f t="shared" si="31"/>
        <v>7.1900000000000006E-2</v>
      </c>
      <c r="BD24" s="110">
        <f t="shared" si="31"/>
        <v>7.1900000000000006E-2</v>
      </c>
      <c r="BE24" s="110">
        <f t="shared" si="31"/>
        <v>7.1900000000000006E-2</v>
      </c>
      <c r="BF24" s="110">
        <f t="shared" si="31"/>
        <v>7.1900000000000006E-2</v>
      </c>
      <c r="BG24" s="110">
        <f t="shared" si="31"/>
        <v>7.1900000000000006E-2</v>
      </c>
    </row>
    <row r="25" spans="1:59" ht="13.75" customHeight="1">
      <c r="A25" s="141" t="s">
        <v>86</v>
      </c>
      <c r="B25" s="165"/>
      <c r="C25" s="165"/>
      <c r="D25" s="165" t="s">
        <v>87</v>
      </c>
      <c r="E25" s="167"/>
      <c r="F25" s="168" t="s">
        <v>129</v>
      </c>
      <c r="G25" s="168" t="s">
        <v>3</v>
      </c>
      <c r="H25" s="168"/>
      <c r="I25" s="168" t="s">
        <v>109</v>
      </c>
      <c r="J25" s="123"/>
      <c r="K25" s="123"/>
      <c r="L25" s="123"/>
      <c r="M25" s="123"/>
      <c r="N25" s="123"/>
      <c r="O25" s="123">
        <v>6.5099999999999991E-2</v>
      </c>
      <c r="P25" s="123">
        <v>7.6600000000000001E-2</v>
      </c>
      <c r="Q25" s="123">
        <v>0.16500000000000001</v>
      </c>
      <c r="R25" s="123">
        <v>8.199999999999999E-2</v>
      </c>
      <c r="S25" s="123">
        <v>7.9509999999999997E-2</v>
      </c>
      <c r="T25" s="123">
        <v>7.8899999999999998E-2</v>
      </c>
      <c r="U25" s="107">
        <v>8.1269616858237512E-2</v>
      </c>
      <c r="V25" s="107">
        <v>7.6304413793103459E-2</v>
      </c>
      <c r="W25" s="107">
        <v>9.5675601532567031E-2</v>
      </c>
      <c r="X25" s="107">
        <v>0.10390000000000001</v>
      </c>
      <c r="Y25" s="110">
        <v>8.7300000000000003E-2</v>
      </c>
      <c r="Z25" s="110">
        <v>7.5300000000000006E-2</v>
      </c>
      <c r="AA25" s="110">
        <v>9.3200000000000005E-2</v>
      </c>
      <c r="AB25" s="110">
        <v>6.8400000000000002E-2</v>
      </c>
      <c r="AC25" s="110">
        <v>6.4600000000000005E-2</v>
      </c>
      <c r="AD25" s="110">
        <v>8.77E-2</v>
      </c>
      <c r="AE25" s="110">
        <v>0.109</v>
      </c>
      <c r="AF25" s="110">
        <v>0.11650000000000001</v>
      </c>
      <c r="AG25" s="110">
        <v>0.11</v>
      </c>
      <c r="AH25" s="110">
        <v>0.09</v>
      </c>
      <c r="AI25" s="110">
        <v>7.5499999999999998E-2</v>
      </c>
      <c r="AJ25" s="110">
        <f>AI25+(AJ$39-AI$39)</f>
        <v>7.5499999999999998E-2</v>
      </c>
      <c r="AK25" s="110">
        <f t="shared" si="30"/>
        <v>7.5499999999999998E-2</v>
      </c>
      <c r="AL25" s="110">
        <f t="shared" si="30"/>
        <v>7.5499999999999998E-2</v>
      </c>
      <c r="AM25" s="110">
        <f t="shared" si="30"/>
        <v>7.5499999999999998E-2</v>
      </c>
      <c r="AN25" s="110">
        <f t="shared" si="30"/>
        <v>7.5499999999999998E-2</v>
      </c>
      <c r="AO25" s="110">
        <f t="shared" si="30"/>
        <v>7.5499999999999998E-2</v>
      </c>
      <c r="AP25" s="110">
        <f t="shared" si="30"/>
        <v>7.5499999999999998E-2</v>
      </c>
      <c r="AQ25" s="110">
        <f t="shared" si="30"/>
        <v>7.5499999999999998E-2</v>
      </c>
      <c r="AR25" s="110">
        <f t="shared" si="30"/>
        <v>7.5499999999999998E-2</v>
      </c>
      <c r="AS25" s="110">
        <f t="shared" si="30"/>
        <v>7.5499999999999998E-2</v>
      </c>
      <c r="AT25" s="110">
        <f t="shared" si="30"/>
        <v>7.5499999999999998E-2</v>
      </c>
      <c r="AU25" s="110">
        <f t="shared" si="30"/>
        <v>7.5499999999999998E-2</v>
      </c>
      <c r="AV25" s="110">
        <f t="shared" si="30"/>
        <v>7.5499999999999998E-2</v>
      </c>
      <c r="AW25" s="110">
        <f t="shared" si="30"/>
        <v>7.5499999999999998E-2</v>
      </c>
      <c r="AX25" s="110">
        <f t="shared" si="30"/>
        <v>7.5499999999999998E-2</v>
      </c>
      <c r="AY25" s="110">
        <f t="shared" si="30"/>
        <v>7.5499999999999998E-2</v>
      </c>
      <c r="AZ25" s="110">
        <f t="shared" ref="AZ25:BG25" si="32">AY25+(AZ$39-AY$39)</f>
        <v>7.5499999999999998E-2</v>
      </c>
      <c r="BA25" s="110">
        <f t="shared" si="32"/>
        <v>7.5499999999999998E-2</v>
      </c>
      <c r="BB25" s="110">
        <f t="shared" si="32"/>
        <v>7.5499999999999998E-2</v>
      </c>
      <c r="BC25" s="110">
        <f t="shared" si="32"/>
        <v>7.5499999999999998E-2</v>
      </c>
      <c r="BD25" s="110">
        <f t="shared" si="32"/>
        <v>7.5499999999999998E-2</v>
      </c>
      <c r="BE25" s="110">
        <f t="shared" si="32"/>
        <v>7.5499999999999998E-2</v>
      </c>
      <c r="BF25" s="110">
        <f t="shared" si="32"/>
        <v>7.5499999999999998E-2</v>
      </c>
      <c r="BG25" s="110">
        <f t="shared" si="32"/>
        <v>7.5499999999999998E-2</v>
      </c>
    </row>
    <row r="26" spans="1:59" ht="13.75" customHeight="1">
      <c r="A26" s="141" t="s">
        <v>86</v>
      </c>
      <c r="B26" s="165"/>
      <c r="C26" s="165"/>
      <c r="D26" s="165" t="s">
        <v>98</v>
      </c>
      <c r="E26" s="167"/>
      <c r="F26" s="168" t="s">
        <v>130</v>
      </c>
      <c r="G26" s="168" t="s">
        <v>131</v>
      </c>
      <c r="I26" s="168" t="s">
        <v>116</v>
      </c>
      <c r="J26" s="147">
        <v>17.318563380281692</v>
      </c>
      <c r="K26" s="147">
        <v>20.225351549295755</v>
      </c>
      <c r="L26" s="147">
        <v>22.797648048048025</v>
      </c>
      <c r="M26" s="147">
        <v>23.200051311953345</v>
      </c>
      <c r="N26" s="147">
        <v>22.72658742857142</v>
      </c>
      <c r="O26" s="147">
        <v>21.674498290598287</v>
      </c>
      <c r="P26" s="147">
        <v>21.310417415730349</v>
      </c>
      <c r="Q26" s="147">
        <v>22.925360076045614</v>
      </c>
      <c r="R26" s="147">
        <v>29.245193532338298</v>
      </c>
      <c r="S26" s="147">
        <v>29.492689383561622</v>
      </c>
      <c r="T26" s="147">
        <v>33.218057458563564</v>
      </c>
      <c r="U26" s="112">
        <v>33.114757028112443</v>
      </c>
      <c r="V26" s="112">
        <v>34.428351219512201</v>
      </c>
      <c r="W26" s="112">
        <v>42.014607692307678</v>
      </c>
      <c r="X26" s="107">
        <v>63.87710916334661</v>
      </c>
      <c r="Y26" s="112">
        <v>67.848924193548427</v>
      </c>
      <c r="Z26" s="111">
        <v>59.296312550607276</v>
      </c>
      <c r="AA26" s="112">
        <v>64.271352631578935</v>
      </c>
      <c r="AB26" s="112">
        <v>65.038546341463416</v>
      </c>
      <c r="AC26" s="112">
        <v>77.342137448559583</v>
      </c>
      <c r="AD26" s="112">
        <v>80.517745967741888</v>
      </c>
      <c r="AE26" s="112">
        <f>AE14/AE41</f>
        <v>74.698218263941129</v>
      </c>
      <c r="AF26" s="112">
        <f t="shared" ref="AF26:AX26" si="33">AF14/AF41</f>
        <v>93.212740046838391</v>
      </c>
      <c r="AG26" s="112">
        <f t="shared" si="33"/>
        <v>110.81598173515984</v>
      </c>
      <c r="AH26" s="112">
        <f t="shared" si="33"/>
        <v>103.16780821917811</v>
      </c>
      <c r="AI26" s="112">
        <f t="shared" si="33"/>
        <v>102.39748858447483</v>
      </c>
      <c r="AJ26" s="112">
        <f t="shared" si="33"/>
        <v>105.46941324200908</v>
      </c>
      <c r="AK26" s="112">
        <f t="shared" si="33"/>
        <v>108.63349563926936</v>
      </c>
      <c r="AL26" s="112">
        <f t="shared" si="33"/>
        <v>111.89250050844745</v>
      </c>
      <c r="AM26" s="112">
        <f t="shared" si="33"/>
        <v>115.24927552370087</v>
      </c>
      <c r="AN26" s="112">
        <f t="shared" si="33"/>
        <v>118.70675378941191</v>
      </c>
      <c r="AO26" s="112">
        <f t="shared" si="33"/>
        <v>122.26795640309427</v>
      </c>
      <c r="AP26" s="112">
        <f t="shared" si="33"/>
        <v>125.9359950951871</v>
      </c>
      <c r="AQ26" s="112">
        <f t="shared" si="33"/>
        <v>129.71407494804274</v>
      </c>
      <c r="AR26" s="112">
        <f t="shared" si="33"/>
        <v>133.60549719648401</v>
      </c>
      <c r="AS26" s="112">
        <f t="shared" si="33"/>
        <v>137.61366211237853</v>
      </c>
      <c r="AT26" s="112">
        <f t="shared" si="33"/>
        <v>141.74207197574989</v>
      </c>
      <c r="AU26" s="112">
        <f t="shared" si="33"/>
        <v>145.9943341350224</v>
      </c>
      <c r="AV26" s="112">
        <f t="shared" si="33"/>
        <v>150.37416415907308</v>
      </c>
      <c r="AW26" s="112">
        <f t="shared" si="33"/>
        <v>154.88538908384527</v>
      </c>
      <c r="AX26" s="112">
        <f t="shared" si="33"/>
        <v>159.53195075636063</v>
      </c>
      <c r="AY26" s="112">
        <f>AY14/AY41</f>
        <v>164.31790927905146</v>
      </c>
      <c r="AZ26" s="112">
        <f>AZ14/AZ41</f>
        <v>169.24744655742302</v>
      </c>
      <c r="BA26" s="112">
        <f t="shared" ref="BA26:BG26" si="34">BA14/BA41</f>
        <v>174.3248699541457</v>
      </c>
      <c r="BB26" s="112">
        <f t="shared" si="34"/>
        <v>179.55461605277009</v>
      </c>
      <c r="BC26" s="112">
        <f t="shared" si="34"/>
        <v>183.1457083738255</v>
      </c>
      <c r="BD26" s="112">
        <f t="shared" si="34"/>
        <v>186.80862254130201</v>
      </c>
      <c r="BE26" s="112">
        <f t="shared" si="34"/>
        <v>190.54479499212806</v>
      </c>
      <c r="BF26" s="112">
        <f t="shared" si="34"/>
        <v>194.35569089197062</v>
      </c>
      <c r="BG26" s="112">
        <f t="shared" si="34"/>
        <v>198.24280470981003</v>
      </c>
    </row>
    <row r="27" spans="1:59" ht="13.75" customHeight="1">
      <c r="A27" s="141" t="s">
        <v>86</v>
      </c>
      <c r="B27" s="165"/>
      <c r="C27" s="165"/>
      <c r="D27" s="165" t="s">
        <v>98</v>
      </c>
      <c r="E27" s="167"/>
      <c r="F27" s="168" t="s">
        <v>132</v>
      </c>
      <c r="G27" s="168" t="s">
        <v>131</v>
      </c>
      <c r="I27" s="168" t="s">
        <v>116</v>
      </c>
      <c r="J27" s="147">
        <v>17.86</v>
      </c>
      <c r="K27" s="147">
        <v>22.777999999999999</v>
      </c>
      <c r="L27" s="147">
        <v>23.599499999999999</v>
      </c>
      <c r="M27" s="147">
        <v>24.482700000000001</v>
      </c>
      <c r="N27" s="147">
        <v>21.956299999999999</v>
      </c>
      <c r="O27" s="147">
        <v>21.597000000000001</v>
      </c>
      <c r="P27" s="147">
        <v>21.7879</v>
      </c>
      <c r="Q27" s="147">
        <v>27.832899999999999</v>
      </c>
      <c r="R27" s="147">
        <v>29.137</v>
      </c>
      <c r="S27" s="147">
        <v>32.4084</v>
      </c>
      <c r="T27" s="147">
        <v>34.236600000000003</v>
      </c>
      <c r="U27" s="112">
        <v>33.288800000000002</v>
      </c>
      <c r="V27" s="112">
        <v>36.695999999999998</v>
      </c>
      <c r="W27" s="112">
        <v>56.976300000000002</v>
      </c>
      <c r="X27" s="107">
        <v>73.611526999999995</v>
      </c>
      <c r="Y27" s="112">
        <v>59.415100000000002</v>
      </c>
      <c r="Z27" s="111">
        <v>58.974299999999999</v>
      </c>
      <c r="AA27" s="112">
        <v>70.578699999999998</v>
      </c>
      <c r="AB27" s="112">
        <v>63.603900000000003</v>
      </c>
      <c r="AC27" s="112">
        <v>83.513099999999994</v>
      </c>
      <c r="AD27" s="112">
        <v>80.937600000000003</v>
      </c>
      <c r="AE27" s="112">
        <f>AE7/AE40</f>
        <v>77.272183098591555</v>
      </c>
      <c r="AF27" s="112">
        <f t="shared" ref="AF27:AX27" si="35">AF7/AF40</f>
        <v>99.075471698113205</v>
      </c>
      <c r="AG27" s="112">
        <f t="shared" si="35"/>
        <v>107.01650943396227</v>
      </c>
      <c r="AH27" s="112">
        <f t="shared" si="35"/>
        <v>102.39748858447483</v>
      </c>
      <c r="AI27" s="112">
        <f t="shared" si="35"/>
        <v>105.46941324200908</v>
      </c>
      <c r="AJ27" s="112">
        <f t="shared" si="35"/>
        <v>108.63349563926936</v>
      </c>
      <c r="AK27" s="112">
        <f t="shared" si="35"/>
        <v>111.89250050844745</v>
      </c>
      <c r="AL27" s="112">
        <f t="shared" si="35"/>
        <v>115.24927552370087</v>
      </c>
      <c r="AM27" s="112">
        <f t="shared" si="35"/>
        <v>118.70675378941191</v>
      </c>
      <c r="AN27" s="112">
        <f t="shared" si="35"/>
        <v>122.26795640309427</v>
      </c>
      <c r="AO27" s="112">
        <f t="shared" si="35"/>
        <v>125.9359950951871</v>
      </c>
      <c r="AP27" s="112">
        <f t="shared" si="35"/>
        <v>129.71407494804274</v>
      </c>
      <c r="AQ27" s="112">
        <f t="shared" si="35"/>
        <v>133.60549719648401</v>
      </c>
      <c r="AR27" s="112">
        <f t="shared" si="35"/>
        <v>137.61366211237853</v>
      </c>
      <c r="AS27" s="112">
        <f t="shared" si="35"/>
        <v>141.74207197574989</v>
      </c>
      <c r="AT27" s="112">
        <f t="shared" si="35"/>
        <v>145.9943341350224</v>
      </c>
      <c r="AU27" s="112">
        <f t="shared" si="35"/>
        <v>150.37416415907308</v>
      </c>
      <c r="AV27" s="112">
        <f t="shared" si="35"/>
        <v>154.88538908384527</v>
      </c>
      <c r="AW27" s="112">
        <f t="shared" si="35"/>
        <v>159.53195075636063</v>
      </c>
      <c r="AX27" s="112">
        <f t="shared" si="35"/>
        <v>164.31790927905146</v>
      </c>
      <c r="AY27" s="112">
        <f>AY7/AY40</f>
        <v>164.31790927905146</v>
      </c>
      <c r="AZ27" s="112">
        <f t="shared" ref="AZ27:BG27" si="36">AZ7/AZ40</f>
        <v>169.24744655742302</v>
      </c>
      <c r="BA27" s="112">
        <f t="shared" si="36"/>
        <v>174.3248699541457</v>
      </c>
      <c r="BB27" s="112">
        <f t="shared" si="36"/>
        <v>179.55461605277009</v>
      </c>
      <c r="BC27" s="112">
        <f t="shared" si="36"/>
        <v>183.1457083738255</v>
      </c>
      <c r="BD27" s="112">
        <f t="shared" si="36"/>
        <v>186.80862254130201</v>
      </c>
      <c r="BE27" s="112">
        <f t="shared" si="36"/>
        <v>190.54479499212806</v>
      </c>
      <c r="BF27" s="112">
        <f t="shared" si="36"/>
        <v>194.35569089197062</v>
      </c>
      <c r="BG27" s="112">
        <f t="shared" si="36"/>
        <v>198.24280470981003</v>
      </c>
    </row>
    <row r="28" spans="1:59" ht="13.75" customHeight="1">
      <c r="A28" s="141" t="s">
        <v>86</v>
      </c>
      <c r="B28" s="165"/>
      <c r="C28" s="165"/>
      <c r="D28" s="165" t="s">
        <v>92</v>
      </c>
      <c r="E28" s="167"/>
      <c r="F28" s="168" t="s">
        <v>133</v>
      </c>
      <c r="G28" s="168" t="s">
        <v>3</v>
      </c>
      <c r="I28" s="168" t="s">
        <v>134</v>
      </c>
      <c r="J28" s="123">
        <v>-1.6E-2</v>
      </c>
      <c r="K28" s="123">
        <v>1.2E-2</v>
      </c>
      <c r="L28" s="123">
        <v>0.04</v>
      </c>
      <c r="M28" s="123">
        <v>4.2000000000000003E-2</v>
      </c>
      <c r="N28" s="123">
        <v>5.4000000000000006E-2</v>
      </c>
      <c r="O28" s="123">
        <v>1.1000000000000001E-2</v>
      </c>
      <c r="P28" s="123">
        <v>6.2E-2</v>
      </c>
      <c r="Q28" s="123">
        <v>-9.0000000000000011E-3</v>
      </c>
      <c r="R28" s="123">
        <v>4.2999999999999997E-2</v>
      </c>
      <c r="S28" s="123">
        <v>3.7999999999999999E-2</v>
      </c>
      <c r="T28" s="123">
        <v>4.7E-2</v>
      </c>
      <c r="U28" s="107">
        <v>2.1000000000000001E-2</v>
      </c>
      <c r="V28" s="107">
        <v>4.0000000000000001E-3</v>
      </c>
      <c r="W28" s="107">
        <v>8.0000000000000002E-3</v>
      </c>
      <c r="X28" s="107">
        <v>-5.0999999999999997E-2</v>
      </c>
      <c r="Y28" s="107">
        <v>-1.9E-2</v>
      </c>
      <c r="Z28" s="107">
        <v>3.2000000000000001E-2</v>
      </c>
      <c r="AA28" s="107">
        <v>1.3000000000000001E-2</v>
      </c>
      <c r="AB28" s="107">
        <v>1.7000000000000001E-2</v>
      </c>
      <c r="AC28" s="107">
        <v>-8.0000000000000002E-3</v>
      </c>
      <c r="AD28" s="107">
        <v>0.122</v>
      </c>
      <c r="AE28" s="107">
        <f t="shared" ref="AE28:AL28" si="37">AE4</f>
        <v>6.5000000000000002E-2</v>
      </c>
      <c r="AF28" s="107">
        <f t="shared" si="37"/>
        <v>3.1843454310135098E-2</v>
      </c>
      <c r="AG28" s="107">
        <f t="shared" si="37"/>
        <v>2.1299826653166605E-2</v>
      </c>
      <c r="AH28" s="107">
        <f t="shared" si="37"/>
        <v>2.0591825005557212E-2</v>
      </c>
      <c r="AI28" s="107">
        <f t="shared" si="37"/>
        <v>0.02</v>
      </c>
      <c r="AJ28" s="107">
        <f t="shared" si="37"/>
        <v>0.02</v>
      </c>
      <c r="AK28" s="107">
        <f t="shared" si="37"/>
        <v>0.02</v>
      </c>
      <c r="AL28" s="107">
        <f t="shared" si="37"/>
        <v>0.02</v>
      </c>
      <c r="AM28" s="107">
        <f>AM4</f>
        <v>0.02</v>
      </c>
      <c r="AN28" s="107">
        <f t="shared" ref="AN28:AX28" si="38">AN4</f>
        <v>0.02</v>
      </c>
      <c r="AO28" s="107">
        <f t="shared" si="38"/>
        <v>0.02</v>
      </c>
      <c r="AP28" s="107">
        <f t="shared" si="38"/>
        <v>0.02</v>
      </c>
      <c r="AQ28" s="107">
        <f t="shared" si="38"/>
        <v>0.02</v>
      </c>
      <c r="AR28" s="107">
        <f t="shared" si="38"/>
        <v>0.02</v>
      </c>
      <c r="AS28" s="107">
        <f t="shared" si="38"/>
        <v>0.02</v>
      </c>
      <c r="AT28" s="107">
        <f t="shared" si="38"/>
        <v>0.02</v>
      </c>
      <c r="AU28" s="107">
        <f t="shared" si="38"/>
        <v>0.02</v>
      </c>
      <c r="AV28" s="107">
        <f t="shared" si="38"/>
        <v>0.02</v>
      </c>
      <c r="AW28" s="107">
        <f t="shared" si="38"/>
        <v>0.02</v>
      </c>
      <c r="AX28" s="107">
        <f t="shared" si="38"/>
        <v>0.02</v>
      </c>
      <c r="AY28" s="107">
        <f>AY4</f>
        <v>0.02</v>
      </c>
      <c r="AZ28" s="107">
        <f>AZ4</f>
        <v>0.02</v>
      </c>
      <c r="BA28" s="107">
        <f>BA4</f>
        <v>0.02</v>
      </c>
      <c r="BB28" s="107">
        <f>BB4</f>
        <v>0.02</v>
      </c>
      <c r="BC28" s="107">
        <f t="shared" ref="BC28:BG28" si="39">BC4</f>
        <v>0.02</v>
      </c>
      <c r="BD28" s="107">
        <f t="shared" si="39"/>
        <v>0.02</v>
      </c>
      <c r="BE28" s="107">
        <f t="shared" si="39"/>
        <v>0.02</v>
      </c>
      <c r="BF28" s="107">
        <f t="shared" si="39"/>
        <v>0.02</v>
      </c>
      <c r="BG28" s="107">
        <f t="shared" si="39"/>
        <v>0.02</v>
      </c>
    </row>
    <row r="29" spans="1:59" ht="13.75" customHeight="1">
      <c r="A29" s="141" t="s">
        <v>86</v>
      </c>
      <c r="B29" s="165"/>
      <c r="C29" s="165"/>
      <c r="D29" s="165" t="s">
        <v>92</v>
      </c>
      <c r="E29" s="167"/>
      <c r="F29" s="168" t="s">
        <v>135</v>
      </c>
      <c r="G29" s="168" t="s">
        <v>3</v>
      </c>
      <c r="I29" s="168" t="s">
        <v>136</v>
      </c>
      <c r="J29" s="123">
        <v>2.1000000000000001E-2</v>
      </c>
      <c r="K29" s="123">
        <v>2.3E-2</v>
      </c>
      <c r="L29" s="123">
        <v>0.02</v>
      </c>
      <c r="M29" s="123">
        <v>2.3E-2</v>
      </c>
      <c r="N29" s="123">
        <v>2.3E-2</v>
      </c>
      <c r="O29" s="123">
        <v>1.9E-2</v>
      </c>
      <c r="P29" s="123">
        <v>3.1E-2</v>
      </c>
      <c r="Q29" s="123">
        <v>1.6E-2</v>
      </c>
      <c r="R29" s="123">
        <v>9.0000000000000011E-3</v>
      </c>
      <c r="S29" s="123">
        <v>2.2000000000000002E-2</v>
      </c>
      <c r="T29" s="123">
        <v>2.7999999999999997E-2</v>
      </c>
      <c r="U29" s="107">
        <v>2.2212505465675658E-2</v>
      </c>
      <c r="V29" s="107">
        <v>8.4695012404825132E-3</v>
      </c>
      <c r="W29" s="107">
        <v>-1.6118086189345071E-3</v>
      </c>
      <c r="X29" s="107">
        <v>2E-3</v>
      </c>
      <c r="Y29" s="107">
        <v>1.1000000000000001E-2</v>
      </c>
      <c r="Z29" s="107">
        <v>1.3000000000000001E-2</v>
      </c>
      <c r="AA29" s="107">
        <v>1.4999999999999999E-2</v>
      </c>
      <c r="AB29" s="107">
        <v>1.3000000000000001E-2</v>
      </c>
      <c r="AC29" s="107">
        <v>-3.0000000000000001E-3</v>
      </c>
      <c r="AD29" s="107">
        <v>0.05</v>
      </c>
      <c r="AE29" s="107">
        <v>9.1999999999999998E-2</v>
      </c>
      <c r="AF29" s="107">
        <v>4.1286924900720598E-2</v>
      </c>
      <c r="AG29" s="107">
        <v>1.9872476852991667E-2</v>
      </c>
      <c r="AH29" s="107">
        <v>2.0591825005557639E-2</v>
      </c>
      <c r="AI29" s="107">
        <v>0.02</v>
      </c>
      <c r="AJ29" s="107">
        <v>2.0591825005557673E-2</v>
      </c>
      <c r="AK29" s="107">
        <f t="shared" ref="AK29:BG29" si="40">AJ29</f>
        <v>2.0591825005557673E-2</v>
      </c>
      <c r="AL29" s="107">
        <f t="shared" si="40"/>
        <v>2.0591825005557673E-2</v>
      </c>
      <c r="AM29" s="107">
        <f t="shared" si="40"/>
        <v>2.0591825005557673E-2</v>
      </c>
      <c r="AN29" s="107">
        <f t="shared" si="40"/>
        <v>2.0591825005557673E-2</v>
      </c>
      <c r="AO29" s="107">
        <f t="shared" si="40"/>
        <v>2.0591825005557673E-2</v>
      </c>
      <c r="AP29" s="107">
        <f t="shared" si="40"/>
        <v>2.0591825005557673E-2</v>
      </c>
      <c r="AQ29" s="107">
        <f t="shared" si="40"/>
        <v>2.0591825005557673E-2</v>
      </c>
      <c r="AR29" s="107">
        <f t="shared" si="40"/>
        <v>2.0591825005557673E-2</v>
      </c>
      <c r="AS29" s="107">
        <f t="shared" si="40"/>
        <v>2.0591825005557673E-2</v>
      </c>
      <c r="AT29" s="107">
        <f t="shared" si="40"/>
        <v>2.0591825005557673E-2</v>
      </c>
      <c r="AU29" s="107">
        <f t="shared" si="40"/>
        <v>2.0591825005557673E-2</v>
      </c>
      <c r="AV29" s="107">
        <f t="shared" si="40"/>
        <v>2.0591825005557673E-2</v>
      </c>
      <c r="AW29" s="107">
        <f t="shared" si="40"/>
        <v>2.0591825005557673E-2</v>
      </c>
      <c r="AX29" s="107">
        <f t="shared" si="40"/>
        <v>2.0591825005557673E-2</v>
      </c>
      <c r="AY29" s="107">
        <f t="shared" si="40"/>
        <v>2.0591825005557673E-2</v>
      </c>
      <c r="AZ29" s="107">
        <f t="shared" si="40"/>
        <v>2.0591825005557673E-2</v>
      </c>
      <c r="BA29" s="107">
        <f t="shared" si="40"/>
        <v>2.0591825005557673E-2</v>
      </c>
      <c r="BB29" s="107">
        <f t="shared" si="40"/>
        <v>2.0591825005557673E-2</v>
      </c>
      <c r="BC29" s="107">
        <f t="shared" si="40"/>
        <v>2.0591825005557673E-2</v>
      </c>
      <c r="BD29" s="107">
        <f t="shared" si="40"/>
        <v>2.0591825005557673E-2</v>
      </c>
      <c r="BE29" s="107">
        <f t="shared" si="40"/>
        <v>2.0591825005557673E-2</v>
      </c>
      <c r="BF29" s="107">
        <f t="shared" si="40"/>
        <v>2.0591825005557673E-2</v>
      </c>
      <c r="BG29" s="107">
        <f t="shared" si="40"/>
        <v>2.0591825005557673E-2</v>
      </c>
    </row>
    <row r="30" spans="1:59" ht="13.75" customHeight="1">
      <c r="A30" s="141" t="s">
        <v>86</v>
      </c>
      <c r="B30" s="165"/>
      <c r="C30" s="165"/>
      <c r="D30" s="165" t="s">
        <v>92</v>
      </c>
      <c r="E30" s="167"/>
      <c r="F30" s="168" t="s">
        <v>137</v>
      </c>
      <c r="G30" s="168" t="s">
        <v>3</v>
      </c>
      <c r="I30" s="168" t="s">
        <v>134</v>
      </c>
      <c r="J30" s="123">
        <v>-5.0000000000000001E-3</v>
      </c>
      <c r="K30" s="123">
        <v>1.4999999999999999E-2</v>
      </c>
      <c r="L30" s="123">
        <v>0.01</v>
      </c>
      <c r="M30" s="123">
        <v>3.7000000000000005E-2</v>
      </c>
      <c r="N30" s="123">
        <v>4.4999999999999998E-2</v>
      </c>
      <c r="O30" s="123">
        <v>3.7999999999999999E-2</v>
      </c>
      <c r="P30" s="123">
        <v>4.4000000000000004E-2</v>
      </c>
      <c r="Q30" s="123">
        <v>1.4999999999999999E-2</v>
      </c>
      <c r="R30" s="123">
        <v>-0.03</v>
      </c>
      <c r="S30" s="123">
        <v>0.05</v>
      </c>
      <c r="T30" s="123">
        <v>4.4000000000000004E-2</v>
      </c>
      <c r="U30" s="107">
        <v>2.4E-2</v>
      </c>
      <c r="V30" s="107">
        <v>-1E-3</v>
      </c>
      <c r="W30" s="107">
        <v>-1.2999999999999999E-2</v>
      </c>
      <c r="X30" s="107">
        <v>-1.9E-2</v>
      </c>
      <c r="Y30" s="107">
        <v>-1.0999999999999999E-2</v>
      </c>
      <c r="Z30" s="107">
        <v>2.2000000000000002E-2</v>
      </c>
      <c r="AA30" s="107">
        <v>3.1E-2</v>
      </c>
      <c r="AB30" s="107">
        <v>-6.9999999999999993E-3</v>
      </c>
      <c r="AC30" s="107">
        <v>-1.1000000000000001E-2</v>
      </c>
      <c r="AD30" s="107">
        <v>0.23699999999999999</v>
      </c>
      <c r="AE30" s="107">
        <f>AE29</f>
        <v>9.1999999999999998E-2</v>
      </c>
      <c r="AF30" s="107">
        <f t="shared" ref="AF30:AL30" si="41">AF29</f>
        <v>4.1286924900720598E-2</v>
      </c>
      <c r="AG30" s="107">
        <f t="shared" si="41"/>
        <v>1.9872476852991667E-2</v>
      </c>
      <c r="AH30" s="107">
        <f t="shared" si="41"/>
        <v>2.0591825005557639E-2</v>
      </c>
      <c r="AI30" s="107">
        <f t="shared" si="41"/>
        <v>0.02</v>
      </c>
      <c r="AJ30" s="107">
        <f t="shared" si="41"/>
        <v>2.0591825005557673E-2</v>
      </c>
      <c r="AK30" s="107">
        <f t="shared" si="41"/>
        <v>2.0591825005557673E-2</v>
      </c>
      <c r="AL30" s="107">
        <f t="shared" si="41"/>
        <v>2.0591825005557673E-2</v>
      </c>
      <c r="AM30" s="107">
        <f>AM29</f>
        <v>2.0591825005557673E-2</v>
      </c>
      <c r="AN30" s="107">
        <f t="shared" ref="AN30:BG30" si="42">AN29</f>
        <v>2.0591825005557673E-2</v>
      </c>
      <c r="AO30" s="107">
        <f t="shared" si="42"/>
        <v>2.0591825005557673E-2</v>
      </c>
      <c r="AP30" s="107">
        <f t="shared" si="42"/>
        <v>2.0591825005557673E-2</v>
      </c>
      <c r="AQ30" s="107">
        <f t="shared" si="42"/>
        <v>2.0591825005557673E-2</v>
      </c>
      <c r="AR30" s="107">
        <f t="shared" si="42"/>
        <v>2.0591825005557673E-2</v>
      </c>
      <c r="AS30" s="107">
        <f t="shared" si="42"/>
        <v>2.0591825005557673E-2</v>
      </c>
      <c r="AT30" s="107">
        <f t="shared" si="42"/>
        <v>2.0591825005557673E-2</v>
      </c>
      <c r="AU30" s="107">
        <f t="shared" si="42"/>
        <v>2.0591825005557673E-2</v>
      </c>
      <c r="AV30" s="107">
        <f t="shared" si="42"/>
        <v>2.0591825005557673E-2</v>
      </c>
      <c r="AW30" s="107">
        <f t="shared" si="42"/>
        <v>2.0591825005557673E-2</v>
      </c>
      <c r="AX30" s="107">
        <f t="shared" si="42"/>
        <v>2.0591825005557673E-2</v>
      </c>
      <c r="AY30" s="107">
        <f t="shared" si="42"/>
        <v>2.0591825005557673E-2</v>
      </c>
      <c r="AZ30" s="107">
        <f t="shared" si="42"/>
        <v>2.0591825005557673E-2</v>
      </c>
      <c r="BA30" s="107">
        <f t="shared" si="42"/>
        <v>2.0591825005557673E-2</v>
      </c>
      <c r="BB30" s="107">
        <f t="shared" si="42"/>
        <v>2.0591825005557673E-2</v>
      </c>
      <c r="BC30" s="107">
        <f t="shared" si="42"/>
        <v>2.0591825005557673E-2</v>
      </c>
      <c r="BD30" s="107">
        <f t="shared" si="42"/>
        <v>2.0591825005557673E-2</v>
      </c>
      <c r="BE30" s="107">
        <f t="shared" si="42"/>
        <v>2.0591825005557673E-2</v>
      </c>
      <c r="BF30" s="107">
        <f t="shared" si="42"/>
        <v>2.0591825005557673E-2</v>
      </c>
      <c r="BG30" s="107">
        <f t="shared" si="42"/>
        <v>2.0591825005557673E-2</v>
      </c>
    </row>
    <row r="31" spans="1:59" ht="13.75" customHeight="1">
      <c r="A31" s="141" t="s">
        <v>86</v>
      </c>
      <c r="B31" s="165"/>
      <c r="C31" s="165"/>
      <c r="D31" s="165" t="s">
        <v>110</v>
      </c>
      <c r="E31" s="167"/>
      <c r="F31" s="168" t="s">
        <v>138</v>
      </c>
      <c r="G31" s="168" t="s">
        <v>3</v>
      </c>
      <c r="H31" s="168"/>
      <c r="I31" s="168" t="s">
        <v>139</v>
      </c>
      <c r="U31" s="107">
        <v>5.0999999999999997E-2</v>
      </c>
      <c r="V31" s="107">
        <v>5.0999999999999997E-2</v>
      </c>
      <c r="W31" s="107">
        <v>5.0999999999999997E-2</v>
      </c>
      <c r="X31" s="108">
        <v>5.0999999999999997E-2</v>
      </c>
      <c r="Y31" s="107">
        <v>5.0999999999999997E-2</v>
      </c>
      <c r="Z31" s="107">
        <v>5.0999999999999997E-2</v>
      </c>
      <c r="AA31" s="107">
        <v>5.0999999999999997E-2</v>
      </c>
      <c r="AB31" s="107">
        <v>5.0999999999999997E-2</v>
      </c>
      <c r="AC31" s="107">
        <v>5.0999999999999997E-2</v>
      </c>
      <c r="AD31" s="107">
        <v>5.0999999999999997E-2</v>
      </c>
      <c r="AE31" s="107">
        <f t="shared" ref="AE31:AF34" si="43">AD31</f>
        <v>5.0999999999999997E-2</v>
      </c>
      <c r="AF31" s="107">
        <f t="shared" si="43"/>
        <v>5.0999999999999997E-2</v>
      </c>
      <c r="AG31" s="107">
        <v>5.0999999999999997E-2</v>
      </c>
      <c r="AH31" s="107">
        <v>5.0999999999999997E-2</v>
      </c>
      <c r="AI31" s="107">
        <f t="shared" ref="AI31:AX37" si="44">AH31</f>
        <v>5.0999999999999997E-2</v>
      </c>
      <c r="AJ31" s="107">
        <v>5.0999999999999997E-2</v>
      </c>
      <c r="AK31" s="107">
        <f t="shared" si="44"/>
        <v>5.0999999999999997E-2</v>
      </c>
      <c r="AL31" s="107">
        <f t="shared" si="44"/>
        <v>5.0999999999999997E-2</v>
      </c>
      <c r="AM31" s="107">
        <f t="shared" si="44"/>
        <v>5.0999999999999997E-2</v>
      </c>
      <c r="AN31" s="107">
        <f t="shared" si="44"/>
        <v>5.0999999999999997E-2</v>
      </c>
      <c r="AO31" s="107">
        <f t="shared" si="44"/>
        <v>5.0999999999999997E-2</v>
      </c>
      <c r="AP31" s="107">
        <f t="shared" si="44"/>
        <v>5.0999999999999997E-2</v>
      </c>
      <c r="AQ31" s="107">
        <f t="shared" si="44"/>
        <v>5.0999999999999997E-2</v>
      </c>
      <c r="AR31" s="107">
        <f t="shared" si="44"/>
        <v>5.0999999999999997E-2</v>
      </c>
      <c r="AS31" s="107">
        <f t="shared" si="44"/>
        <v>5.0999999999999997E-2</v>
      </c>
      <c r="AT31" s="107">
        <f t="shared" si="44"/>
        <v>5.0999999999999997E-2</v>
      </c>
      <c r="AU31" s="107">
        <f t="shared" si="44"/>
        <v>5.0999999999999997E-2</v>
      </c>
      <c r="AV31" s="107">
        <f t="shared" si="44"/>
        <v>5.0999999999999997E-2</v>
      </c>
      <c r="AW31" s="107">
        <f t="shared" si="44"/>
        <v>5.0999999999999997E-2</v>
      </c>
      <c r="AX31" s="107">
        <f t="shared" si="44"/>
        <v>5.0999999999999997E-2</v>
      </c>
      <c r="AY31" s="107">
        <f t="shared" ref="AX31:BG37" si="45">AX31</f>
        <v>5.0999999999999997E-2</v>
      </c>
      <c r="AZ31" s="107">
        <f t="shared" si="45"/>
        <v>5.0999999999999997E-2</v>
      </c>
      <c r="BA31" s="107">
        <f t="shared" si="45"/>
        <v>5.0999999999999997E-2</v>
      </c>
      <c r="BB31" s="107">
        <f t="shared" si="45"/>
        <v>5.0999999999999997E-2</v>
      </c>
      <c r="BC31" s="107">
        <f t="shared" si="45"/>
        <v>5.0999999999999997E-2</v>
      </c>
      <c r="BD31" s="107">
        <f t="shared" si="45"/>
        <v>5.0999999999999997E-2</v>
      </c>
      <c r="BE31" s="107">
        <f t="shared" si="45"/>
        <v>5.0999999999999997E-2</v>
      </c>
      <c r="BF31" s="107">
        <f t="shared" si="45"/>
        <v>5.0999999999999997E-2</v>
      </c>
      <c r="BG31" s="107">
        <f t="shared" si="45"/>
        <v>5.0999999999999997E-2</v>
      </c>
    </row>
    <row r="32" spans="1:59" ht="13.75" customHeight="1">
      <c r="A32" s="141" t="s">
        <v>86</v>
      </c>
      <c r="B32" s="165"/>
      <c r="C32" s="165"/>
      <c r="D32" s="165" t="s">
        <v>110</v>
      </c>
      <c r="E32" s="167"/>
      <c r="F32" s="168" t="s">
        <v>140</v>
      </c>
      <c r="G32" s="168" t="s">
        <v>3</v>
      </c>
      <c r="H32" s="168"/>
      <c r="I32" s="168" t="s">
        <v>139</v>
      </c>
      <c r="U32" s="107">
        <v>2.9000000000000001E-2</v>
      </c>
      <c r="V32" s="107">
        <v>2.9000000000000001E-2</v>
      </c>
      <c r="W32" s="107">
        <v>2.9000000000000001E-2</v>
      </c>
      <c r="X32" s="108">
        <v>2.9000000000000001E-2</v>
      </c>
      <c r="Y32" s="107">
        <v>2.9000000000000001E-2</v>
      </c>
      <c r="Z32" s="107">
        <v>2.9000000000000001E-2</v>
      </c>
      <c r="AA32" s="107">
        <v>2.9000000000000001E-2</v>
      </c>
      <c r="AB32" s="107">
        <v>2.9000000000000001E-2</v>
      </c>
      <c r="AC32" s="107">
        <v>2.9000000000000001E-2</v>
      </c>
      <c r="AD32" s="107">
        <v>2.9000000000000001E-2</v>
      </c>
      <c r="AE32" s="107">
        <f t="shared" si="43"/>
        <v>2.9000000000000001E-2</v>
      </c>
      <c r="AF32" s="107">
        <f t="shared" si="43"/>
        <v>2.9000000000000001E-2</v>
      </c>
      <c r="AG32" s="107">
        <v>2.9000000000000001E-2</v>
      </c>
      <c r="AH32" s="107">
        <v>2.9000000000000001E-2</v>
      </c>
      <c r="AI32" s="107">
        <f t="shared" si="44"/>
        <v>2.9000000000000001E-2</v>
      </c>
      <c r="AJ32" s="107">
        <v>2.9000000000000001E-2</v>
      </c>
      <c r="AK32" s="107">
        <f t="shared" si="44"/>
        <v>2.9000000000000001E-2</v>
      </c>
      <c r="AL32" s="107">
        <f t="shared" si="44"/>
        <v>2.9000000000000001E-2</v>
      </c>
      <c r="AM32" s="107">
        <f t="shared" si="44"/>
        <v>2.9000000000000001E-2</v>
      </c>
      <c r="AN32" s="107">
        <f t="shared" si="44"/>
        <v>2.9000000000000001E-2</v>
      </c>
      <c r="AO32" s="107">
        <f t="shared" si="44"/>
        <v>2.9000000000000001E-2</v>
      </c>
      <c r="AP32" s="107">
        <f t="shared" si="44"/>
        <v>2.9000000000000001E-2</v>
      </c>
      <c r="AQ32" s="107">
        <f t="shared" si="44"/>
        <v>2.9000000000000001E-2</v>
      </c>
      <c r="AR32" s="107">
        <f t="shared" si="44"/>
        <v>2.9000000000000001E-2</v>
      </c>
      <c r="AS32" s="107">
        <f t="shared" si="44"/>
        <v>2.9000000000000001E-2</v>
      </c>
      <c r="AT32" s="107">
        <f t="shared" si="44"/>
        <v>2.9000000000000001E-2</v>
      </c>
      <c r="AU32" s="107">
        <f t="shared" si="44"/>
        <v>2.9000000000000001E-2</v>
      </c>
      <c r="AV32" s="107">
        <f t="shared" si="44"/>
        <v>2.9000000000000001E-2</v>
      </c>
      <c r="AW32" s="107">
        <f t="shared" si="44"/>
        <v>2.9000000000000001E-2</v>
      </c>
      <c r="AX32" s="107">
        <f t="shared" si="45"/>
        <v>2.9000000000000001E-2</v>
      </c>
      <c r="AY32" s="107">
        <f t="shared" si="45"/>
        <v>2.9000000000000001E-2</v>
      </c>
      <c r="AZ32" s="107">
        <f t="shared" si="45"/>
        <v>2.9000000000000001E-2</v>
      </c>
      <c r="BA32" s="107">
        <f t="shared" si="45"/>
        <v>2.9000000000000001E-2</v>
      </c>
      <c r="BB32" s="107">
        <f t="shared" si="45"/>
        <v>2.9000000000000001E-2</v>
      </c>
      <c r="BC32" s="107">
        <f t="shared" si="45"/>
        <v>2.9000000000000001E-2</v>
      </c>
      <c r="BD32" s="107">
        <f t="shared" si="45"/>
        <v>2.9000000000000001E-2</v>
      </c>
      <c r="BE32" s="107">
        <f t="shared" si="45"/>
        <v>2.9000000000000001E-2</v>
      </c>
      <c r="BF32" s="107">
        <f t="shared" si="45"/>
        <v>2.9000000000000001E-2</v>
      </c>
      <c r="BG32" s="107">
        <f t="shared" si="45"/>
        <v>2.9000000000000001E-2</v>
      </c>
    </row>
    <row r="33" spans="1:59" ht="13.75" customHeight="1">
      <c r="A33" s="141" t="s">
        <v>86</v>
      </c>
      <c r="B33" s="165"/>
      <c r="C33" s="165"/>
      <c r="D33" s="165" t="s">
        <v>110</v>
      </c>
      <c r="E33" s="167"/>
      <c r="F33" s="168" t="s">
        <v>141</v>
      </c>
      <c r="G33" s="168" t="s">
        <v>3</v>
      </c>
      <c r="H33" s="168"/>
      <c r="I33" s="168" t="s">
        <v>139</v>
      </c>
      <c r="U33" s="107">
        <v>0.22</v>
      </c>
      <c r="V33" s="107">
        <v>0.22</v>
      </c>
      <c r="W33" s="107">
        <v>0.22</v>
      </c>
      <c r="X33" s="108">
        <v>0.22</v>
      </c>
      <c r="Y33" s="107">
        <v>0.22</v>
      </c>
      <c r="Z33" s="107">
        <v>0.22</v>
      </c>
      <c r="AA33" s="107">
        <v>0.22</v>
      </c>
      <c r="AB33" s="107">
        <v>0.22</v>
      </c>
      <c r="AC33" s="107">
        <v>0.22</v>
      </c>
      <c r="AD33" s="107">
        <v>0.22</v>
      </c>
      <c r="AE33" s="107">
        <f t="shared" si="43"/>
        <v>0.22</v>
      </c>
      <c r="AF33" s="107">
        <f t="shared" si="43"/>
        <v>0.22</v>
      </c>
      <c r="AG33" s="107">
        <v>0.22</v>
      </c>
      <c r="AH33" s="107">
        <v>0.22</v>
      </c>
      <c r="AI33" s="107">
        <f t="shared" si="44"/>
        <v>0.22</v>
      </c>
      <c r="AJ33" s="107">
        <v>0.22</v>
      </c>
      <c r="AK33" s="107">
        <f t="shared" si="44"/>
        <v>0.22</v>
      </c>
      <c r="AL33" s="107">
        <f t="shared" si="44"/>
        <v>0.22</v>
      </c>
      <c r="AM33" s="107">
        <f t="shared" si="44"/>
        <v>0.22</v>
      </c>
      <c r="AN33" s="107">
        <f t="shared" si="44"/>
        <v>0.22</v>
      </c>
      <c r="AO33" s="107">
        <f t="shared" si="44"/>
        <v>0.22</v>
      </c>
      <c r="AP33" s="107">
        <f t="shared" si="44"/>
        <v>0.22</v>
      </c>
      <c r="AQ33" s="107">
        <f t="shared" si="44"/>
        <v>0.22</v>
      </c>
      <c r="AR33" s="107">
        <f t="shared" si="44"/>
        <v>0.22</v>
      </c>
      <c r="AS33" s="107">
        <f t="shared" si="44"/>
        <v>0.22</v>
      </c>
      <c r="AT33" s="107">
        <f t="shared" si="44"/>
        <v>0.22</v>
      </c>
      <c r="AU33" s="107">
        <f t="shared" si="44"/>
        <v>0.22</v>
      </c>
      <c r="AV33" s="107">
        <f t="shared" si="44"/>
        <v>0.22</v>
      </c>
      <c r="AW33" s="107">
        <f t="shared" si="44"/>
        <v>0.22</v>
      </c>
      <c r="AX33" s="107">
        <f t="shared" si="45"/>
        <v>0.22</v>
      </c>
      <c r="AY33" s="107">
        <f t="shared" si="45"/>
        <v>0.22</v>
      </c>
      <c r="AZ33" s="107">
        <f t="shared" si="45"/>
        <v>0.22</v>
      </c>
      <c r="BA33" s="107">
        <f t="shared" si="45"/>
        <v>0.22</v>
      </c>
      <c r="BB33" s="107">
        <f t="shared" si="45"/>
        <v>0.22</v>
      </c>
      <c r="BC33" s="107">
        <f t="shared" si="45"/>
        <v>0.22</v>
      </c>
      <c r="BD33" s="107">
        <f t="shared" si="45"/>
        <v>0.22</v>
      </c>
      <c r="BE33" s="107">
        <f t="shared" si="45"/>
        <v>0.22</v>
      </c>
      <c r="BF33" s="107">
        <f t="shared" si="45"/>
        <v>0.22</v>
      </c>
      <c r="BG33" s="107">
        <f t="shared" si="45"/>
        <v>0.22</v>
      </c>
    </row>
    <row r="34" spans="1:59" ht="13.75" customHeight="1">
      <c r="A34" s="141" t="s">
        <v>86</v>
      </c>
      <c r="B34" s="165"/>
      <c r="C34" s="165"/>
      <c r="D34" s="165" t="s">
        <v>110</v>
      </c>
      <c r="E34" s="167"/>
      <c r="F34" s="168" t="s">
        <v>142</v>
      </c>
      <c r="G34" s="168" t="s">
        <v>3</v>
      </c>
      <c r="H34" s="168"/>
      <c r="I34" s="168" t="s">
        <v>139</v>
      </c>
      <c r="U34" s="107">
        <v>0.2</v>
      </c>
      <c r="V34" s="107">
        <v>0.2</v>
      </c>
      <c r="W34" s="107">
        <v>0.2</v>
      </c>
      <c r="X34" s="108">
        <v>0.2</v>
      </c>
      <c r="Y34" s="107">
        <v>0.2</v>
      </c>
      <c r="Z34" s="107">
        <v>0.2</v>
      </c>
      <c r="AA34" s="107">
        <v>0.2</v>
      </c>
      <c r="AB34" s="107">
        <v>0.2</v>
      </c>
      <c r="AC34" s="107">
        <v>0.2</v>
      </c>
      <c r="AD34" s="107">
        <v>0.2</v>
      </c>
      <c r="AE34" s="107">
        <f t="shared" si="43"/>
        <v>0.2</v>
      </c>
      <c r="AF34" s="107">
        <f t="shared" si="43"/>
        <v>0.2</v>
      </c>
      <c r="AG34" s="107">
        <v>0.2</v>
      </c>
      <c r="AH34" s="107">
        <v>0.2</v>
      </c>
      <c r="AI34" s="107">
        <f t="shared" si="44"/>
        <v>0.2</v>
      </c>
      <c r="AJ34" s="107">
        <v>0.2</v>
      </c>
      <c r="AK34" s="107">
        <f t="shared" si="44"/>
        <v>0.2</v>
      </c>
      <c r="AL34" s="107">
        <f t="shared" si="44"/>
        <v>0.2</v>
      </c>
      <c r="AM34" s="107">
        <f t="shared" si="44"/>
        <v>0.2</v>
      </c>
      <c r="AN34" s="107">
        <f t="shared" si="44"/>
        <v>0.2</v>
      </c>
      <c r="AO34" s="107">
        <f t="shared" si="44"/>
        <v>0.2</v>
      </c>
      <c r="AP34" s="107">
        <f t="shared" si="44"/>
        <v>0.2</v>
      </c>
      <c r="AQ34" s="107">
        <f t="shared" si="44"/>
        <v>0.2</v>
      </c>
      <c r="AR34" s="107">
        <f t="shared" si="44"/>
        <v>0.2</v>
      </c>
      <c r="AS34" s="107">
        <f t="shared" si="44"/>
        <v>0.2</v>
      </c>
      <c r="AT34" s="107">
        <f t="shared" si="44"/>
        <v>0.2</v>
      </c>
      <c r="AU34" s="107">
        <f t="shared" si="44"/>
        <v>0.2</v>
      </c>
      <c r="AV34" s="107">
        <f t="shared" si="44"/>
        <v>0.2</v>
      </c>
      <c r="AW34" s="107">
        <f t="shared" si="44"/>
        <v>0.2</v>
      </c>
      <c r="AX34" s="107">
        <f t="shared" si="45"/>
        <v>0.2</v>
      </c>
      <c r="AY34" s="107">
        <f t="shared" si="45"/>
        <v>0.2</v>
      </c>
      <c r="AZ34" s="107">
        <f t="shared" si="45"/>
        <v>0.2</v>
      </c>
      <c r="BA34" s="107">
        <f t="shared" si="45"/>
        <v>0.2</v>
      </c>
      <c r="BB34" s="107">
        <f t="shared" si="45"/>
        <v>0.2</v>
      </c>
      <c r="BC34" s="107">
        <f t="shared" si="45"/>
        <v>0.2</v>
      </c>
      <c r="BD34" s="107">
        <f t="shared" si="45"/>
        <v>0.2</v>
      </c>
      <c r="BE34" s="107">
        <f t="shared" si="45"/>
        <v>0.2</v>
      </c>
      <c r="BF34" s="107">
        <f t="shared" si="45"/>
        <v>0.2</v>
      </c>
      <c r="BG34" s="107">
        <f t="shared" si="45"/>
        <v>0.2</v>
      </c>
    </row>
    <row r="35" spans="1:59" ht="13.75" customHeight="1">
      <c r="A35" s="141" t="s">
        <v>86</v>
      </c>
      <c r="B35" s="165"/>
      <c r="C35" s="165"/>
      <c r="D35" s="170" t="s">
        <v>87</v>
      </c>
      <c r="E35" s="168"/>
      <c r="F35" s="168" t="s">
        <v>143</v>
      </c>
      <c r="G35" s="168" t="s">
        <v>144</v>
      </c>
      <c r="H35" s="168"/>
      <c r="I35" s="168" t="s">
        <v>145</v>
      </c>
      <c r="J35" s="147">
        <v>0.89559999999999995</v>
      </c>
      <c r="K35" s="147">
        <v>0.9456</v>
      </c>
      <c r="L35" s="147">
        <v>1.1312</v>
      </c>
      <c r="M35" s="147">
        <v>1.2439</v>
      </c>
      <c r="N35" s="147">
        <v>1.2441</v>
      </c>
      <c r="O35" s="147">
        <v>1.2556</v>
      </c>
      <c r="P35" s="147">
        <v>1.3705000000000001</v>
      </c>
      <c r="Q35" s="147">
        <v>1.4708000000000001</v>
      </c>
      <c r="R35" s="147">
        <v>1.3948</v>
      </c>
      <c r="S35" s="147">
        <v>1.3257000000000001</v>
      </c>
      <c r="T35" s="147">
        <v>1.3919999999999999</v>
      </c>
      <c r="U35" s="112"/>
      <c r="V35" s="112"/>
      <c r="W35" s="111">
        <v>1.32</v>
      </c>
      <c r="X35" s="111">
        <v>1.109844890109889</v>
      </c>
      <c r="Y35" s="111">
        <v>1.1075316927665921</v>
      </c>
      <c r="Z35" s="113">
        <v>1.1301777562326867</v>
      </c>
      <c r="AA35" s="113">
        <v>1.1806945454545457</v>
      </c>
      <c r="AB35" s="113">
        <v>1.1073</v>
      </c>
      <c r="AC35" s="113">
        <v>1.1411540665294917</v>
      </c>
      <c r="AD35" s="113">
        <v>1.1837660361966427</v>
      </c>
      <c r="AE35" s="113">
        <v>1.0516478335744384</v>
      </c>
      <c r="AF35" s="113">
        <v>1.0780686989940289</v>
      </c>
      <c r="AG35" s="113">
        <v>1.0266666666666668</v>
      </c>
      <c r="AH35" s="113">
        <v>1.04</v>
      </c>
      <c r="AI35" s="113">
        <v>1.04</v>
      </c>
      <c r="AJ35" s="113">
        <f>AI35</f>
        <v>1.04</v>
      </c>
      <c r="AK35" s="113">
        <f t="shared" si="44"/>
        <v>1.04</v>
      </c>
      <c r="AL35" s="113">
        <f t="shared" si="44"/>
        <v>1.04</v>
      </c>
      <c r="AM35" s="113">
        <f t="shared" si="44"/>
        <v>1.04</v>
      </c>
      <c r="AN35" s="113">
        <f t="shared" si="44"/>
        <v>1.04</v>
      </c>
      <c r="AO35" s="113">
        <f t="shared" si="44"/>
        <v>1.04</v>
      </c>
      <c r="AP35" s="113">
        <f t="shared" si="44"/>
        <v>1.04</v>
      </c>
      <c r="AQ35" s="113">
        <f t="shared" si="44"/>
        <v>1.04</v>
      </c>
      <c r="AR35" s="113">
        <f t="shared" si="44"/>
        <v>1.04</v>
      </c>
      <c r="AS35" s="113">
        <f t="shared" si="44"/>
        <v>1.04</v>
      </c>
      <c r="AT35" s="113">
        <f t="shared" si="44"/>
        <v>1.04</v>
      </c>
      <c r="AU35" s="113">
        <f t="shared" si="44"/>
        <v>1.04</v>
      </c>
      <c r="AV35" s="113">
        <f t="shared" si="44"/>
        <v>1.04</v>
      </c>
      <c r="AW35" s="113">
        <f t="shared" si="44"/>
        <v>1.04</v>
      </c>
      <c r="AX35" s="113">
        <f t="shared" si="45"/>
        <v>1.04</v>
      </c>
      <c r="AY35" s="113">
        <f t="shared" si="45"/>
        <v>1.04</v>
      </c>
      <c r="AZ35" s="113">
        <f t="shared" si="45"/>
        <v>1.04</v>
      </c>
      <c r="BA35" s="113">
        <f t="shared" si="45"/>
        <v>1.04</v>
      </c>
      <c r="BB35" s="113">
        <f t="shared" si="45"/>
        <v>1.04</v>
      </c>
      <c r="BC35" s="113">
        <f t="shared" si="45"/>
        <v>1.04</v>
      </c>
      <c r="BD35" s="113">
        <f t="shared" si="45"/>
        <v>1.04</v>
      </c>
      <c r="BE35" s="113">
        <f t="shared" si="45"/>
        <v>1.04</v>
      </c>
      <c r="BF35" s="113">
        <f t="shared" si="45"/>
        <v>1.04</v>
      </c>
      <c r="BG35" s="113">
        <f t="shared" si="45"/>
        <v>1.04</v>
      </c>
    </row>
    <row r="36" spans="1:59" ht="13.75" customHeight="1">
      <c r="A36" s="141" t="s">
        <v>86</v>
      </c>
      <c r="B36" s="165"/>
      <c r="C36" s="165"/>
      <c r="D36" s="170" t="s">
        <v>98</v>
      </c>
      <c r="E36" s="167"/>
      <c r="F36" s="168" t="s">
        <v>146</v>
      </c>
      <c r="G36" s="168" t="s">
        <v>144</v>
      </c>
      <c r="H36" s="168"/>
      <c r="I36" s="168"/>
      <c r="J36" s="147">
        <v>0.88129999999999997</v>
      </c>
      <c r="K36" s="147">
        <v>1.0487</v>
      </c>
      <c r="L36" s="147">
        <v>1.2629999999999999</v>
      </c>
      <c r="M36" s="147">
        <v>1.3621000000000001</v>
      </c>
      <c r="N36" s="147">
        <v>1.1797</v>
      </c>
      <c r="O36" s="147">
        <v>1.3169999999999999</v>
      </c>
      <c r="P36" s="147">
        <v>1.4721</v>
      </c>
      <c r="Q36" s="147">
        <v>1.3916999999999999</v>
      </c>
      <c r="R36" s="147">
        <v>1.4406000000000001</v>
      </c>
      <c r="S36" s="147">
        <v>1.3362000000000001</v>
      </c>
      <c r="T36" s="147">
        <v>1.2939000000000001</v>
      </c>
      <c r="U36" s="111">
        <v>1.3193999999999999</v>
      </c>
      <c r="V36" s="111">
        <v>1.3791</v>
      </c>
      <c r="W36" s="111">
        <v>1.2141</v>
      </c>
      <c r="X36" s="111">
        <v>1.0865499999999999</v>
      </c>
      <c r="Y36" s="111">
        <v>1.0516000000000001</v>
      </c>
      <c r="Z36" s="113">
        <v>1.1994</v>
      </c>
      <c r="AA36" s="113">
        <v>1.1456</v>
      </c>
      <c r="AB36" s="113">
        <v>1.1214</v>
      </c>
      <c r="AC36" s="113">
        <v>1.2217</v>
      </c>
      <c r="AD36" s="113">
        <v>1.137</v>
      </c>
      <c r="AE36" s="113">
        <f>AE35</f>
        <v>1.0516478335744384</v>
      </c>
      <c r="AF36" s="113">
        <f>AF35</f>
        <v>1.0780686989940289</v>
      </c>
      <c r="AG36" s="113">
        <f>AG35</f>
        <v>1.0266666666666668</v>
      </c>
      <c r="AH36" s="113">
        <f>AH35</f>
        <v>1.04</v>
      </c>
      <c r="AI36" s="113">
        <f t="shared" si="44"/>
        <v>1.04</v>
      </c>
      <c r="AJ36" s="113">
        <f>AJ35</f>
        <v>1.04</v>
      </c>
      <c r="AK36" s="113">
        <f t="shared" si="44"/>
        <v>1.04</v>
      </c>
      <c r="AL36" s="113">
        <f t="shared" si="44"/>
        <v>1.04</v>
      </c>
      <c r="AM36" s="113">
        <f t="shared" si="44"/>
        <v>1.04</v>
      </c>
      <c r="AN36" s="113">
        <f t="shared" si="44"/>
        <v>1.04</v>
      </c>
      <c r="AO36" s="113">
        <f t="shared" si="44"/>
        <v>1.04</v>
      </c>
      <c r="AP36" s="113">
        <f t="shared" si="44"/>
        <v>1.04</v>
      </c>
      <c r="AQ36" s="113">
        <f t="shared" si="44"/>
        <v>1.04</v>
      </c>
      <c r="AR36" s="113">
        <f t="shared" si="44"/>
        <v>1.04</v>
      </c>
      <c r="AS36" s="113">
        <f t="shared" si="44"/>
        <v>1.04</v>
      </c>
      <c r="AT36" s="113">
        <f t="shared" si="44"/>
        <v>1.04</v>
      </c>
      <c r="AU36" s="113">
        <f t="shared" si="44"/>
        <v>1.04</v>
      </c>
      <c r="AV36" s="113">
        <f t="shared" si="44"/>
        <v>1.04</v>
      </c>
      <c r="AW36" s="113">
        <f t="shared" si="44"/>
        <v>1.04</v>
      </c>
      <c r="AX36" s="113">
        <f t="shared" si="45"/>
        <v>1.04</v>
      </c>
      <c r="AY36" s="113">
        <f t="shared" ref="AY36" si="46">AY35</f>
        <v>1.04</v>
      </c>
      <c r="AZ36" s="113">
        <f>AZ35</f>
        <v>1.04</v>
      </c>
      <c r="BA36" s="113">
        <f>BA35</f>
        <v>1.04</v>
      </c>
      <c r="BB36" s="113">
        <f>BB35</f>
        <v>1.04</v>
      </c>
      <c r="BC36" s="113">
        <f t="shared" ref="BC36:BG36" si="47">BC35</f>
        <v>1.04</v>
      </c>
      <c r="BD36" s="113">
        <f t="shared" si="47"/>
        <v>1.04</v>
      </c>
      <c r="BE36" s="113">
        <f t="shared" si="47"/>
        <v>1.04</v>
      </c>
      <c r="BF36" s="113">
        <f t="shared" si="47"/>
        <v>1.04</v>
      </c>
      <c r="BG36" s="113">
        <f t="shared" si="47"/>
        <v>1.04</v>
      </c>
    </row>
    <row r="37" spans="1:59" ht="13.75" customHeight="1">
      <c r="A37" s="141" t="s">
        <v>86</v>
      </c>
      <c r="B37" s="165"/>
      <c r="C37" s="165"/>
      <c r="D37" s="165" t="s">
        <v>87</v>
      </c>
      <c r="E37" s="167"/>
      <c r="F37" s="168" t="s">
        <v>147</v>
      </c>
      <c r="G37" s="168" t="s">
        <v>3</v>
      </c>
      <c r="H37" s="168"/>
      <c r="I37" s="168" t="s">
        <v>124</v>
      </c>
      <c r="J37" s="114">
        <v>3.2500000000000001E-2</v>
      </c>
      <c r="K37" s="114">
        <v>2.75E-2</v>
      </c>
      <c r="L37" s="114">
        <v>0.02</v>
      </c>
      <c r="M37" s="114">
        <v>0.02</v>
      </c>
      <c r="N37" s="114">
        <v>2.2499999999999999E-2</v>
      </c>
      <c r="O37" s="114">
        <v>3.5000000000000003E-2</v>
      </c>
      <c r="P37" s="114">
        <v>0.04</v>
      </c>
      <c r="Q37" s="114">
        <v>2.5000000000000001E-2</v>
      </c>
      <c r="R37" s="114">
        <v>0.01</v>
      </c>
      <c r="S37" s="114">
        <v>0.01</v>
      </c>
      <c r="T37" s="114">
        <v>0.01</v>
      </c>
      <c r="U37" s="148">
        <v>7.4999999999999997E-3</v>
      </c>
      <c r="V37" s="148">
        <v>2.5000000000000001E-3</v>
      </c>
      <c r="W37" s="148">
        <v>5.0000000000000001E-4</v>
      </c>
      <c r="X37" s="110">
        <v>5.0000000000000001E-4</v>
      </c>
      <c r="Y37" s="110">
        <v>0</v>
      </c>
      <c r="Z37" s="110">
        <v>0</v>
      </c>
      <c r="AA37" s="110">
        <v>0</v>
      </c>
      <c r="AB37" s="110">
        <v>0</v>
      </c>
      <c r="AC37" s="110">
        <v>0</v>
      </c>
      <c r="AD37" s="110">
        <v>0</v>
      </c>
      <c r="AE37" s="110">
        <v>2.5000000000000001E-2</v>
      </c>
      <c r="AF37" s="110">
        <v>4.4999999999999998E-2</v>
      </c>
      <c r="AG37" s="110">
        <v>0.02</v>
      </c>
      <c r="AH37" s="110">
        <v>1.4999999999999999E-2</v>
      </c>
      <c r="AI37" s="110">
        <v>1.4999999999999999E-2</v>
      </c>
      <c r="AJ37" s="110">
        <v>1.4999999999999999E-2</v>
      </c>
      <c r="AK37" s="110">
        <f t="shared" si="44"/>
        <v>1.4999999999999999E-2</v>
      </c>
      <c r="AL37" s="110">
        <f t="shared" si="44"/>
        <v>1.4999999999999999E-2</v>
      </c>
      <c r="AM37" s="110">
        <f t="shared" si="44"/>
        <v>1.4999999999999999E-2</v>
      </c>
      <c r="AN37" s="110">
        <f t="shared" si="44"/>
        <v>1.4999999999999999E-2</v>
      </c>
      <c r="AO37" s="110">
        <f t="shared" si="44"/>
        <v>1.4999999999999999E-2</v>
      </c>
      <c r="AP37" s="110">
        <f t="shared" si="44"/>
        <v>1.4999999999999999E-2</v>
      </c>
      <c r="AQ37" s="110">
        <f t="shared" si="44"/>
        <v>1.4999999999999999E-2</v>
      </c>
      <c r="AR37" s="110">
        <f t="shared" si="44"/>
        <v>1.4999999999999999E-2</v>
      </c>
      <c r="AS37" s="110">
        <f t="shared" si="44"/>
        <v>1.4999999999999999E-2</v>
      </c>
      <c r="AT37" s="110">
        <f t="shared" si="44"/>
        <v>1.4999999999999999E-2</v>
      </c>
      <c r="AU37" s="110">
        <f t="shared" si="44"/>
        <v>1.4999999999999999E-2</v>
      </c>
      <c r="AV37" s="110">
        <f t="shared" si="44"/>
        <v>1.4999999999999999E-2</v>
      </c>
      <c r="AW37" s="110">
        <f t="shared" si="44"/>
        <v>1.4999999999999999E-2</v>
      </c>
      <c r="AX37" s="110">
        <f t="shared" si="45"/>
        <v>1.4999999999999999E-2</v>
      </c>
      <c r="AY37" s="110">
        <f t="shared" si="45"/>
        <v>1.4999999999999999E-2</v>
      </c>
      <c r="AZ37" s="110">
        <f t="shared" si="45"/>
        <v>1.4999999999999999E-2</v>
      </c>
      <c r="BA37" s="110">
        <f t="shared" si="45"/>
        <v>1.4999999999999999E-2</v>
      </c>
      <c r="BB37" s="110">
        <f t="shared" si="45"/>
        <v>1.4999999999999999E-2</v>
      </c>
      <c r="BC37" s="110">
        <f t="shared" si="45"/>
        <v>1.4999999999999999E-2</v>
      </c>
      <c r="BD37" s="110">
        <f t="shared" si="45"/>
        <v>1.4999999999999999E-2</v>
      </c>
      <c r="BE37" s="110">
        <f t="shared" si="45"/>
        <v>1.4999999999999999E-2</v>
      </c>
      <c r="BF37" s="110">
        <f t="shared" si="45"/>
        <v>1.4999999999999999E-2</v>
      </c>
      <c r="BG37" s="110">
        <f t="shared" si="45"/>
        <v>1.4999999999999999E-2</v>
      </c>
    </row>
    <row r="38" spans="1:59" ht="13.75" customHeight="1">
      <c r="A38" s="141" t="s">
        <v>86</v>
      </c>
      <c r="B38" s="165"/>
      <c r="C38" s="165"/>
      <c r="D38" s="170" t="s">
        <v>98</v>
      </c>
      <c r="E38" s="167"/>
      <c r="F38" s="168" t="s">
        <v>148</v>
      </c>
      <c r="G38" s="168" t="s">
        <v>149</v>
      </c>
      <c r="H38" s="168"/>
      <c r="I38" s="168" t="s">
        <v>116</v>
      </c>
      <c r="J38" s="147">
        <v>1.4777</v>
      </c>
      <c r="K38" s="147">
        <v>1.4514</v>
      </c>
      <c r="L38" s="147">
        <v>1.5604499999999999</v>
      </c>
      <c r="M38" s="147">
        <v>1.546</v>
      </c>
      <c r="N38" s="147">
        <v>1.5561500000000001</v>
      </c>
      <c r="O38" s="147">
        <v>1.6091</v>
      </c>
      <c r="P38" s="147">
        <v>1.6536</v>
      </c>
      <c r="Q38" s="147">
        <v>1.4935800000000001</v>
      </c>
      <c r="R38" s="147">
        <v>1.4836499999999999</v>
      </c>
      <c r="S38" s="147">
        <v>1.2516099999999999</v>
      </c>
      <c r="T38" s="147">
        <v>1.21689</v>
      </c>
      <c r="U38" s="112">
        <v>1.2072000000000001</v>
      </c>
      <c r="V38" s="112">
        <v>1.2276</v>
      </c>
      <c r="W38" s="112">
        <v>1.2023999999999999</v>
      </c>
      <c r="X38" s="111">
        <v>1.0887316276537833</v>
      </c>
      <c r="Y38" s="111">
        <v>1.0740000000000001</v>
      </c>
      <c r="Z38" s="111">
        <v>1.17</v>
      </c>
      <c r="AA38" s="111">
        <v>1.127</v>
      </c>
      <c r="AB38" s="111">
        <v>1.0853999999999999</v>
      </c>
      <c r="AC38" s="111">
        <v>1.0809642200843153</v>
      </c>
      <c r="AD38" s="111">
        <v>1.0373443983402491</v>
      </c>
      <c r="AE38" s="111">
        <v>1.0649999999999999</v>
      </c>
      <c r="AF38" s="111">
        <v>1.06</v>
      </c>
      <c r="AG38" s="111">
        <v>1.06</v>
      </c>
      <c r="AH38" s="111">
        <f>AH36*AH40</f>
        <v>0.94506224066390032</v>
      </c>
      <c r="AI38" s="111">
        <f t="shared" ref="AI38:BA38" si="48">AI36*AI40</f>
        <v>0.94506224066390032</v>
      </c>
      <c r="AJ38" s="111">
        <f>AJ36*AJ40</f>
        <v>0.94506224066390032</v>
      </c>
      <c r="AK38" s="111">
        <f t="shared" si="48"/>
        <v>0.94506224066390032</v>
      </c>
      <c r="AL38" s="111">
        <f t="shared" si="48"/>
        <v>0.94506224066390032</v>
      </c>
      <c r="AM38" s="111">
        <f t="shared" si="48"/>
        <v>0.94506224066390032</v>
      </c>
      <c r="AN38" s="111">
        <f t="shared" si="48"/>
        <v>0.94506224066390032</v>
      </c>
      <c r="AO38" s="111">
        <f t="shared" si="48"/>
        <v>0.94506224066390032</v>
      </c>
      <c r="AP38" s="111">
        <f t="shared" si="48"/>
        <v>0.94506224066390032</v>
      </c>
      <c r="AQ38" s="111">
        <f t="shared" si="48"/>
        <v>0.94506224066390032</v>
      </c>
      <c r="AR38" s="111">
        <f t="shared" si="48"/>
        <v>0.94506224066390032</v>
      </c>
      <c r="AS38" s="111">
        <f t="shared" si="48"/>
        <v>0.94506224066390032</v>
      </c>
      <c r="AT38" s="111">
        <f t="shared" si="48"/>
        <v>0.94506224066390032</v>
      </c>
      <c r="AU38" s="111">
        <f t="shared" si="48"/>
        <v>0.94506224066390032</v>
      </c>
      <c r="AV38" s="111">
        <f t="shared" si="48"/>
        <v>0.94506224066390032</v>
      </c>
      <c r="AW38" s="111">
        <f t="shared" si="48"/>
        <v>0.94506224066390032</v>
      </c>
      <c r="AX38" s="111">
        <f t="shared" si="48"/>
        <v>0.94506224066390032</v>
      </c>
      <c r="AY38" s="111">
        <f t="shared" si="48"/>
        <v>0.94506224066390032</v>
      </c>
      <c r="AZ38" s="111">
        <f t="shared" si="48"/>
        <v>0.94506224066390032</v>
      </c>
      <c r="BA38" s="111">
        <f t="shared" si="48"/>
        <v>0.94506224066390032</v>
      </c>
      <c r="BB38" s="111">
        <f>BB36*BB40</f>
        <v>0.94506224066390032</v>
      </c>
      <c r="BC38" s="111">
        <f t="shared" ref="BC38:BG38" si="49">BC36*BC40</f>
        <v>0.94506224066390032</v>
      </c>
      <c r="BD38" s="111">
        <f t="shared" si="49"/>
        <v>0.94506224066390032</v>
      </c>
      <c r="BE38" s="111">
        <f t="shared" si="49"/>
        <v>0.94506224066390032</v>
      </c>
      <c r="BF38" s="111">
        <f t="shared" si="49"/>
        <v>0.94506224066390032</v>
      </c>
      <c r="BG38" s="111">
        <f t="shared" si="49"/>
        <v>0.94506224066390032</v>
      </c>
    </row>
    <row r="39" spans="1:59" ht="13.75" customHeight="1">
      <c r="A39" s="141" t="s">
        <v>86</v>
      </c>
      <c r="B39" s="165"/>
      <c r="C39" s="165"/>
      <c r="D39" s="170" t="s">
        <v>87</v>
      </c>
      <c r="E39" s="167"/>
      <c r="F39" s="168" t="s">
        <v>150</v>
      </c>
      <c r="G39" s="168" t="s">
        <v>3</v>
      </c>
      <c r="H39" s="168"/>
      <c r="I39" s="168" t="s">
        <v>151</v>
      </c>
      <c r="T39" s="114">
        <v>5.2499999999999998E-2</v>
      </c>
      <c r="W39" s="131">
        <v>0.17</v>
      </c>
      <c r="X39" s="107">
        <v>0.11</v>
      </c>
      <c r="Y39" s="107">
        <v>0.1</v>
      </c>
      <c r="Z39" s="110">
        <v>7.7499999999999999E-2</v>
      </c>
      <c r="AA39" s="110">
        <v>7.7499999999999999E-2</v>
      </c>
      <c r="AB39" s="110">
        <v>6.25E-2</v>
      </c>
      <c r="AC39" s="110">
        <v>4.2500000000000003E-2</v>
      </c>
      <c r="AD39" s="110">
        <v>8.5000000000000006E-2</v>
      </c>
      <c r="AE39" s="110">
        <v>7.4999999999999997E-2</v>
      </c>
      <c r="AF39" s="110">
        <v>0.14000000000000001</v>
      </c>
      <c r="AG39" s="110">
        <v>0.13</v>
      </c>
      <c r="AH39" s="110">
        <v>8.5000000000000006E-2</v>
      </c>
      <c r="AI39" s="110">
        <v>0.06</v>
      </c>
      <c r="AJ39" s="110">
        <f t="shared" ref="AJ39:BG39" si="50">AI39</f>
        <v>0.06</v>
      </c>
      <c r="AK39" s="110">
        <f t="shared" si="50"/>
        <v>0.06</v>
      </c>
      <c r="AL39" s="110">
        <f t="shared" si="50"/>
        <v>0.06</v>
      </c>
      <c r="AM39" s="110">
        <f t="shared" si="50"/>
        <v>0.06</v>
      </c>
      <c r="AN39" s="110">
        <f t="shared" si="50"/>
        <v>0.06</v>
      </c>
      <c r="AO39" s="110">
        <f t="shared" si="50"/>
        <v>0.06</v>
      </c>
      <c r="AP39" s="110">
        <f t="shared" si="50"/>
        <v>0.06</v>
      </c>
      <c r="AQ39" s="110">
        <f t="shared" si="50"/>
        <v>0.06</v>
      </c>
      <c r="AR39" s="110">
        <f t="shared" si="50"/>
        <v>0.06</v>
      </c>
      <c r="AS39" s="110">
        <f t="shared" si="50"/>
        <v>0.06</v>
      </c>
      <c r="AT39" s="110">
        <f t="shared" si="50"/>
        <v>0.06</v>
      </c>
      <c r="AU39" s="110">
        <f t="shared" si="50"/>
        <v>0.06</v>
      </c>
      <c r="AV39" s="110">
        <f t="shared" si="50"/>
        <v>0.06</v>
      </c>
      <c r="AW39" s="110">
        <f t="shared" si="50"/>
        <v>0.06</v>
      </c>
      <c r="AX39" s="110">
        <f t="shared" si="50"/>
        <v>0.06</v>
      </c>
      <c r="AY39" s="110">
        <f t="shared" si="50"/>
        <v>0.06</v>
      </c>
      <c r="AZ39" s="110">
        <f t="shared" si="50"/>
        <v>0.06</v>
      </c>
      <c r="BA39" s="110">
        <f t="shared" si="50"/>
        <v>0.06</v>
      </c>
      <c r="BB39" s="110">
        <f t="shared" si="50"/>
        <v>0.06</v>
      </c>
      <c r="BC39" s="110">
        <f t="shared" si="50"/>
        <v>0.06</v>
      </c>
      <c r="BD39" s="110">
        <f t="shared" si="50"/>
        <v>0.06</v>
      </c>
      <c r="BE39" s="110">
        <f t="shared" si="50"/>
        <v>0.06</v>
      </c>
      <c r="BF39" s="110">
        <f t="shared" si="50"/>
        <v>0.06</v>
      </c>
      <c r="BG39" s="110">
        <f t="shared" si="50"/>
        <v>0.06</v>
      </c>
    </row>
    <row r="40" spans="1:59" ht="13.75" customHeight="1" outlineLevel="1">
      <c r="A40" s="141" t="s">
        <v>86</v>
      </c>
      <c r="B40" s="165"/>
      <c r="C40" s="165"/>
      <c r="D40" s="170" t="s">
        <v>98</v>
      </c>
      <c r="E40" s="167"/>
      <c r="F40" s="168" t="s">
        <v>152</v>
      </c>
      <c r="G40" s="168" t="s">
        <v>153</v>
      </c>
      <c r="H40" s="168"/>
      <c r="I40" s="168"/>
      <c r="J40" s="149">
        <v>1.6602999999999999</v>
      </c>
      <c r="K40" s="149">
        <v>1.3835999999999999</v>
      </c>
      <c r="L40" s="149">
        <v>1.2391000000000001</v>
      </c>
      <c r="M40" s="149">
        <v>1.1404000000000001</v>
      </c>
      <c r="N40" s="149">
        <v>1.3134000000000001</v>
      </c>
      <c r="O40" s="149">
        <v>1.2201</v>
      </c>
      <c r="P40" s="149">
        <v>1.1335</v>
      </c>
      <c r="Q40" s="149">
        <v>1.0687</v>
      </c>
      <c r="R40" s="149">
        <v>1.0351999999999999</v>
      </c>
      <c r="S40" s="149">
        <v>0.93520000000000003</v>
      </c>
      <c r="T40" s="149">
        <v>0.93810000000000004</v>
      </c>
      <c r="X40" s="111">
        <v>1.01</v>
      </c>
      <c r="Y40" s="111">
        <v>1.016</v>
      </c>
      <c r="Z40" s="111">
        <v>0.97399999999999998</v>
      </c>
      <c r="AA40" s="111">
        <v>0.98299999999999998</v>
      </c>
      <c r="AB40" s="111">
        <v>0.96760000000000002</v>
      </c>
      <c r="AC40" s="111">
        <v>0.88519999999999999</v>
      </c>
      <c r="AD40" s="111">
        <v>0.91290000000000004</v>
      </c>
      <c r="AE40" s="111">
        <v>0.91025641025641024</v>
      </c>
      <c r="AF40" s="111">
        <v>0.89830508474576276</v>
      </c>
      <c r="AG40" s="111">
        <v>0.87603305785123975</v>
      </c>
      <c r="AH40" s="111">
        <f>AI41</f>
        <v>0.90871369294605797</v>
      </c>
      <c r="AI40" s="111">
        <f>AJ41</f>
        <v>0.90871369294605797</v>
      </c>
      <c r="AJ40" s="111">
        <f>AK41</f>
        <v>0.90871369294605797</v>
      </c>
      <c r="AK40" s="111">
        <f>AL41</f>
        <v>0.90871369294605797</v>
      </c>
      <c r="AL40" s="111">
        <f>AM41</f>
        <v>0.90871369294605797</v>
      </c>
      <c r="AM40" s="111">
        <f t="shared" ref="AM40:BA40" si="51">AN41</f>
        <v>0.90871369294605797</v>
      </c>
      <c r="AN40" s="111">
        <f t="shared" si="51"/>
        <v>0.90871369294605797</v>
      </c>
      <c r="AO40" s="111">
        <f t="shared" si="51"/>
        <v>0.90871369294605797</v>
      </c>
      <c r="AP40" s="111">
        <f t="shared" si="51"/>
        <v>0.90871369294605797</v>
      </c>
      <c r="AQ40" s="111">
        <f t="shared" si="51"/>
        <v>0.90871369294605797</v>
      </c>
      <c r="AR40" s="111">
        <f t="shared" si="51"/>
        <v>0.90871369294605797</v>
      </c>
      <c r="AS40" s="111">
        <f t="shared" si="51"/>
        <v>0.90871369294605797</v>
      </c>
      <c r="AT40" s="111">
        <f t="shared" si="51"/>
        <v>0.90871369294605797</v>
      </c>
      <c r="AU40" s="111">
        <f t="shared" si="51"/>
        <v>0.90871369294605797</v>
      </c>
      <c r="AV40" s="111">
        <f t="shared" si="51"/>
        <v>0.90871369294605797</v>
      </c>
      <c r="AW40" s="111">
        <f t="shared" si="51"/>
        <v>0.90871369294605797</v>
      </c>
      <c r="AX40" s="111">
        <f t="shared" si="51"/>
        <v>0.90871369294605797</v>
      </c>
      <c r="AY40" s="111">
        <f t="shared" si="51"/>
        <v>0.90871369294605797</v>
      </c>
      <c r="AZ40" s="111">
        <f t="shared" si="51"/>
        <v>0.90871369294605797</v>
      </c>
      <c r="BA40" s="111">
        <f t="shared" si="51"/>
        <v>0.90871369294605797</v>
      </c>
      <c r="BB40" s="111">
        <f>BB41</f>
        <v>0.90871369294605797</v>
      </c>
      <c r="BC40" s="111">
        <f t="shared" ref="BC40:BG40" si="52">BC41</f>
        <v>0.90871369294605797</v>
      </c>
      <c r="BD40" s="111">
        <f t="shared" si="52"/>
        <v>0.90871369294605797</v>
      </c>
      <c r="BE40" s="111">
        <f t="shared" si="52"/>
        <v>0.90871369294605797</v>
      </c>
      <c r="BF40" s="111">
        <f t="shared" si="52"/>
        <v>0.90871369294605797</v>
      </c>
      <c r="BG40" s="111">
        <f t="shared" si="52"/>
        <v>0.90871369294605797</v>
      </c>
    </row>
    <row r="41" spans="1:59" ht="13.75" customHeight="1" outlineLevel="1">
      <c r="A41" s="141" t="s">
        <v>86</v>
      </c>
      <c r="B41" s="165"/>
      <c r="C41" s="165"/>
      <c r="D41" s="170" t="s">
        <v>87</v>
      </c>
      <c r="E41" s="167"/>
      <c r="F41" s="168" t="s">
        <v>154</v>
      </c>
      <c r="G41" s="168" t="s">
        <v>153</v>
      </c>
      <c r="H41" s="168"/>
      <c r="I41" s="168" t="s">
        <v>116</v>
      </c>
      <c r="J41" s="147">
        <v>1.6871386973180078</v>
      </c>
      <c r="K41" s="147">
        <v>1.5552532567049817</v>
      </c>
      <c r="L41" s="147">
        <v>1.3443716475095775</v>
      </c>
      <c r="M41" s="147">
        <v>1.2421034351145044</v>
      </c>
      <c r="N41" s="147">
        <v>1.2463265384615383</v>
      </c>
      <c r="O41" s="147">
        <v>1.2528880769230768</v>
      </c>
      <c r="P41" s="147">
        <v>1.2000164750957858</v>
      </c>
      <c r="Q41" s="147">
        <v>1.0823534351145039</v>
      </c>
      <c r="R41" s="147">
        <v>1.0849888888888892</v>
      </c>
      <c r="S41" s="147">
        <v>1.0423498084291187</v>
      </c>
      <c r="T41" s="147">
        <v>0.88658192307692352</v>
      </c>
      <c r="X41" s="111"/>
      <c r="Y41" s="113">
        <v>0.98173704755070879</v>
      </c>
      <c r="Z41" s="111">
        <v>0.98499999999999999</v>
      </c>
      <c r="AA41" s="111">
        <v>0.98499999999999999</v>
      </c>
      <c r="AB41" s="111">
        <v>0.99382499999999996</v>
      </c>
      <c r="AC41" s="111">
        <v>0.93884999999999996</v>
      </c>
      <c r="AD41" s="111">
        <v>0.91415000000000002</v>
      </c>
      <c r="AE41" s="111">
        <v>0.91682541554086427</v>
      </c>
      <c r="AF41" s="111">
        <v>0.91239316239316237</v>
      </c>
      <c r="AG41" s="111">
        <v>0.90871369294605797</v>
      </c>
      <c r="AH41" s="111">
        <f t="shared" ref="AH41:AW44" si="53">AG41</f>
        <v>0.90871369294605797</v>
      </c>
      <c r="AI41" s="111">
        <f t="shared" si="53"/>
        <v>0.90871369294605797</v>
      </c>
      <c r="AJ41" s="111">
        <f t="shared" si="53"/>
        <v>0.90871369294605797</v>
      </c>
      <c r="AK41" s="111">
        <f t="shared" si="53"/>
        <v>0.90871369294605797</v>
      </c>
      <c r="AL41" s="111">
        <f t="shared" si="53"/>
        <v>0.90871369294605797</v>
      </c>
      <c r="AM41" s="111">
        <f t="shared" si="53"/>
        <v>0.90871369294605797</v>
      </c>
      <c r="AN41" s="111">
        <f t="shared" si="53"/>
        <v>0.90871369294605797</v>
      </c>
      <c r="AO41" s="111">
        <f t="shared" si="53"/>
        <v>0.90871369294605797</v>
      </c>
      <c r="AP41" s="111">
        <f t="shared" si="53"/>
        <v>0.90871369294605797</v>
      </c>
      <c r="AQ41" s="111">
        <f t="shared" si="53"/>
        <v>0.90871369294605797</v>
      </c>
      <c r="AR41" s="111">
        <f t="shared" si="53"/>
        <v>0.90871369294605797</v>
      </c>
      <c r="AS41" s="111">
        <f t="shared" si="53"/>
        <v>0.90871369294605797</v>
      </c>
      <c r="AT41" s="111">
        <f t="shared" si="53"/>
        <v>0.90871369294605797</v>
      </c>
      <c r="AU41" s="111">
        <f t="shared" si="53"/>
        <v>0.90871369294605797</v>
      </c>
      <c r="AV41" s="111">
        <f t="shared" si="53"/>
        <v>0.90871369294605797</v>
      </c>
      <c r="AW41" s="111">
        <f t="shared" si="53"/>
        <v>0.90871369294605797</v>
      </c>
      <c r="AX41" s="111">
        <f t="shared" ref="AX41:BG44" si="54">AW41</f>
        <v>0.90871369294605797</v>
      </c>
      <c r="AY41" s="111">
        <f t="shared" si="54"/>
        <v>0.90871369294605797</v>
      </c>
      <c r="AZ41" s="111">
        <f t="shared" si="54"/>
        <v>0.90871369294605797</v>
      </c>
      <c r="BA41" s="111">
        <f t="shared" si="54"/>
        <v>0.90871369294605797</v>
      </c>
      <c r="BB41" s="111">
        <f t="shared" si="54"/>
        <v>0.90871369294605797</v>
      </c>
      <c r="BC41" s="111">
        <f t="shared" si="54"/>
        <v>0.90871369294605797</v>
      </c>
      <c r="BD41" s="111">
        <f t="shared" si="54"/>
        <v>0.90871369294605797</v>
      </c>
      <c r="BE41" s="111">
        <f t="shared" si="54"/>
        <v>0.90871369294605797</v>
      </c>
      <c r="BF41" s="111">
        <f t="shared" si="54"/>
        <v>0.90871369294605797</v>
      </c>
      <c r="BG41" s="111">
        <f t="shared" si="54"/>
        <v>0.90871369294605797</v>
      </c>
    </row>
    <row r="42" spans="1:59" ht="13.75" customHeight="1">
      <c r="A42" s="141" t="s">
        <v>86</v>
      </c>
      <c r="B42" s="165"/>
      <c r="C42" s="165"/>
      <c r="D42" s="170" t="s">
        <v>87</v>
      </c>
      <c r="E42" s="167"/>
      <c r="F42" s="168" t="s">
        <v>155</v>
      </c>
      <c r="G42" s="168" t="s">
        <v>3</v>
      </c>
      <c r="H42" s="168"/>
      <c r="I42" s="168" t="s">
        <v>116</v>
      </c>
      <c r="T42" s="114"/>
      <c r="W42" s="110">
        <v>8.4375000000000006E-2</v>
      </c>
      <c r="X42" s="110">
        <v>0.12625</v>
      </c>
      <c r="Y42" s="110">
        <v>0.10500000000000001</v>
      </c>
      <c r="Z42" s="110">
        <v>9.0312500000000004E-2</v>
      </c>
      <c r="AA42" s="110">
        <v>7.4374999999999997E-2</v>
      </c>
      <c r="AB42" s="110">
        <v>7.3124999999999996E-2</v>
      </c>
      <c r="AC42" s="110">
        <v>4.9999999999999996E-2</v>
      </c>
      <c r="AD42" s="110">
        <v>5.7812500000000003E-2</v>
      </c>
      <c r="AE42" s="110">
        <v>0.1125</v>
      </c>
      <c r="AF42" s="110">
        <v>9.6875000000000003E-2</v>
      </c>
      <c r="AG42" s="110">
        <v>0.15625000000000003</v>
      </c>
      <c r="AH42" s="110">
        <f>AH39</f>
        <v>8.5000000000000006E-2</v>
      </c>
      <c r="AI42" s="110">
        <f t="shared" ref="AI42:BB42" si="55">AI39</f>
        <v>0.06</v>
      </c>
      <c r="AJ42" s="110">
        <f>AJ39</f>
        <v>0.06</v>
      </c>
      <c r="AK42" s="110">
        <f t="shared" si="55"/>
        <v>0.06</v>
      </c>
      <c r="AL42" s="110">
        <f t="shared" si="55"/>
        <v>0.06</v>
      </c>
      <c r="AM42" s="110">
        <f t="shared" si="55"/>
        <v>0.06</v>
      </c>
      <c r="AN42" s="110">
        <f t="shared" si="55"/>
        <v>0.06</v>
      </c>
      <c r="AO42" s="110">
        <f t="shared" si="55"/>
        <v>0.06</v>
      </c>
      <c r="AP42" s="110">
        <f t="shared" si="55"/>
        <v>0.06</v>
      </c>
      <c r="AQ42" s="110">
        <f t="shared" si="55"/>
        <v>0.06</v>
      </c>
      <c r="AR42" s="110">
        <f t="shared" si="55"/>
        <v>0.06</v>
      </c>
      <c r="AS42" s="110">
        <f t="shared" si="55"/>
        <v>0.06</v>
      </c>
      <c r="AT42" s="110">
        <f t="shared" si="55"/>
        <v>0.06</v>
      </c>
      <c r="AU42" s="110">
        <f t="shared" si="55"/>
        <v>0.06</v>
      </c>
      <c r="AV42" s="110">
        <f t="shared" si="55"/>
        <v>0.06</v>
      </c>
      <c r="AW42" s="110">
        <f t="shared" si="55"/>
        <v>0.06</v>
      </c>
      <c r="AX42" s="110">
        <f t="shared" si="55"/>
        <v>0.06</v>
      </c>
      <c r="AY42" s="110">
        <f t="shared" si="55"/>
        <v>0.06</v>
      </c>
      <c r="AZ42" s="110">
        <f t="shared" si="55"/>
        <v>0.06</v>
      </c>
      <c r="BA42" s="110">
        <f t="shared" si="55"/>
        <v>0.06</v>
      </c>
      <c r="BB42" s="110">
        <f t="shared" si="55"/>
        <v>0.06</v>
      </c>
      <c r="BC42" s="110">
        <f>BC39</f>
        <v>0.06</v>
      </c>
      <c r="BD42" s="110">
        <f>BD39</f>
        <v>0.06</v>
      </c>
      <c r="BE42" s="110">
        <f>BE39</f>
        <v>0.06</v>
      </c>
      <c r="BF42" s="110">
        <f>BF39</f>
        <v>0.06</v>
      </c>
      <c r="BG42" s="110">
        <f>BG39</f>
        <v>0.06</v>
      </c>
    </row>
    <row r="43" spans="1:59" ht="13.75" customHeight="1">
      <c r="A43" s="141" t="s">
        <v>86</v>
      </c>
      <c r="B43" s="165"/>
      <c r="D43" s="166" t="s">
        <v>87</v>
      </c>
      <c r="E43" s="167"/>
      <c r="F43" s="168" t="s">
        <v>156</v>
      </c>
      <c r="G43" s="168" t="s">
        <v>157</v>
      </c>
      <c r="H43" s="168"/>
      <c r="I43" s="168"/>
      <c r="J43" s="147">
        <v>8.2770500000000009</v>
      </c>
      <c r="K43" s="147">
        <v>8.2769499999999994</v>
      </c>
      <c r="L43" s="147">
        <v>8.2770250000000001</v>
      </c>
      <c r="M43" s="147">
        <v>8.2767999999999997</v>
      </c>
      <c r="N43" s="147">
        <v>8.1930250000000004</v>
      </c>
      <c r="O43" s="147">
        <v>7.9728250000000003</v>
      </c>
      <c r="P43" s="147">
        <v>7.6060249999999998</v>
      </c>
      <c r="Q43" s="147">
        <v>6.9509249999999989</v>
      </c>
      <c r="R43" s="147">
        <v>6.8315000000000001</v>
      </c>
      <c r="S43" s="147">
        <v>6.7689500000000002</v>
      </c>
      <c r="T43" s="147">
        <v>6.4640249999999995</v>
      </c>
      <c r="U43" s="111">
        <v>6.3080499999999997</v>
      </c>
      <c r="V43" s="111">
        <v>6.1489750000000001</v>
      </c>
      <c r="W43" s="111">
        <v>6.1616</v>
      </c>
      <c r="X43" s="111">
        <v>6.284675</v>
      </c>
      <c r="Y43" s="111">
        <v>6.6475</v>
      </c>
      <c r="Z43" s="111">
        <v>6.757225</v>
      </c>
      <c r="AA43" s="111">
        <v>6.6168750000000003</v>
      </c>
      <c r="AB43" s="111">
        <v>6.9056250000000006</v>
      </c>
      <c r="AC43" s="111">
        <v>6.8985749999999992</v>
      </c>
      <c r="AD43" s="111">
        <v>6.5</v>
      </c>
      <c r="AE43" s="111">
        <v>6.7294999999999998</v>
      </c>
      <c r="AF43" s="111">
        <v>7.0978460763754168</v>
      </c>
      <c r="AG43" s="113">
        <v>7.07</v>
      </c>
      <c r="AH43" s="111">
        <v>6.82</v>
      </c>
      <c r="AI43" s="111">
        <v>6.77</v>
      </c>
      <c r="AJ43" s="111">
        <f>AI43</f>
        <v>6.77</v>
      </c>
      <c r="AK43" s="111">
        <f t="shared" si="53"/>
        <v>6.77</v>
      </c>
      <c r="AL43" s="111">
        <f t="shared" si="53"/>
        <v>6.77</v>
      </c>
      <c r="AM43" s="111">
        <f t="shared" si="53"/>
        <v>6.77</v>
      </c>
      <c r="AN43" s="111">
        <f t="shared" si="53"/>
        <v>6.77</v>
      </c>
      <c r="AO43" s="111">
        <f t="shared" si="53"/>
        <v>6.77</v>
      </c>
      <c r="AP43" s="111">
        <f t="shared" si="53"/>
        <v>6.77</v>
      </c>
      <c r="AQ43" s="111">
        <f t="shared" si="53"/>
        <v>6.77</v>
      </c>
      <c r="AR43" s="111">
        <f t="shared" si="53"/>
        <v>6.77</v>
      </c>
      <c r="AS43" s="111">
        <f t="shared" si="53"/>
        <v>6.77</v>
      </c>
      <c r="AT43" s="111">
        <f t="shared" si="53"/>
        <v>6.77</v>
      </c>
      <c r="AU43" s="111">
        <f t="shared" si="53"/>
        <v>6.77</v>
      </c>
      <c r="AV43" s="111">
        <f t="shared" si="53"/>
        <v>6.77</v>
      </c>
      <c r="AW43" s="111">
        <f t="shared" si="53"/>
        <v>6.77</v>
      </c>
      <c r="AX43" s="111">
        <f t="shared" ref="AN43:BB44" si="56">AW43</f>
        <v>6.77</v>
      </c>
      <c r="AY43" s="111">
        <f t="shared" si="56"/>
        <v>6.77</v>
      </c>
      <c r="AZ43" s="111">
        <f t="shared" si="56"/>
        <v>6.77</v>
      </c>
      <c r="BA43" s="111">
        <f t="shared" si="56"/>
        <v>6.77</v>
      </c>
      <c r="BB43" s="111">
        <f t="shared" si="56"/>
        <v>6.77</v>
      </c>
      <c r="BC43" s="111">
        <f t="shared" si="54"/>
        <v>6.77</v>
      </c>
      <c r="BD43" s="111">
        <f t="shared" si="54"/>
        <v>6.77</v>
      </c>
      <c r="BE43" s="111">
        <f t="shared" si="54"/>
        <v>6.77</v>
      </c>
      <c r="BF43" s="111">
        <f t="shared" si="54"/>
        <v>6.77</v>
      </c>
      <c r="BG43" s="111">
        <f t="shared" si="54"/>
        <v>6.77</v>
      </c>
    </row>
    <row r="44" spans="1:59" ht="13.75" customHeight="1">
      <c r="A44" s="141" t="s">
        <v>86</v>
      </c>
      <c r="B44" s="165"/>
      <c r="D44" s="166" t="s">
        <v>87</v>
      </c>
      <c r="E44" s="167"/>
      <c r="F44" s="168" t="s">
        <v>158</v>
      </c>
      <c r="G44" s="168" t="s">
        <v>157</v>
      </c>
      <c r="H44" s="168"/>
      <c r="I44" s="168"/>
      <c r="J44" s="147">
        <v>8.2765000000000004</v>
      </c>
      <c r="K44" s="147">
        <v>8.2769999999999992</v>
      </c>
      <c r="L44" s="147">
        <v>8.2766999999999999</v>
      </c>
      <c r="M44" s="147">
        <v>8.2765000000000004</v>
      </c>
      <c r="N44" s="147">
        <v>8.0701999999999998</v>
      </c>
      <c r="O44" s="147">
        <v>7.8045</v>
      </c>
      <c r="P44" s="147">
        <v>7.3037000000000001</v>
      </c>
      <c r="Q44" s="147">
        <v>6.8277000000000001</v>
      </c>
      <c r="R44" s="147">
        <v>6.8270999999999997</v>
      </c>
      <c r="S44" s="147">
        <v>6.6070000000000002</v>
      </c>
      <c r="T44" s="147">
        <v>6.2949999999999999</v>
      </c>
      <c r="U44" s="111">
        <v>6.2305999999999999</v>
      </c>
      <c r="V44" s="111">
        <v>6.0542999999999996</v>
      </c>
      <c r="W44" s="111">
        <v>6.2054999999999998</v>
      </c>
      <c r="X44" s="111">
        <v>6.4936999999999996</v>
      </c>
      <c r="Y44" s="111">
        <v>6.9450000000000003</v>
      </c>
      <c r="Z44" s="111">
        <v>6.5068000000000001</v>
      </c>
      <c r="AA44" s="111">
        <v>6.8784999999999998</v>
      </c>
      <c r="AB44" s="111">
        <v>6.9631999999999996</v>
      </c>
      <c r="AC44" s="111">
        <v>6.5271999999999997</v>
      </c>
      <c r="AD44" s="111">
        <v>6.3730000000000002</v>
      </c>
      <c r="AE44" s="111">
        <f t="shared" ref="AE44:AF44" si="57">AE43</f>
        <v>6.7294999999999998</v>
      </c>
      <c r="AF44" s="111">
        <f t="shared" si="57"/>
        <v>7.0978460763754168</v>
      </c>
      <c r="AG44" s="111">
        <f>AG43</f>
        <v>7.07</v>
      </c>
      <c r="AH44" s="111">
        <f>AH43</f>
        <v>6.82</v>
      </c>
      <c r="AI44" s="111">
        <f t="shared" ref="AI44" si="58">AH44</f>
        <v>6.82</v>
      </c>
      <c r="AJ44" s="111">
        <f>AJ43</f>
        <v>6.77</v>
      </c>
      <c r="AK44" s="111">
        <f t="shared" si="53"/>
        <v>6.77</v>
      </c>
      <c r="AL44" s="111">
        <f t="shared" si="53"/>
        <v>6.77</v>
      </c>
      <c r="AM44" s="111">
        <f t="shared" si="53"/>
        <v>6.77</v>
      </c>
      <c r="AN44" s="111">
        <f t="shared" si="56"/>
        <v>6.77</v>
      </c>
      <c r="AO44" s="111">
        <f t="shared" si="56"/>
        <v>6.77</v>
      </c>
      <c r="AP44" s="111">
        <f t="shared" si="56"/>
        <v>6.77</v>
      </c>
      <c r="AQ44" s="111">
        <f t="shared" si="56"/>
        <v>6.77</v>
      </c>
      <c r="AR44" s="111">
        <f t="shared" si="56"/>
        <v>6.77</v>
      </c>
      <c r="AS44" s="111">
        <f t="shared" si="56"/>
        <v>6.77</v>
      </c>
      <c r="AT44" s="111">
        <f t="shared" si="56"/>
        <v>6.77</v>
      </c>
      <c r="AU44" s="111">
        <f t="shared" si="56"/>
        <v>6.77</v>
      </c>
      <c r="AV44" s="111">
        <f t="shared" si="56"/>
        <v>6.77</v>
      </c>
      <c r="AW44" s="111">
        <f t="shared" si="56"/>
        <v>6.77</v>
      </c>
      <c r="AX44" s="111">
        <f t="shared" si="56"/>
        <v>6.77</v>
      </c>
      <c r="AY44" s="111">
        <f t="shared" si="56"/>
        <v>6.77</v>
      </c>
      <c r="AZ44" s="111">
        <f t="shared" si="56"/>
        <v>6.77</v>
      </c>
      <c r="BA44" s="111">
        <f t="shared" si="56"/>
        <v>6.77</v>
      </c>
      <c r="BB44" s="111">
        <f t="shared" si="56"/>
        <v>6.77</v>
      </c>
      <c r="BC44" s="111">
        <f t="shared" si="54"/>
        <v>6.77</v>
      </c>
      <c r="BD44" s="111">
        <f t="shared" si="54"/>
        <v>6.77</v>
      </c>
      <c r="BE44" s="111">
        <f t="shared" si="54"/>
        <v>6.77</v>
      </c>
      <c r="BF44" s="111">
        <f t="shared" si="54"/>
        <v>6.77</v>
      </c>
      <c r="BG44" s="111">
        <f t="shared" si="54"/>
        <v>6.77</v>
      </c>
    </row>
    <row r="45" spans="1:59" ht="13.75" customHeight="1">
      <c r="A45" s="141" t="s">
        <v>86</v>
      </c>
      <c r="B45" s="165"/>
      <c r="D45" s="166" t="s">
        <v>87</v>
      </c>
      <c r="E45" s="167"/>
      <c r="F45" s="168" t="s">
        <v>159</v>
      </c>
      <c r="G45" s="168" t="s">
        <v>160</v>
      </c>
      <c r="H45" s="168"/>
      <c r="I45" s="168"/>
      <c r="J45" s="147">
        <v>3.5273250000000003</v>
      </c>
      <c r="K45" s="147">
        <v>3.7911750000000004</v>
      </c>
      <c r="L45" s="147">
        <v>3.7073</v>
      </c>
      <c r="M45" s="147">
        <v>3.4797500000000001</v>
      </c>
      <c r="N45" s="147">
        <v>3.4539500000000003</v>
      </c>
      <c r="O45" s="147">
        <v>3.4082249999999998</v>
      </c>
      <c r="P45" s="147">
        <v>3.3614999999999999</v>
      </c>
      <c r="Q45" s="147">
        <v>3.5812499999999998</v>
      </c>
      <c r="R45" s="147">
        <v>4.6491249999999997</v>
      </c>
      <c r="S45" s="147">
        <v>4.4869749999999993</v>
      </c>
      <c r="T45" s="147">
        <v>4.5507249999999999</v>
      </c>
      <c r="U45" s="111">
        <v>4.9221250000000003</v>
      </c>
      <c r="V45" s="111">
        <v>5.1818249999999999</v>
      </c>
      <c r="W45" s="111">
        <v>6.2628500000000003</v>
      </c>
      <c r="X45" s="111">
        <v>9.7380750000000003</v>
      </c>
      <c r="Y45" s="111">
        <v>10.094624999999999</v>
      </c>
      <c r="Z45" s="111">
        <v>8.6359999999999992</v>
      </c>
      <c r="AA45" s="111">
        <v>9.4852249999999998</v>
      </c>
      <c r="AB45" s="111">
        <v>9.3735749999999989</v>
      </c>
      <c r="AC45" s="111">
        <v>10.491275</v>
      </c>
      <c r="AD45" s="111">
        <v>11.331438461538461</v>
      </c>
      <c r="AE45" s="111">
        <f t="shared" ref="AE45" si="59">AE14/AE43</f>
        <v>10.176866780592912</v>
      </c>
      <c r="AF45" s="111">
        <f>AF14/AF43</f>
        <v>11.982038741265089</v>
      </c>
      <c r="AG45" s="111">
        <f t="shared" ref="AG45" si="60">AG14/AG43</f>
        <v>14.243281471004243</v>
      </c>
      <c r="AH45" s="111">
        <f>AH14/AH43</f>
        <v>13.746334310850441</v>
      </c>
      <c r="AI45" s="111">
        <f t="shared" ref="AI45:BG45" si="61">AI14/AI43</f>
        <v>13.744460856720819</v>
      </c>
      <c r="AJ45" s="111">
        <f>AJ14/AJ43</f>
        <v>14.156794682422444</v>
      </c>
      <c r="AK45" s="111">
        <f t="shared" si="61"/>
        <v>14.581498522895119</v>
      </c>
      <c r="AL45" s="111">
        <f t="shared" si="61"/>
        <v>15.018943478581972</v>
      </c>
      <c r="AM45" s="111">
        <f t="shared" si="61"/>
        <v>15.469511782939433</v>
      </c>
      <c r="AN45" s="111">
        <f t="shared" si="61"/>
        <v>15.933597136427617</v>
      </c>
      <c r="AO45" s="111">
        <f t="shared" si="61"/>
        <v>16.411605050520446</v>
      </c>
      <c r="AP45" s="111">
        <f t="shared" si="61"/>
        <v>16.90395320203606</v>
      </c>
      <c r="AQ45" s="111">
        <f t="shared" si="61"/>
        <v>17.411071798097144</v>
      </c>
      <c r="AR45" s="111">
        <f t="shared" si="61"/>
        <v>17.933403952040056</v>
      </c>
      <c r="AS45" s="111">
        <f t="shared" si="61"/>
        <v>18.471406070601258</v>
      </c>
      <c r="AT45" s="111">
        <f t="shared" si="61"/>
        <v>19.025548252719297</v>
      </c>
      <c r="AU45" s="111">
        <f t="shared" si="61"/>
        <v>19.59631470030088</v>
      </c>
      <c r="AV45" s="111">
        <f t="shared" si="61"/>
        <v>20.184204141309905</v>
      </c>
      <c r="AW45" s="111">
        <f t="shared" si="61"/>
        <v>20.789730265549203</v>
      </c>
      <c r="AX45" s="111">
        <f t="shared" si="61"/>
        <v>21.413422173515681</v>
      </c>
      <c r="AY45" s="111">
        <f t="shared" si="61"/>
        <v>22.055824838721151</v>
      </c>
      <c r="AZ45" s="111">
        <f t="shared" si="61"/>
        <v>22.717499583882788</v>
      </c>
      <c r="BA45" s="111">
        <f t="shared" si="61"/>
        <v>23.39902457139927</v>
      </c>
      <c r="BB45" s="111">
        <f t="shared" si="61"/>
        <v>24.100995308541247</v>
      </c>
      <c r="BC45" s="111">
        <f t="shared" si="61"/>
        <v>24.583015214712074</v>
      </c>
      <c r="BD45" s="111">
        <f t="shared" si="61"/>
        <v>25.07467551900632</v>
      </c>
      <c r="BE45" s="111">
        <f t="shared" si="61"/>
        <v>25.576169029386445</v>
      </c>
      <c r="BF45" s="111">
        <f t="shared" si="61"/>
        <v>26.087692409974174</v>
      </c>
      <c r="BG45" s="111">
        <f t="shared" si="61"/>
        <v>26.609446258173659</v>
      </c>
    </row>
    <row r="46" spans="1:59" ht="13.75" customHeight="1">
      <c r="A46" s="141" t="s">
        <v>86</v>
      </c>
      <c r="B46" s="165"/>
      <c r="D46" s="166" t="s">
        <v>87</v>
      </c>
      <c r="E46" s="167"/>
      <c r="F46" s="168" t="s">
        <v>161</v>
      </c>
      <c r="G46" s="168" t="s">
        <v>160</v>
      </c>
      <c r="H46" s="168"/>
      <c r="I46" s="168"/>
      <c r="J46" s="147">
        <v>3.6857000000000002</v>
      </c>
      <c r="K46" s="147">
        <v>3.8607</v>
      </c>
      <c r="L46" s="147">
        <v>3.5331000000000001</v>
      </c>
      <c r="M46" s="147">
        <v>3.3492000000000002</v>
      </c>
      <c r="N46" s="147">
        <v>3.5613999999999999</v>
      </c>
      <c r="O46" s="147">
        <v>3.3731</v>
      </c>
      <c r="P46" s="147">
        <v>3.3681999999999999</v>
      </c>
      <c r="Q46" s="147">
        <v>4.3064</v>
      </c>
      <c r="R46" s="147">
        <v>4.3994</v>
      </c>
      <c r="S46" s="147">
        <v>4.6219000000000001</v>
      </c>
      <c r="T46" s="147">
        <v>5.1024000000000003</v>
      </c>
      <c r="U46" s="111">
        <v>4.9036</v>
      </c>
      <c r="V46" s="111">
        <v>5.4329999999999998</v>
      </c>
      <c r="W46" s="111">
        <v>9.3539999999999992</v>
      </c>
      <c r="X46" s="111">
        <v>11.372</v>
      </c>
      <c r="Y46" s="111">
        <v>8.7827000000000002</v>
      </c>
      <c r="Z46" s="111">
        <v>8.85</v>
      </c>
      <c r="AA46" s="111">
        <v>10.0892</v>
      </c>
      <c r="AB46" s="111">
        <v>8.9053000000000004</v>
      </c>
      <c r="AC46" s="111">
        <v>11.3156</v>
      </c>
      <c r="AD46" s="111">
        <v>11.657398399497881</v>
      </c>
      <c r="AE46" s="111">
        <f>AE7/AE44</f>
        <v>10.45211382717884</v>
      </c>
      <c r="AF46" s="111">
        <f>AF7/AF44</f>
        <v>12.539015222692559</v>
      </c>
      <c r="AG46" s="111">
        <f t="shared" ref="AG46" si="62">AG7/AG44</f>
        <v>13.260254596888261</v>
      </c>
      <c r="AH46" s="111">
        <f>AH7/AH44</f>
        <v>13.643695014662747</v>
      </c>
      <c r="AI46" s="111">
        <f t="shared" ref="AI46:BA46" si="63">AI7/AI44</f>
        <v>14.05300586510263</v>
      </c>
      <c r="AJ46" s="111">
        <f>AJ7/AJ44</f>
        <v>14.581498522895119</v>
      </c>
      <c r="AK46" s="111">
        <f>AK7/AK44</f>
        <v>15.018943478581972</v>
      </c>
      <c r="AL46" s="111">
        <f>AL7/AL44</f>
        <v>15.469511782939433</v>
      </c>
      <c r="AM46" s="111">
        <f t="shared" si="63"/>
        <v>15.933597136427617</v>
      </c>
      <c r="AN46" s="111">
        <f t="shared" si="63"/>
        <v>16.411605050520446</v>
      </c>
      <c r="AO46" s="111">
        <f t="shared" si="63"/>
        <v>16.90395320203606</v>
      </c>
      <c r="AP46" s="111">
        <f t="shared" si="63"/>
        <v>17.411071798097144</v>
      </c>
      <c r="AQ46" s="111">
        <f t="shared" si="63"/>
        <v>17.933403952040056</v>
      </c>
      <c r="AR46" s="111">
        <f t="shared" si="63"/>
        <v>18.471406070601258</v>
      </c>
      <c r="AS46" s="111">
        <f t="shared" si="63"/>
        <v>19.025548252719297</v>
      </c>
      <c r="AT46" s="111">
        <f t="shared" si="63"/>
        <v>19.59631470030088</v>
      </c>
      <c r="AU46" s="111">
        <f t="shared" si="63"/>
        <v>20.184204141309905</v>
      </c>
      <c r="AV46" s="111">
        <f t="shared" si="63"/>
        <v>20.789730265549203</v>
      </c>
      <c r="AW46" s="111">
        <f t="shared" si="63"/>
        <v>21.413422173515681</v>
      </c>
      <c r="AX46" s="111">
        <f t="shared" si="63"/>
        <v>22.055824838721151</v>
      </c>
      <c r="AY46" s="111">
        <f t="shared" si="63"/>
        <v>22.055824838721151</v>
      </c>
      <c r="AZ46" s="111">
        <f t="shared" si="63"/>
        <v>22.717499583882788</v>
      </c>
      <c r="BA46" s="111">
        <f t="shared" si="63"/>
        <v>23.39902457139927</v>
      </c>
      <c r="BB46" s="111">
        <f>BB7/BB44</f>
        <v>24.100995308541247</v>
      </c>
      <c r="BC46" s="111">
        <f t="shared" ref="BC46:BG46" si="64">BC7/BC44</f>
        <v>24.583015214712074</v>
      </c>
      <c r="BD46" s="111">
        <f t="shared" si="64"/>
        <v>25.07467551900632</v>
      </c>
      <c r="BE46" s="111">
        <f t="shared" si="64"/>
        <v>25.576169029386445</v>
      </c>
      <c r="BF46" s="111">
        <f t="shared" si="64"/>
        <v>26.087692409974174</v>
      </c>
      <c r="BG46" s="111">
        <f t="shared" si="64"/>
        <v>26.609446258173659</v>
      </c>
    </row>
    <row r="47" spans="1:59" ht="13.75" customHeight="1">
      <c r="A47" s="141" t="s">
        <v>86</v>
      </c>
      <c r="B47" s="165"/>
      <c r="D47" s="166" t="s">
        <v>87</v>
      </c>
      <c r="E47" s="167"/>
      <c r="F47" s="168" t="s">
        <v>162</v>
      </c>
      <c r="G47" s="168" t="s">
        <v>163</v>
      </c>
      <c r="H47" s="168"/>
      <c r="I47" s="168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11"/>
      <c r="V47" s="111"/>
      <c r="W47" s="111">
        <v>61.02</v>
      </c>
      <c r="X47" s="111">
        <v>64.099999999999994</v>
      </c>
      <c r="Y47" s="111">
        <v>67.17</v>
      </c>
      <c r="Z47" s="111">
        <v>65.11</v>
      </c>
      <c r="AA47" s="111">
        <v>68.400000000000006</v>
      </c>
      <c r="AB47" s="111">
        <v>70.400000000000006</v>
      </c>
      <c r="AC47" s="111">
        <v>74.099999999999994</v>
      </c>
      <c r="AD47" s="111">
        <v>73.900000000000006</v>
      </c>
      <c r="AE47" s="111">
        <v>78.599999999999994</v>
      </c>
      <c r="AF47" s="111">
        <v>82.6</v>
      </c>
      <c r="AG47" s="111">
        <v>86.846477681190265</v>
      </c>
      <c r="AH47" s="111">
        <v>86</v>
      </c>
      <c r="AI47" s="111">
        <v>87.3</v>
      </c>
      <c r="AJ47" s="111">
        <f>AI47*(1+2%)</f>
        <v>89.045999999999992</v>
      </c>
      <c r="AK47" s="111">
        <f t="shared" ref="AK47:BG47" si="65">AJ47*(1+2%)</f>
        <v>90.826919999999987</v>
      </c>
      <c r="AL47" s="111">
        <f t="shared" si="65"/>
        <v>92.643458399999986</v>
      </c>
      <c r="AM47" s="111">
        <f t="shared" si="65"/>
        <v>94.496327567999984</v>
      </c>
      <c r="AN47" s="111">
        <f t="shared" si="65"/>
        <v>96.38625411935999</v>
      </c>
      <c r="AO47" s="111">
        <f t="shared" si="65"/>
        <v>98.313979201747188</v>
      </c>
      <c r="AP47" s="111">
        <f t="shared" si="65"/>
        <v>100.28025878578214</v>
      </c>
      <c r="AQ47" s="111">
        <f t="shared" si="65"/>
        <v>102.28586396149778</v>
      </c>
      <c r="AR47" s="111">
        <f t="shared" si="65"/>
        <v>104.33158124072774</v>
      </c>
      <c r="AS47" s="111">
        <f t="shared" si="65"/>
        <v>106.4182128655423</v>
      </c>
      <c r="AT47" s="111">
        <f t="shared" si="65"/>
        <v>108.54657712285315</v>
      </c>
      <c r="AU47" s="111">
        <f t="shared" si="65"/>
        <v>110.71750866531022</v>
      </c>
      <c r="AV47" s="111">
        <f t="shared" si="65"/>
        <v>112.93185883861642</v>
      </c>
      <c r="AW47" s="111">
        <f t="shared" si="65"/>
        <v>115.19049601538875</v>
      </c>
      <c r="AX47" s="111">
        <f t="shared" si="65"/>
        <v>117.49430593569652</v>
      </c>
      <c r="AY47" s="111">
        <f t="shared" si="65"/>
        <v>119.84419205441044</v>
      </c>
      <c r="AZ47" s="111">
        <f t="shared" si="65"/>
        <v>122.24107589549865</v>
      </c>
      <c r="BA47" s="111">
        <f t="shared" si="65"/>
        <v>124.68589741340863</v>
      </c>
      <c r="BB47" s="111">
        <f t="shared" si="65"/>
        <v>127.1796153616768</v>
      </c>
      <c r="BC47" s="111">
        <f t="shared" si="65"/>
        <v>129.72320766891033</v>
      </c>
      <c r="BD47" s="111">
        <f t="shared" si="65"/>
        <v>132.31767182228853</v>
      </c>
      <c r="BE47" s="111">
        <f t="shared" si="65"/>
        <v>134.9640252587343</v>
      </c>
      <c r="BF47" s="111">
        <f t="shared" si="65"/>
        <v>137.66330576390899</v>
      </c>
      <c r="BG47" s="111">
        <f t="shared" si="65"/>
        <v>140.41657187918719</v>
      </c>
    </row>
    <row r="48" spans="1:59" ht="13.75" customHeight="1">
      <c r="A48" s="141" t="s">
        <v>86</v>
      </c>
      <c r="B48" s="165"/>
      <c r="D48" s="166" t="s">
        <v>87</v>
      </c>
      <c r="E48" s="167"/>
      <c r="F48" s="168" t="s">
        <v>164</v>
      </c>
      <c r="G48" s="168" t="s">
        <v>163</v>
      </c>
      <c r="H48" s="168"/>
      <c r="I48" s="168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11"/>
      <c r="V48" s="111"/>
      <c r="W48" s="111">
        <v>63.034999999999997</v>
      </c>
      <c r="X48" s="111">
        <v>66.207999999999998</v>
      </c>
      <c r="Y48" s="111">
        <v>67.954999999999998</v>
      </c>
      <c r="Z48" s="111">
        <v>63.84</v>
      </c>
      <c r="AA48" s="111">
        <v>69.569999999999993</v>
      </c>
      <c r="AB48" s="111">
        <v>71.355000000000004</v>
      </c>
      <c r="AC48" s="111">
        <v>73.054000000000002</v>
      </c>
      <c r="AD48" s="111">
        <v>74.486000000000004</v>
      </c>
      <c r="AE48" s="111">
        <v>82.745000000000005</v>
      </c>
      <c r="AF48" s="111">
        <f>AF47</f>
        <v>82.6</v>
      </c>
      <c r="AG48" s="111">
        <f>AG47</f>
        <v>86.846477681190265</v>
      </c>
      <c r="AH48" s="111">
        <f t="shared" ref="AH48:AK48" si="66">AH47</f>
        <v>86</v>
      </c>
      <c r="AI48" s="111">
        <f t="shared" si="66"/>
        <v>87.3</v>
      </c>
      <c r="AJ48" s="111">
        <f t="shared" si="66"/>
        <v>89.045999999999992</v>
      </c>
      <c r="AK48" s="111">
        <f t="shared" si="66"/>
        <v>90.826919999999987</v>
      </c>
      <c r="AL48" s="111">
        <f>AL47</f>
        <v>92.643458399999986</v>
      </c>
      <c r="AM48" s="111">
        <f t="shared" ref="AM48:BG48" si="67">AM47</f>
        <v>94.496327567999984</v>
      </c>
      <c r="AN48" s="111">
        <f t="shared" si="67"/>
        <v>96.38625411935999</v>
      </c>
      <c r="AO48" s="111">
        <f t="shared" si="67"/>
        <v>98.313979201747188</v>
      </c>
      <c r="AP48" s="111">
        <f t="shared" si="67"/>
        <v>100.28025878578214</v>
      </c>
      <c r="AQ48" s="111">
        <f t="shared" si="67"/>
        <v>102.28586396149778</v>
      </c>
      <c r="AR48" s="111">
        <f t="shared" si="67"/>
        <v>104.33158124072774</v>
      </c>
      <c r="AS48" s="111">
        <f t="shared" si="67"/>
        <v>106.4182128655423</v>
      </c>
      <c r="AT48" s="111">
        <f t="shared" si="67"/>
        <v>108.54657712285315</v>
      </c>
      <c r="AU48" s="111">
        <f t="shared" si="67"/>
        <v>110.71750866531022</v>
      </c>
      <c r="AV48" s="111">
        <f t="shared" si="67"/>
        <v>112.93185883861642</v>
      </c>
      <c r="AW48" s="111">
        <f t="shared" si="67"/>
        <v>115.19049601538875</v>
      </c>
      <c r="AX48" s="111">
        <f t="shared" si="67"/>
        <v>117.49430593569652</v>
      </c>
      <c r="AY48" s="111">
        <f t="shared" si="67"/>
        <v>119.84419205441044</v>
      </c>
      <c r="AZ48" s="111">
        <f t="shared" si="67"/>
        <v>122.24107589549865</v>
      </c>
      <c r="BA48" s="111">
        <f t="shared" si="67"/>
        <v>124.68589741340863</v>
      </c>
      <c r="BB48" s="111">
        <f t="shared" si="67"/>
        <v>127.1796153616768</v>
      </c>
      <c r="BC48" s="111">
        <f t="shared" si="67"/>
        <v>129.72320766891033</v>
      </c>
      <c r="BD48" s="111">
        <f t="shared" si="67"/>
        <v>132.31767182228853</v>
      </c>
      <c r="BE48" s="111">
        <f t="shared" si="67"/>
        <v>134.9640252587343</v>
      </c>
      <c r="BF48" s="111">
        <f t="shared" si="67"/>
        <v>137.66330576390899</v>
      </c>
      <c r="BG48" s="111">
        <f t="shared" si="67"/>
        <v>140.41657187918719</v>
      </c>
    </row>
    <row r="49" spans="1:59" ht="13.75" customHeight="1" outlineLevel="1">
      <c r="A49" s="141" t="s">
        <v>86</v>
      </c>
      <c r="B49" s="165"/>
      <c r="D49" s="166" t="s">
        <v>87</v>
      </c>
      <c r="E49" s="167"/>
      <c r="F49" s="168" t="s">
        <v>165</v>
      </c>
      <c r="G49" s="168" t="s">
        <v>3</v>
      </c>
      <c r="H49" s="168"/>
      <c r="I49" s="168"/>
      <c r="W49" s="114">
        <v>0.21050000000000002</v>
      </c>
      <c r="X49" s="114">
        <v>0.10980000000000001</v>
      </c>
      <c r="Y49" s="114">
        <v>0.10050000000000001</v>
      </c>
      <c r="Z49" s="114">
        <v>7.5399999999999995E-2</v>
      </c>
      <c r="AA49" s="114">
        <v>7.7699999999999991E-2</v>
      </c>
      <c r="AB49" s="114">
        <v>6.1200000000000004E-2</v>
      </c>
      <c r="AC49" s="114">
        <v>4.2199999999999994E-2</v>
      </c>
      <c r="AD49" s="114">
        <v>8.6899999999999991E-2</v>
      </c>
      <c r="AE49" s="114">
        <v>7.6200000000000004E-2</v>
      </c>
      <c r="AF49" s="114">
        <v>0.14050000000000001</v>
      </c>
      <c r="AG49" s="114">
        <v>0.128</v>
      </c>
      <c r="AH49" s="114">
        <v>8.6500000000000007E-2</v>
      </c>
      <c r="AI49" s="114">
        <v>6.1500000000000006E-2</v>
      </c>
      <c r="AJ49" s="114">
        <f>AI49+(AJ$39-AI$39)</f>
        <v>6.1500000000000006E-2</v>
      </c>
      <c r="AK49" s="114">
        <f t="shared" ref="AK49:BG49" si="68">AJ49+(AK$39-AJ$39)</f>
        <v>6.1500000000000006E-2</v>
      </c>
      <c r="AL49" s="114">
        <f t="shared" si="68"/>
        <v>6.1500000000000006E-2</v>
      </c>
      <c r="AM49" s="114">
        <f t="shared" si="68"/>
        <v>6.1500000000000006E-2</v>
      </c>
      <c r="AN49" s="114">
        <f t="shared" si="68"/>
        <v>6.1500000000000006E-2</v>
      </c>
      <c r="AO49" s="114">
        <f t="shared" si="68"/>
        <v>6.1500000000000006E-2</v>
      </c>
      <c r="AP49" s="114">
        <f t="shared" si="68"/>
        <v>6.1500000000000006E-2</v>
      </c>
      <c r="AQ49" s="114">
        <f t="shared" si="68"/>
        <v>6.1500000000000006E-2</v>
      </c>
      <c r="AR49" s="114">
        <f t="shared" si="68"/>
        <v>6.1500000000000006E-2</v>
      </c>
      <c r="AS49" s="114">
        <f t="shared" si="68"/>
        <v>6.1500000000000006E-2</v>
      </c>
      <c r="AT49" s="114">
        <f t="shared" si="68"/>
        <v>6.1500000000000006E-2</v>
      </c>
      <c r="AU49" s="114">
        <f t="shared" si="68"/>
        <v>6.1500000000000006E-2</v>
      </c>
      <c r="AV49" s="114">
        <f t="shared" si="68"/>
        <v>6.1500000000000006E-2</v>
      </c>
      <c r="AW49" s="114">
        <f t="shared" si="68"/>
        <v>6.1500000000000006E-2</v>
      </c>
      <c r="AX49" s="114">
        <f t="shared" si="68"/>
        <v>6.1500000000000006E-2</v>
      </c>
      <c r="AY49" s="114">
        <f t="shared" si="68"/>
        <v>6.1500000000000006E-2</v>
      </c>
      <c r="AZ49" s="114">
        <f t="shared" si="68"/>
        <v>6.1500000000000006E-2</v>
      </c>
      <c r="BA49" s="114">
        <f t="shared" si="68"/>
        <v>6.1500000000000006E-2</v>
      </c>
      <c r="BB49" s="114">
        <f t="shared" si="68"/>
        <v>6.1500000000000006E-2</v>
      </c>
      <c r="BC49" s="114">
        <f t="shared" si="68"/>
        <v>6.1500000000000006E-2</v>
      </c>
      <c r="BD49" s="114">
        <f t="shared" si="68"/>
        <v>6.1500000000000006E-2</v>
      </c>
      <c r="BE49" s="114">
        <f t="shared" si="68"/>
        <v>6.1500000000000006E-2</v>
      </c>
      <c r="BF49" s="114">
        <f t="shared" si="68"/>
        <v>6.1500000000000006E-2</v>
      </c>
      <c r="BG49" s="114">
        <f t="shared" si="68"/>
        <v>6.1500000000000006E-2</v>
      </c>
    </row>
    <row r="50" spans="1:59" ht="13.75" customHeight="1" outlineLevel="1">
      <c r="B50" s="165"/>
      <c r="C50" s="165"/>
      <c r="D50" s="165"/>
      <c r="E50" s="167"/>
      <c r="F50" s="168"/>
      <c r="G50" s="168"/>
      <c r="H50" s="168"/>
      <c r="I50" s="168"/>
      <c r="X50" s="115"/>
      <c r="Y50" s="115"/>
      <c r="Z50" s="115"/>
      <c r="AA50" s="115"/>
    </row>
    <row r="51" spans="1:59" ht="13.75" customHeight="1" outlineLevel="1">
      <c r="B51" s="165"/>
      <c r="C51" s="165"/>
      <c r="D51" s="165"/>
      <c r="E51" s="167"/>
      <c r="F51" s="168"/>
      <c r="G51" s="168"/>
      <c r="H51" s="168"/>
      <c r="I51" s="168"/>
      <c r="X51" s="115"/>
      <c r="Y51" s="115"/>
      <c r="Z51" s="115"/>
      <c r="AA51" s="115"/>
    </row>
    <row r="52" spans="1:59" ht="13.75" customHeight="1" outlineLevel="1">
      <c r="B52" s="165"/>
      <c r="C52" s="165"/>
      <c r="D52" s="165"/>
      <c r="E52" s="167"/>
      <c r="F52" s="168"/>
      <c r="G52" s="168"/>
      <c r="H52" s="168"/>
      <c r="I52" s="168"/>
      <c r="X52" s="115"/>
      <c r="Y52" s="115"/>
      <c r="Z52" s="115"/>
      <c r="AA52" s="115"/>
      <c r="AG52" s="118"/>
      <c r="AH52" s="118"/>
    </row>
    <row r="53" spans="1:59" ht="13.75" customHeight="1" outlineLevel="1">
      <c r="B53" s="165"/>
      <c r="C53" s="165"/>
      <c r="D53" s="165"/>
      <c r="E53" s="167"/>
      <c r="F53" s="168"/>
      <c r="G53" s="168"/>
      <c r="H53" s="168"/>
      <c r="I53" s="168"/>
      <c r="X53" s="115"/>
      <c r="Y53" s="115"/>
      <c r="Z53" s="115"/>
      <c r="AA53" s="115"/>
      <c r="AG53" s="118"/>
      <c r="AH53" s="118"/>
    </row>
    <row r="54" spans="1:59" ht="13.75" customHeight="1" outlineLevel="1">
      <c r="B54" s="165"/>
      <c r="C54" s="165"/>
      <c r="D54" s="165"/>
      <c r="E54" s="167"/>
      <c r="F54" s="168"/>
      <c r="G54" s="168"/>
      <c r="H54" s="168"/>
      <c r="I54" s="168"/>
      <c r="X54" s="115"/>
      <c r="Y54" s="115"/>
      <c r="Z54" s="115"/>
      <c r="AA54" s="115"/>
      <c r="AB54" s="115"/>
      <c r="AC54" s="115"/>
      <c r="AD54" s="115"/>
      <c r="AE54" s="115"/>
      <c r="AF54" s="115"/>
      <c r="AG54" s="118"/>
      <c r="AH54" s="118"/>
    </row>
    <row r="55" spans="1:59" ht="13.75" customHeight="1" outlineLevel="1">
      <c r="B55" s="165"/>
      <c r="C55" s="165"/>
      <c r="D55" s="165"/>
      <c r="E55" s="167"/>
      <c r="F55" s="168"/>
      <c r="G55" s="168"/>
      <c r="H55" s="168"/>
      <c r="I55" s="168"/>
      <c r="X55" s="115"/>
      <c r="Y55" s="115"/>
      <c r="Z55" s="115"/>
      <c r="AA55" s="115"/>
      <c r="AB55" s="115"/>
      <c r="AC55" s="115"/>
      <c r="AD55" s="115"/>
      <c r="AE55" s="115"/>
      <c r="AF55" s="115"/>
      <c r="AG55" s="118"/>
      <c r="AH55" s="118"/>
    </row>
    <row r="56" spans="1:59" ht="13.75" customHeight="1" outlineLevel="1">
      <c r="B56" s="165"/>
      <c r="C56" s="165"/>
      <c r="D56" s="165"/>
      <c r="E56" s="167"/>
      <c r="F56" s="168"/>
      <c r="G56" s="168"/>
      <c r="H56" s="168"/>
      <c r="I56" s="168"/>
      <c r="X56" s="115"/>
      <c r="Y56" s="115"/>
      <c r="Z56" s="115"/>
      <c r="AA56" s="115"/>
    </row>
    <row r="57" spans="1:59" ht="13.75" customHeight="1" outlineLevel="1">
      <c r="B57" s="165"/>
      <c r="C57" s="165"/>
      <c r="D57" s="165"/>
      <c r="E57" s="167"/>
      <c r="F57" s="168"/>
      <c r="G57" s="168"/>
      <c r="H57" s="168"/>
      <c r="I57" s="168"/>
      <c r="X57" s="115"/>
      <c r="Y57" s="115"/>
      <c r="Z57" s="115"/>
      <c r="AA57" s="115"/>
      <c r="AB57" s="117"/>
    </row>
    <row r="58" spans="1:59" ht="13.75" customHeight="1">
      <c r="A58" s="171" t="s">
        <v>166</v>
      </c>
      <c r="B58" s="165" t="s">
        <v>167</v>
      </c>
      <c r="C58" s="165"/>
      <c r="D58" s="165" t="s">
        <v>168</v>
      </c>
      <c r="E58" s="167"/>
      <c r="F58" s="168" t="s">
        <v>169</v>
      </c>
      <c r="G58" s="168" t="s">
        <v>4</v>
      </c>
      <c r="H58" s="168"/>
      <c r="I58" s="168"/>
      <c r="U58" s="119">
        <v>192</v>
      </c>
      <c r="V58" s="119">
        <v>149</v>
      </c>
      <c r="W58" s="119">
        <v>117</v>
      </c>
      <c r="X58" s="118">
        <v>90</v>
      </c>
      <c r="Y58" s="118">
        <v>143.19999999999999</v>
      </c>
      <c r="Z58" s="118">
        <v>187</v>
      </c>
      <c r="AA58" s="118">
        <v>207</v>
      </c>
      <c r="AB58" s="117">
        <v>177</v>
      </c>
      <c r="AC58" s="119">
        <v>125</v>
      </c>
      <c r="AD58" s="119">
        <v>225</v>
      </c>
      <c r="AE58" s="117">
        <v>364.53099999999984</v>
      </c>
      <c r="AF58" s="117">
        <v>274.55400514251176</v>
      </c>
      <c r="AG58" s="117">
        <v>204</v>
      </c>
      <c r="AH58" s="117">
        <v>170</v>
      </c>
      <c r="AI58" s="117">
        <v>165.75</v>
      </c>
      <c r="AJ58" s="117">
        <v>168.07049999999998</v>
      </c>
      <c r="AK58" s="117">
        <v>170.42348699999999</v>
      </c>
      <c r="AL58" s="117">
        <v>172.80941581799999</v>
      </c>
      <c r="AM58" s="117">
        <v>175.228747639452</v>
      </c>
      <c r="AN58" s="119">
        <v>177.68195010640434</v>
      </c>
      <c r="AO58" s="119">
        <v>180.169497407894</v>
      </c>
      <c r="AP58" s="119">
        <v>182.69187037160452</v>
      </c>
      <c r="AQ58" s="119">
        <v>185.24955655680699</v>
      </c>
      <c r="AR58" s="119">
        <v>187.84305034860228</v>
      </c>
      <c r="AS58" s="119">
        <v>190.47285305348271</v>
      </c>
      <c r="AT58" s="119">
        <v>193.13947299623146</v>
      </c>
      <c r="AU58" s="119">
        <v>195.84342561817871</v>
      </c>
      <c r="AV58" s="119">
        <v>198.58523357683322</v>
      </c>
      <c r="AW58" s="119">
        <v>201.36542684690886</v>
      </c>
      <c r="AX58" s="119">
        <v>204.18454282276559</v>
      </c>
      <c r="AY58" s="119">
        <v>207.0431264222843</v>
      </c>
      <c r="AZ58" s="119">
        <v>209.94173019219627</v>
      </c>
      <c r="BA58" s="119">
        <v>212.88091441488703</v>
      </c>
      <c r="BB58" s="119">
        <v>215.86124721669546</v>
      </c>
      <c r="BC58" s="119">
        <v>218.8833046777292</v>
      </c>
      <c r="BD58" s="119">
        <v>221.94767094321742</v>
      </c>
      <c r="BE58" s="119">
        <v>225.05493833642245</v>
      </c>
      <c r="BF58" s="119">
        <v>228.20570747313238</v>
      </c>
      <c r="BG58" s="119">
        <v>231.40058737775624</v>
      </c>
    </row>
    <row r="59" spans="1:59" ht="13.75" customHeight="1">
      <c r="A59" s="171" t="s">
        <v>166</v>
      </c>
      <c r="B59" s="165" t="s">
        <v>167</v>
      </c>
      <c r="C59" s="165"/>
      <c r="D59" s="165" t="s">
        <v>168</v>
      </c>
      <c r="E59" s="167"/>
      <c r="F59" s="168" t="s">
        <v>170</v>
      </c>
      <c r="G59" s="168" t="s">
        <v>4</v>
      </c>
      <c r="H59" s="168"/>
      <c r="I59" s="168"/>
      <c r="U59" s="119">
        <v>169</v>
      </c>
      <c r="V59" s="119">
        <v>132</v>
      </c>
      <c r="W59" s="119">
        <v>108</v>
      </c>
      <c r="X59" s="118">
        <v>100</v>
      </c>
      <c r="Y59" s="118">
        <v>92</v>
      </c>
      <c r="Z59" s="118">
        <v>116</v>
      </c>
      <c r="AA59" s="117">
        <v>133.77083333333334</v>
      </c>
      <c r="AB59" s="119">
        <v>140.02083333333334</v>
      </c>
      <c r="AC59" s="119">
        <v>114.625</v>
      </c>
      <c r="AD59" s="119">
        <v>129.80500686569519</v>
      </c>
      <c r="AE59" s="119">
        <v>136.34877207438129</v>
      </c>
      <c r="AF59" s="119">
        <v>125.19967515376445</v>
      </c>
      <c r="AG59" s="119">
        <v>103.41889430929076</v>
      </c>
      <c r="AH59" s="119">
        <v>104.01779707047722</v>
      </c>
      <c r="AI59" s="119">
        <v>106.05048145040949</v>
      </c>
      <c r="AJ59" s="119">
        <v>108.05726785638282</v>
      </c>
      <c r="AK59" s="119">
        <v>110.09616284485175</v>
      </c>
      <c r="AL59" s="119">
        <v>112.16768015313616</v>
      </c>
      <c r="AM59" s="119">
        <v>114.27234173835312</v>
      </c>
      <c r="AN59" s="119">
        <v>116.14338588761099</v>
      </c>
      <c r="AO59" s="119">
        <v>118.04062465495849</v>
      </c>
      <c r="AP59" s="119">
        <v>119.96442476504883</v>
      </c>
      <c r="AQ59" s="119">
        <v>121.91515807668048</v>
      </c>
      <c r="AR59" s="119">
        <v>123.89320165467493</v>
      </c>
      <c r="AS59" s="119">
        <v>125.89893784276131</v>
      </c>
      <c r="AT59" s="119">
        <v>127.9327543374809</v>
      </c>
      <c r="AU59" s="119">
        <v>129.9950442631266</v>
      </c>
      <c r="AV59" s="119">
        <v>132.0862062477313</v>
      </c>
      <c r="AW59" s="119">
        <v>134.20664450012049</v>
      </c>
      <c r="AX59" s="119">
        <v>136.35676888804309</v>
      </c>
      <c r="AY59" s="119">
        <v>138.53699501739663</v>
      </c>
      <c r="AZ59" s="119">
        <v>140.74774431256111</v>
      </c>
      <c r="BA59" s="119">
        <v>142.98944409785793</v>
      </c>
      <c r="BB59" s="119">
        <v>145.26252768014885</v>
      </c>
      <c r="BC59" s="119">
        <v>147.56743443259188</v>
      </c>
      <c r="BD59" s="119">
        <v>149.90460987956908</v>
      </c>
      <c r="BE59" s="119">
        <v>152.274505782804</v>
      </c>
      <c r="BF59" s="119">
        <v>154.67758022868418</v>
      </c>
      <c r="BG59" s="119">
        <v>157.11429771680673</v>
      </c>
    </row>
    <row r="60" spans="1:59" ht="13.75" customHeight="1">
      <c r="A60" s="171" t="s">
        <v>166</v>
      </c>
      <c r="B60" s="165" t="s">
        <v>167</v>
      </c>
      <c r="C60" s="165"/>
      <c r="D60" s="165" t="s">
        <v>168</v>
      </c>
      <c r="E60" s="167"/>
      <c r="F60" s="168" t="s">
        <v>171</v>
      </c>
      <c r="G60" s="168" t="s">
        <v>4</v>
      </c>
      <c r="H60" s="168"/>
      <c r="I60" s="168"/>
      <c r="U60" s="119">
        <v>93</v>
      </c>
      <c r="V60" s="119">
        <v>82</v>
      </c>
      <c r="W60" s="119">
        <v>76</v>
      </c>
      <c r="X60" s="118">
        <v>56.7</v>
      </c>
      <c r="Y60" s="117">
        <v>59.41</v>
      </c>
      <c r="Z60" s="117">
        <v>84.29</v>
      </c>
      <c r="AA60" s="117">
        <v>91.98</v>
      </c>
      <c r="AB60" s="117">
        <v>61.44087301587296</v>
      </c>
      <c r="AC60" s="119">
        <v>50.45316205533598</v>
      </c>
      <c r="AD60" s="119">
        <v>120.05</v>
      </c>
      <c r="AE60" s="117">
        <v>290.03916334661346</v>
      </c>
      <c r="AF60" s="117">
        <v>128.97192952508956</v>
      </c>
      <c r="AG60" s="117">
        <v>102</v>
      </c>
      <c r="AH60" s="117">
        <v>91.8</v>
      </c>
      <c r="AI60" s="117">
        <v>91.8</v>
      </c>
      <c r="AJ60" s="117">
        <v>93.268799999999999</v>
      </c>
      <c r="AK60" s="117">
        <v>94.761100800000008</v>
      </c>
      <c r="AL60" s="117">
        <v>96.277278412800015</v>
      </c>
      <c r="AM60" s="117">
        <v>97.817714867404817</v>
      </c>
      <c r="AN60" s="119">
        <v>98.991527445813674</v>
      </c>
      <c r="AO60" s="119">
        <v>100.17942577516344</v>
      </c>
      <c r="AP60" s="119">
        <v>101.38157888446541</v>
      </c>
      <c r="AQ60" s="119">
        <v>102.59815783107899</v>
      </c>
      <c r="AR60" s="119">
        <v>103.82933572505193</v>
      </c>
      <c r="AS60" s="119">
        <v>105.07528775375256</v>
      </c>
      <c r="AT60" s="119">
        <v>106.33619120679759</v>
      </c>
      <c r="AU60" s="119">
        <v>107.61222550127916</v>
      </c>
      <c r="AV60" s="119">
        <v>108.9035722072945</v>
      </c>
      <c r="AW60" s="119">
        <v>110.21041507378203</v>
      </c>
      <c r="AX60" s="119">
        <v>111.53294005466743</v>
      </c>
      <c r="AY60" s="119">
        <v>112.87133533532345</v>
      </c>
      <c r="AZ60" s="119">
        <v>114.22579135934734</v>
      </c>
      <c r="BA60" s="119">
        <v>115.5965008556595</v>
      </c>
      <c r="BB60" s="119">
        <v>116.98365886592742</v>
      </c>
      <c r="BC60" s="119">
        <v>118.38746277231857</v>
      </c>
      <c r="BD60" s="119">
        <v>119.80811232558638</v>
      </c>
      <c r="BE60" s="119">
        <v>121.24580967349343</v>
      </c>
      <c r="BF60" s="119">
        <v>122.70075938957535</v>
      </c>
      <c r="BG60" s="119">
        <v>124.17316850225026</v>
      </c>
    </row>
    <row r="61" spans="1:59" ht="13.75" customHeight="1">
      <c r="A61" s="171" t="s">
        <v>166</v>
      </c>
      <c r="B61" s="165" t="s">
        <v>167</v>
      </c>
      <c r="C61" s="165"/>
      <c r="D61" s="165" t="s">
        <v>168</v>
      </c>
      <c r="E61" s="167"/>
      <c r="F61" s="168" t="s">
        <v>172</v>
      </c>
      <c r="G61" s="168" t="s">
        <v>4</v>
      </c>
      <c r="H61" s="168"/>
      <c r="I61" s="168"/>
      <c r="U61" s="119">
        <v>95</v>
      </c>
      <c r="V61" s="119">
        <v>84</v>
      </c>
      <c r="W61" s="119">
        <v>71</v>
      </c>
      <c r="X61" s="118">
        <v>57.73</v>
      </c>
      <c r="Y61" s="117">
        <v>65.42</v>
      </c>
      <c r="Z61" s="117">
        <v>87.53</v>
      </c>
      <c r="AA61" s="117">
        <v>105.78</v>
      </c>
      <c r="AB61" s="117">
        <v>78.498653846153886</v>
      </c>
      <c r="AC61" s="119">
        <v>61.196551724137912</v>
      </c>
      <c r="AD61" s="119">
        <v>132.98158914728685</v>
      </c>
      <c r="AE61" s="117">
        <v>344.61073359073356</v>
      </c>
      <c r="AF61" s="117">
        <v>179.6332692307692</v>
      </c>
      <c r="AG61" s="117">
        <v>136</v>
      </c>
      <c r="AH61" s="117">
        <v>119</v>
      </c>
      <c r="AI61" s="117">
        <v>110.5</v>
      </c>
      <c r="AJ61" s="117">
        <v>112.268</v>
      </c>
      <c r="AK61" s="117">
        <v>114.064288</v>
      </c>
      <c r="AL61" s="117">
        <v>115.889316608</v>
      </c>
      <c r="AM61" s="117">
        <v>117.74354567372799</v>
      </c>
      <c r="AN61" s="119">
        <v>119.15646822181273</v>
      </c>
      <c r="AO61" s="119">
        <v>120.58634584047449</v>
      </c>
      <c r="AP61" s="119">
        <v>122.03338199056019</v>
      </c>
      <c r="AQ61" s="119">
        <v>123.49778257444692</v>
      </c>
      <c r="AR61" s="119">
        <v>124.97975596534029</v>
      </c>
      <c r="AS61" s="119">
        <v>126.47951303692436</v>
      </c>
      <c r="AT61" s="119">
        <v>127.99726719336745</v>
      </c>
      <c r="AU61" s="119">
        <v>129.53323439968787</v>
      </c>
      <c r="AV61" s="119">
        <v>131.08763321248412</v>
      </c>
      <c r="AW61" s="119">
        <v>132.66068481103392</v>
      </c>
      <c r="AX61" s="119">
        <v>134.25261302876635</v>
      </c>
      <c r="AY61" s="119">
        <v>135.86364438511151</v>
      </c>
      <c r="AZ61" s="119">
        <v>137.49400811773288</v>
      </c>
      <c r="BA61" s="119">
        <v>139.14393621514566</v>
      </c>
      <c r="BB61" s="119">
        <v>140.81366344972741</v>
      </c>
      <c r="BC61" s="119">
        <v>142.50342741112416</v>
      </c>
      <c r="BD61" s="119">
        <v>144.21346854005765</v>
      </c>
      <c r="BE61" s="119">
        <v>145.94403016253833</v>
      </c>
      <c r="BF61" s="119">
        <v>147.6953585244888</v>
      </c>
      <c r="BG61" s="119">
        <v>149.46770282678267</v>
      </c>
    </row>
    <row r="62" spans="1:59" ht="13.75" customHeight="1" outlineLevel="1">
      <c r="A62" s="171"/>
      <c r="B62" s="165"/>
      <c r="C62" s="165"/>
      <c r="D62" s="165"/>
      <c r="E62" s="167"/>
      <c r="F62" s="168"/>
      <c r="G62" s="168"/>
      <c r="H62" s="168"/>
      <c r="I62" s="168"/>
      <c r="U62" s="119"/>
      <c r="V62" s="119"/>
      <c r="W62" s="119"/>
      <c r="X62" s="120"/>
      <c r="Y62" s="120"/>
      <c r="Z62" s="120"/>
      <c r="AA62" s="120"/>
      <c r="AB62" s="119"/>
      <c r="AC62" s="119"/>
      <c r="AD62" s="119"/>
      <c r="AE62" s="119"/>
      <c r="AF62" s="119"/>
      <c r="AG62" s="118"/>
      <c r="AH62" s="118"/>
      <c r="AI62" s="118"/>
      <c r="AJ62" s="118"/>
      <c r="AK62" s="118"/>
      <c r="AL62" s="118"/>
      <c r="AM62" s="118"/>
    </row>
    <row r="63" spans="1:59" ht="13.75" customHeight="1">
      <c r="A63" s="171" t="s">
        <v>166</v>
      </c>
      <c r="B63" s="165" t="s">
        <v>173</v>
      </c>
      <c r="C63" s="165" t="s">
        <v>174</v>
      </c>
      <c r="D63" s="165" t="s">
        <v>168</v>
      </c>
      <c r="E63" s="167"/>
      <c r="F63" s="168" t="s">
        <v>175</v>
      </c>
      <c r="G63" s="168" t="s">
        <v>4</v>
      </c>
      <c r="H63" s="168"/>
      <c r="I63" s="168"/>
      <c r="U63" s="119">
        <v>2052</v>
      </c>
      <c r="V63" s="119">
        <v>1888</v>
      </c>
      <c r="W63" s="119">
        <v>1895</v>
      </c>
      <c r="X63" s="118">
        <v>1681</v>
      </c>
      <c r="Y63" s="118">
        <v>1611</v>
      </c>
      <c r="Z63" s="118">
        <v>2111</v>
      </c>
      <c r="AA63" s="118">
        <v>2114</v>
      </c>
      <c r="AB63" s="119">
        <v>1794</v>
      </c>
      <c r="AC63" s="119">
        <v>1706</v>
      </c>
      <c r="AD63" s="119">
        <v>2477</v>
      </c>
      <c r="AE63" s="119">
        <v>2701</v>
      </c>
      <c r="AF63" s="119">
        <v>2252.6109072597792</v>
      </c>
      <c r="AG63" s="119">
        <v>2006</v>
      </c>
      <c r="AH63" s="119">
        <v>2167.5</v>
      </c>
      <c r="AI63" s="119">
        <v>2289.6064686600148</v>
      </c>
      <c r="AJ63" s="119">
        <v>2326.2401721585748</v>
      </c>
      <c r="AK63" s="119">
        <v>2363.4600149131124</v>
      </c>
      <c r="AL63" s="119">
        <v>2401.2753751517221</v>
      </c>
      <c r="AM63" s="119">
        <v>2439.6957811541497</v>
      </c>
      <c r="AN63" s="119">
        <v>2468.9721305279995</v>
      </c>
      <c r="AO63" s="119">
        <v>2498.599796094335</v>
      </c>
      <c r="AP63" s="119">
        <v>2528.5829936474674</v>
      </c>
      <c r="AQ63" s="119">
        <v>2558.9259895712366</v>
      </c>
      <c r="AR63" s="119">
        <v>2589.633101446092</v>
      </c>
      <c r="AS63" s="119">
        <v>2620.7086986634449</v>
      </c>
      <c r="AT63" s="119">
        <v>2652.1572030474063</v>
      </c>
      <c r="AU63" s="119">
        <v>2683.9830894839752</v>
      </c>
      <c r="AV63" s="119">
        <v>2716.190886557783</v>
      </c>
      <c r="AW63" s="119">
        <v>2748.7851771964765</v>
      </c>
      <c r="AX63" s="119">
        <v>2781.7705993228342</v>
      </c>
      <c r="AY63" s="119">
        <v>2815.1518465147083</v>
      </c>
      <c r="AZ63" s="119">
        <v>2848.9336686728843</v>
      </c>
      <c r="BA63" s="119">
        <v>2883.1208726969589</v>
      </c>
      <c r="BB63" s="119">
        <v>2917.7183231693225</v>
      </c>
      <c r="BC63" s="119">
        <v>2952.7309430473547</v>
      </c>
      <c r="BD63" s="119">
        <v>2988.1637143639232</v>
      </c>
      <c r="BE63" s="119">
        <v>3024.0216789362903</v>
      </c>
      <c r="BF63" s="119">
        <v>3060.3099390835259</v>
      </c>
      <c r="BG63" s="119">
        <v>3097.0336583525282</v>
      </c>
    </row>
    <row r="64" spans="1:59" ht="13.75" customHeight="1">
      <c r="A64" s="171" t="s">
        <v>166</v>
      </c>
      <c r="B64" s="165" t="s">
        <v>173</v>
      </c>
      <c r="C64" s="165" t="s">
        <v>176</v>
      </c>
      <c r="D64" s="165" t="s">
        <v>168</v>
      </c>
      <c r="E64" s="167"/>
      <c r="F64" s="168" t="s">
        <v>177</v>
      </c>
      <c r="G64" s="168" t="s">
        <v>4</v>
      </c>
      <c r="H64" s="168"/>
      <c r="I64" s="168"/>
      <c r="U64" s="119">
        <v>634</v>
      </c>
      <c r="V64" s="119">
        <v>543</v>
      </c>
      <c r="W64" s="119">
        <v>489</v>
      </c>
      <c r="X64" s="118">
        <v>332.18515662994662</v>
      </c>
      <c r="Y64" s="118">
        <v>363.50507929756145</v>
      </c>
      <c r="Z64" s="118">
        <v>451.97061747756311</v>
      </c>
      <c r="AA64" s="118">
        <v>501.82639263071042</v>
      </c>
      <c r="AB64" s="119">
        <v>493.82920670833295</v>
      </c>
      <c r="AC64" s="119">
        <v>423.67847260472058</v>
      </c>
      <c r="AD64" s="119">
        <v>718.47756102481583</v>
      </c>
      <c r="AE64" s="119">
        <v>644.36337077487042</v>
      </c>
      <c r="AF64" s="119">
        <v>525.88468019517268</v>
      </c>
      <c r="AG64" s="119">
        <v>453.71185616897242</v>
      </c>
      <c r="AH64" s="119">
        <v>453.93945853107761</v>
      </c>
      <c r="AI64" s="119">
        <v>457.53600980131557</v>
      </c>
      <c r="AJ64" s="119">
        <v>455.70860686123342</v>
      </c>
      <c r="AK64" s="119">
        <v>462.47984576675333</v>
      </c>
      <c r="AL64" s="119">
        <v>469.35119111150198</v>
      </c>
      <c r="AM64" s="119">
        <v>476.32412933114131</v>
      </c>
      <c r="AN64" s="119">
        <v>483.40016903056068</v>
      </c>
      <c r="AO64" s="119">
        <v>490.58084131599259</v>
      </c>
      <c r="AP64" s="119">
        <v>497.86770013212458</v>
      </c>
      <c r="AQ64" s="119">
        <v>505.26232260428577</v>
      </c>
      <c r="AR64" s="119">
        <v>512.76630938578228</v>
      </c>
      <c r="AS64" s="119">
        <v>520.38128501046015</v>
      </c>
      <c r="AT64" s="119">
        <v>528.10889825057609</v>
      </c>
      <c r="AU64" s="119">
        <v>535.95082248005303</v>
      </c>
      <c r="AV64" s="119">
        <v>543.90875604320627</v>
      </c>
      <c r="AW64" s="119">
        <v>551.98442262901847</v>
      </c>
      <c r="AX64" s="119">
        <v>560.17957165105145</v>
      </c>
      <c r="AY64" s="119">
        <v>568.49597863307645</v>
      </c>
      <c r="AZ64" s="119">
        <v>576.93544560051248</v>
      </c>
      <c r="BA64" s="119">
        <v>585.49980147775761</v>
      </c>
      <c r="BB64" s="119">
        <v>594.19090249150565</v>
      </c>
      <c r="BC64" s="119">
        <v>603.01063258013505</v>
      </c>
      <c r="BD64" s="119">
        <v>611.96090380926535</v>
      </c>
      <c r="BE64" s="119">
        <v>621.04365679357159</v>
      </c>
      <c r="BF64" s="119">
        <v>630.26086112495375</v>
      </c>
      <c r="BG64" s="119">
        <v>639.61451580715561</v>
      </c>
    </row>
    <row r="65" spans="1:59" ht="13.75" customHeight="1">
      <c r="A65" s="171" t="s">
        <v>166</v>
      </c>
      <c r="B65" s="165" t="s">
        <v>173</v>
      </c>
      <c r="C65" s="165" t="s">
        <v>176</v>
      </c>
      <c r="D65" s="165" t="s">
        <v>168</v>
      </c>
      <c r="E65" s="167"/>
      <c r="F65" s="168" t="s">
        <v>178</v>
      </c>
      <c r="G65" s="168" t="s">
        <v>4</v>
      </c>
      <c r="H65" s="168"/>
      <c r="I65" s="168"/>
      <c r="U65" s="119">
        <v>619</v>
      </c>
      <c r="V65" s="119">
        <v>586</v>
      </c>
      <c r="W65" s="119">
        <v>527</v>
      </c>
      <c r="X65" s="118">
        <v>361.41666666666669</v>
      </c>
      <c r="Y65" s="118">
        <v>372.83333333333331</v>
      </c>
      <c r="Z65" s="118">
        <v>465.5</v>
      </c>
      <c r="AA65" s="118">
        <v>530.41666666666663</v>
      </c>
      <c r="AB65" s="119">
        <v>449</v>
      </c>
      <c r="AC65" s="119">
        <v>445.08333333333331</v>
      </c>
      <c r="AD65" s="119">
        <v>705.41666666666663</v>
      </c>
      <c r="AE65" s="119">
        <v>642.41666666666663</v>
      </c>
      <c r="AF65" s="119">
        <v>536.91666666666674</v>
      </c>
      <c r="AG65" s="119">
        <v>462.21185616897242</v>
      </c>
      <c r="AH65" s="119">
        <v>458.18945853107761</v>
      </c>
      <c r="AI65" s="119">
        <v>461.78600980131557</v>
      </c>
      <c r="AJ65" s="119">
        <v>459.95860686123342</v>
      </c>
      <c r="AK65" s="119">
        <v>466.72984576675333</v>
      </c>
      <c r="AL65" s="119">
        <v>473.60119111150198</v>
      </c>
      <c r="AM65" s="119">
        <v>480.57412933114131</v>
      </c>
      <c r="AN65" s="119">
        <v>487.65016903056068</v>
      </c>
      <c r="AO65" s="119">
        <v>494.83084131599259</v>
      </c>
      <c r="AP65" s="119">
        <v>502.11770013212458</v>
      </c>
      <c r="AQ65" s="119">
        <v>509.51232260428577</v>
      </c>
      <c r="AR65" s="119">
        <v>517.01630938578228</v>
      </c>
      <c r="AS65" s="119">
        <v>524.63128501046015</v>
      </c>
      <c r="AT65" s="119">
        <v>532.35889825057609</v>
      </c>
      <c r="AU65" s="119">
        <v>540.20082248005303</v>
      </c>
      <c r="AV65" s="119">
        <v>548.15875604320627</v>
      </c>
      <c r="AW65" s="119">
        <v>556.23442262901847</v>
      </c>
      <c r="AX65" s="119">
        <v>564.42957165105145</v>
      </c>
      <c r="AY65" s="119">
        <v>572.74597863307645</v>
      </c>
      <c r="AZ65" s="119">
        <v>581.18544560051248</v>
      </c>
      <c r="BA65" s="119">
        <v>589.74980147775761</v>
      </c>
      <c r="BB65" s="119">
        <v>598.44090249150565</v>
      </c>
      <c r="BC65" s="119">
        <v>607.26063258013505</v>
      </c>
      <c r="BD65" s="119">
        <v>616.21090380926535</v>
      </c>
      <c r="BE65" s="119">
        <v>625.29365679357159</v>
      </c>
      <c r="BF65" s="119">
        <v>634.51086112495375</v>
      </c>
      <c r="BG65" s="119">
        <v>643.86451580715561</v>
      </c>
    </row>
    <row r="66" spans="1:59" ht="13.75" customHeight="1">
      <c r="A66" s="171" t="s">
        <v>166</v>
      </c>
      <c r="B66" s="165" t="s">
        <v>173</v>
      </c>
      <c r="C66" s="165" t="s">
        <v>179</v>
      </c>
      <c r="D66" s="165" t="s">
        <v>168</v>
      </c>
      <c r="E66" s="167"/>
      <c r="F66" s="168" t="s">
        <v>180</v>
      </c>
      <c r="G66" s="168" t="s">
        <v>4</v>
      </c>
      <c r="H66" s="168"/>
      <c r="I66" s="168" t="s">
        <v>181</v>
      </c>
      <c r="U66" s="119">
        <v>1288.809462504023</v>
      </c>
      <c r="V66" s="119">
        <v>1218.3526084223759</v>
      </c>
      <c r="W66" s="119">
        <v>1040.3367875647668</v>
      </c>
      <c r="X66" s="118">
        <v>1078</v>
      </c>
      <c r="Y66" s="118">
        <v>970</v>
      </c>
      <c r="Z66" s="118">
        <v>1152</v>
      </c>
      <c r="AA66" s="118">
        <v>1294</v>
      </c>
      <c r="AB66" s="118">
        <v>1300</v>
      </c>
      <c r="AC66" s="118">
        <v>1166</v>
      </c>
      <c r="AD66" s="118">
        <v>1149</v>
      </c>
      <c r="AE66" s="118">
        <v>1241.1373005604119</v>
      </c>
      <c r="AF66" s="118">
        <v>1182.7746891243269</v>
      </c>
      <c r="AG66" s="118">
        <v>966.50687942040076</v>
      </c>
      <c r="AH66" s="118">
        <v>959.58061395052709</v>
      </c>
      <c r="AI66" s="118">
        <v>963.30967368077563</v>
      </c>
      <c r="AJ66" s="118">
        <v>963.53515624833858</v>
      </c>
      <c r="AK66" s="118">
        <v>969.25700153059472</v>
      </c>
      <c r="AL66" s="118">
        <v>992.04559525654338</v>
      </c>
      <c r="AM66" s="118">
        <v>997.90189267651692</v>
      </c>
      <c r="AN66" s="119">
        <v>1003.8268632156869</v>
      </c>
      <c r="AO66" s="119">
        <v>1009.8214906862718</v>
      </c>
      <c r="AP66" s="119">
        <v>1015.8867735029362</v>
      </c>
      <c r="AQ66" s="119">
        <v>1022.0237249014318</v>
      </c>
      <c r="AR66" s="119">
        <v>1028.2333731605295</v>
      </c>
      <c r="AS66" s="119">
        <v>1034.5167618272908</v>
      </c>
      <c r="AT66" s="119">
        <v>1040.8749499457281</v>
      </c>
      <c r="AU66" s="119">
        <v>1047.3090122889098</v>
      </c>
      <c r="AV66" s="119">
        <v>1053.8200395945555</v>
      </c>
      <c r="AW66" s="119">
        <v>1060.4091388041807</v>
      </c>
      <c r="AX66" s="119">
        <v>1067.0774333058393</v>
      </c>
      <c r="AY66" s="119">
        <v>1073.8260631805242</v>
      </c>
      <c r="AZ66" s="119">
        <v>1080.6561854522715</v>
      </c>
      <c r="BA66" s="119">
        <v>1087.5689743420376</v>
      </c>
      <c r="BB66" s="119">
        <v>1094.5656215253946</v>
      </c>
      <c r="BC66" s="119">
        <v>1101.6473363941084</v>
      </c>
      <c r="BD66" s="119">
        <v>1108.8153463216554</v>
      </c>
      <c r="BE66" s="119">
        <v>1116.0708969327379</v>
      </c>
      <c r="BF66" s="119">
        <v>1123.4152523768612</v>
      </c>
      <c r="BG66" s="119">
        <v>1130.8496956060289</v>
      </c>
    </row>
    <row r="67" spans="1:59" ht="13.75" customHeight="1">
      <c r="A67" s="171" t="s">
        <v>166</v>
      </c>
      <c r="B67" s="165" t="s">
        <v>173</v>
      </c>
      <c r="C67" s="165" t="s">
        <v>176</v>
      </c>
      <c r="D67" s="165" t="s">
        <v>168</v>
      </c>
      <c r="E67" s="167"/>
      <c r="F67" s="168" t="s">
        <v>182</v>
      </c>
      <c r="G67" s="168" t="s">
        <v>4</v>
      </c>
      <c r="H67" s="168"/>
      <c r="I67" s="168" t="s">
        <v>181</v>
      </c>
      <c r="U67" s="119">
        <v>395</v>
      </c>
      <c r="V67" s="119">
        <v>369</v>
      </c>
      <c r="W67" s="119">
        <v>370</v>
      </c>
      <c r="X67" s="118">
        <v>262</v>
      </c>
      <c r="Y67" s="118">
        <v>216.90683358824506</v>
      </c>
      <c r="Z67" s="118">
        <v>219.89667083788646</v>
      </c>
      <c r="AA67" s="118">
        <v>272.25247867111841</v>
      </c>
      <c r="AB67" s="119">
        <v>242</v>
      </c>
      <c r="AC67" s="119">
        <v>217</v>
      </c>
      <c r="AD67" s="119">
        <v>414</v>
      </c>
      <c r="AE67" s="119">
        <v>326</v>
      </c>
      <c r="AF67" s="119">
        <v>246.36336816394464</v>
      </c>
      <c r="AG67" s="119">
        <v>195.5991606120528</v>
      </c>
      <c r="AH67" s="119">
        <v>199.35030382447204</v>
      </c>
      <c r="AI67" s="119">
        <v>201.32986413085268</v>
      </c>
      <c r="AJ67" s="119">
        <v>200.3232372506564</v>
      </c>
      <c r="AK67" s="119">
        <v>209.1519189622214</v>
      </c>
      <c r="AL67" s="119">
        <v>213.02900751522759</v>
      </c>
      <c r="AM67" s="119">
        <v>216.96342263293931</v>
      </c>
      <c r="AN67" s="119">
        <v>220.95629949261181</v>
      </c>
      <c r="AO67" s="119">
        <v>225.00822162576142</v>
      </c>
      <c r="AP67" s="119">
        <v>229.12006595211082</v>
      </c>
      <c r="AQ67" s="119">
        <v>233.29272247269699</v>
      </c>
      <c r="AR67" s="119">
        <v>237.52709446587977</v>
      </c>
      <c r="AS67" s="119">
        <v>241.82409868630108</v>
      </c>
      <c r="AT67" s="119">
        <v>246.18466556683822</v>
      </c>
      <c r="AU67" s="119">
        <v>250.60973942359763</v>
      </c>
      <c r="AV67" s="119">
        <v>255.100278663994</v>
      </c>
      <c r="AW67" s="119">
        <v>259.6572559979619</v>
      </c>
      <c r="AX67" s="119">
        <v>264.28165865234854</v>
      </c>
      <c r="AY67" s="119">
        <v>268.97448858853232</v>
      </c>
      <c r="AZ67" s="119">
        <v>273.73676272332028</v>
      </c>
      <c r="BA67" s="119">
        <v>278.56951315317053</v>
      </c>
      <c r="BB67" s="119">
        <v>283.47378738179219</v>
      </c>
      <c r="BC67" s="119">
        <v>288.45094994391843</v>
      </c>
      <c r="BD67" s="119">
        <v>293.50177966714693</v>
      </c>
      <c r="BE67" s="119">
        <v>298.62737168189688</v>
      </c>
      <c r="BF67" s="119">
        <v>303.82883747105598</v>
      </c>
      <c r="BG67" s="119">
        <v>309.10730511524514</v>
      </c>
    </row>
    <row r="68" spans="1:59" ht="13.75" customHeight="1">
      <c r="A68" s="171" t="s">
        <v>166</v>
      </c>
      <c r="B68" s="165" t="s">
        <v>173</v>
      </c>
      <c r="C68" s="165" t="s">
        <v>176</v>
      </c>
      <c r="D68" s="165" t="s">
        <v>168</v>
      </c>
      <c r="E68" s="167"/>
      <c r="F68" s="168" t="s">
        <v>183</v>
      </c>
      <c r="G68" s="168" t="s">
        <v>4</v>
      </c>
      <c r="H68" s="168"/>
      <c r="I68" s="168" t="s">
        <v>181</v>
      </c>
      <c r="U68" s="119">
        <v>371</v>
      </c>
      <c r="V68" s="119">
        <v>350</v>
      </c>
      <c r="W68" s="119">
        <v>363</v>
      </c>
      <c r="X68" s="118">
        <v>257</v>
      </c>
      <c r="Y68" s="118">
        <v>236</v>
      </c>
      <c r="Z68" s="118">
        <v>240</v>
      </c>
      <c r="AA68" s="118">
        <v>297</v>
      </c>
      <c r="AB68" s="119">
        <v>262</v>
      </c>
      <c r="AC68" s="119">
        <v>256</v>
      </c>
      <c r="AD68" s="119">
        <v>435</v>
      </c>
      <c r="AE68" s="119">
        <v>363</v>
      </c>
      <c r="AF68" s="119">
        <v>281.16666666666669</v>
      </c>
      <c r="AG68" s="119">
        <v>231.09583732538269</v>
      </c>
      <c r="AH68" s="119">
        <v>232.86890437706722</v>
      </c>
      <c r="AI68" s="119">
        <v>234.8600746304862</v>
      </c>
      <c r="AJ68" s="119">
        <v>233.84836366019846</v>
      </c>
      <c r="AK68" s="119">
        <v>243.5370751063929</v>
      </c>
      <c r="AL68" s="119">
        <v>247.43638526742674</v>
      </c>
      <c r="AM68" s="119">
        <v>251.39334674846776</v>
      </c>
      <c r="AN68" s="119">
        <v>255.40881564364</v>
      </c>
      <c r="AO68" s="119">
        <v>259.48366081599585</v>
      </c>
      <c r="AP68" s="119">
        <v>263.61876408881812</v>
      </c>
      <c r="AQ68" s="119">
        <v>267.81502043980237</v>
      </c>
      <c r="AR68" s="119">
        <v>272.07333819816023</v>
      </c>
      <c r="AS68" s="119">
        <v>276.39463924469021</v>
      </c>
      <c r="AT68" s="119">
        <v>280.77985921485981</v>
      </c>
      <c r="AU68" s="119">
        <v>285.22994770494358</v>
      </c>
      <c r="AV68" s="119">
        <v>289.74586848126592</v>
      </c>
      <c r="AW68" s="119">
        <v>294.32859969259181</v>
      </c>
      <c r="AX68" s="119">
        <v>298.97913408571776</v>
      </c>
      <c r="AY68" s="119">
        <v>303.69847922430637</v>
      </c>
      <c r="AZ68" s="119">
        <v>308.4876577110175</v>
      </c>
      <c r="BA68" s="119">
        <v>313.34770741298365</v>
      </c>
      <c r="BB68" s="119">
        <v>318.27968169068146</v>
      </c>
      <c r="BC68" s="119">
        <v>323.2846496302497</v>
      </c>
      <c r="BD68" s="119">
        <v>328.36369627930634</v>
      </c>
      <c r="BE68" s="119">
        <v>333.51792288631748</v>
      </c>
      <c r="BF68" s="119">
        <v>338.74844714357243</v>
      </c>
      <c r="BG68" s="119">
        <v>344.0564034338185</v>
      </c>
    </row>
    <row r="69" spans="1:59" ht="13.75" customHeight="1">
      <c r="A69" s="171" t="s">
        <v>166</v>
      </c>
      <c r="B69" s="165" t="s">
        <v>173</v>
      </c>
      <c r="C69" s="165" t="s">
        <v>176</v>
      </c>
      <c r="D69" s="165" t="s">
        <v>168</v>
      </c>
      <c r="E69" s="167"/>
      <c r="F69" s="168" t="s">
        <v>184</v>
      </c>
      <c r="G69" s="168" t="s">
        <v>4</v>
      </c>
      <c r="H69" s="168"/>
      <c r="I69" s="168"/>
      <c r="U69" s="119">
        <v>561</v>
      </c>
      <c r="V69" s="119">
        <v>509</v>
      </c>
      <c r="W69" s="119">
        <v>477</v>
      </c>
      <c r="X69" s="118">
        <v>0</v>
      </c>
      <c r="Y69" s="118">
        <v>424</v>
      </c>
      <c r="Z69" s="118">
        <v>534</v>
      </c>
      <c r="AA69" s="118">
        <v>549.21675752137571</v>
      </c>
      <c r="AB69" s="119">
        <v>527</v>
      </c>
      <c r="AC69" s="119">
        <v>478</v>
      </c>
      <c r="AD69" s="119">
        <v>895</v>
      </c>
      <c r="AE69" s="119">
        <v>787.25497291335125</v>
      </c>
      <c r="AF69" s="119">
        <v>658.98539599572189</v>
      </c>
      <c r="AG69" s="119">
        <v>564.81335070698719</v>
      </c>
      <c r="AH69" s="119">
        <v>558.47166200097229</v>
      </c>
      <c r="AI69" s="119">
        <v>572.37575161227107</v>
      </c>
      <c r="AJ69" s="119">
        <v>580.10544909654629</v>
      </c>
      <c r="AK69" s="119">
        <v>588.47969293698861</v>
      </c>
      <c r="AL69" s="119">
        <v>596.97522047204654</v>
      </c>
      <c r="AM69" s="119">
        <v>605.59379438193832</v>
      </c>
      <c r="AN69" s="119">
        <v>614.33720305974111</v>
      </c>
      <c r="AO69" s="119">
        <v>623.20726098793637</v>
      </c>
      <c r="AP69" s="119">
        <v>632.20580912049229</v>
      </c>
      <c r="AQ69" s="119">
        <v>641.33471527056349</v>
      </c>
      <c r="AR69" s="119">
        <v>650.59587450389381</v>
      </c>
      <c r="AS69" s="119">
        <v>659.99120953800343</v>
      </c>
      <c r="AT69" s="119">
        <v>669.52267114724748</v>
      </c>
      <c r="AU69" s="119">
        <v>679.19223857383236</v>
      </c>
      <c r="AV69" s="119">
        <v>689.00191994487773</v>
      </c>
      <c r="AW69" s="119">
        <v>698.95375269561418</v>
      </c>
      <c r="AX69" s="119">
        <v>709.0498039988048</v>
      </c>
      <c r="AY69" s="119">
        <v>719.29217120048736</v>
      </c>
      <c r="AZ69" s="119">
        <v>729.68298226212471</v>
      </c>
      <c r="BA69" s="119">
        <v>740.22439620926218</v>
      </c>
      <c r="BB69" s="119">
        <v>750.91860358678719</v>
      </c>
      <c r="BC69" s="119">
        <v>761.76782692088693</v>
      </c>
      <c r="BD69" s="119">
        <v>772.77432118780644</v>
      </c>
      <c r="BE69" s="119">
        <v>783.94037428950321</v>
      </c>
      <c r="BF69" s="119">
        <v>795.26830753630475</v>
      </c>
      <c r="BG69" s="119">
        <v>806.76047613666947</v>
      </c>
    </row>
    <row r="70" spans="1:59" ht="13.75" customHeight="1">
      <c r="A70" s="171" t="s">
        <v>166</v>
      </c>
      <c r="B70" s="165" t="s">
        <v>173</v>
      </c>
      <c r="C70" s="165" t="s">
        <v>176</v>
      </c>
      <c r="D70" s="165" t="s">
        <v>168</v>
      </c>
      <c r="E70" s="167"/>
      <c r="F70" s="168" t="s">
        <v>185</v>
      </c>
      <c r="G70" s="168" t="s">
        <v>4</v>
      </c>
      <c r="H70" s="168"/>
      <c r="I70" s="168"/>
      <c r="U70" s="119">
        <v>581</v>
      </c>
      <c r="V70" s="119">
        <v>543</v>
      </c>
      <c r="W70" s="119">
        <v>522</v>
      </c>
      <c r="X70" s="118">
        <v>349.83333333333331</v>
      </c>
      <c r="Y70" s="118">
        <v>388.83333333333331</v>
      </c>
      <c r="Z70" s="118">
        <v>503.75</v>
      </c>
      <c r="AA70" s="118">
        <v>555.16666666666663</v>
      </c>
      <c r="AB70" s="118">
        <v>464</v>
      </c>
      <c r="AC70" s="118">
        <v>471</v>
      </c>
      <c r="AD70" s="118">
        <v>860</v>
      </c>
      <c r="AE70" s="118">
        <v>705.91666666666663</v>
      </c>
      <c r="AF70" s="118">
        <v>584.08333333333337</v>
      </c>
      <c r="AG70" s="118">
        <v>519.87435190935105</v>
      </c>
      <c r="AH70" s="118">
        <v>515.96290970748805</v>
      </c>
      <c r="AI70" s="118">
        <v>515.42362031270409</v>
      </c>
      <c r="AJ70" s="118">
        <v>514.02232361151016</v>
      </c>
      <c r="AK70" s="118">
        <v>521.99310511833016</v>
      </c>
      <c r="AL70" s="118">
        <v>530.08786906986586</v>
      </c>
      <c r="AM70" s="118">
        <v>538.30854948440106</v>
      </c>
      <c r="AN70" s="119">
        <v>563.65711062870082</v>
      </c>
      <c r="AO70" s="119">
        <v>572.13554749224488</v>
      </c>
      <c r="AP70" s="119">
        <v>580.74588626891455</v>
      </c>
      <c r="AQ70" s="119">
        <v>589.49018484624594</v>
      </c>
      <c r="AR70" s="119">
        <v>598.37053330237313</v>
      </c>
      <c r="AS70" s="119">
        <v>607.3890544107785</v>
      </c>
      <c r="AT70" s="119">
        <v>616.54790415297646</v>
      </c>
      <c r="AU70" s="119">
        <v>625.84927223925217</v>
      </c>
      <c r="AV70" s="119">
        <v>635.29538263758593</v>
      </c>
      <c r="AW70" s="119">
        <v>644.88849411088813</v>
      </c>
      <c r="AX70" s="119">
        <v>654.63090076267872</v>
      </c>
      <c r="AY70" s="119">
        <v>664.52493259134201</v>
      </c>
      <c r="AZ70" s="119">
        <v>674.57295605309434</v>
      </c>
      <c r="BA70" s="119">
        <v>684.7773746337989</v>
      </c>
      <c r="BB70" s="119">
        <v>695.14062942976852</v>
      </c>
      <c r="BC70" s="119">
        <v>705.66519973769948</v>
      </c>
      <c r="BD70" s="119">
        <v>716.35360365387601</v>
      </c>
      <c r="BE70" s="119">
        <v>727.20839868279654</v>
      </c>
      <c r="BF70" s="119">
        <v>738.23218235536626</v>
      </c>
      <c r="BG70" s="119">
        <v>749.42759285680825</v>
      </c>
    </row>
    <row r="71" spans="1:59" ht="13.75" customHeight="1">
      <c r="A71" s="171" t="s">
        <v>166</v>
      </c>
      <c r="B71" s="165" t="s">
        <v>173</v>
      </c>
      <c r="C71" s="165" t="s">
        <v>176</v>
      </c>
      <c r="D71" s="165" t="s">
        <v>168</v>
      </c>
      <c r="E71" s="167"/>
      <c r="F71" s="168" t="s">
        <v>186</v>
      </c>
      <c r="G71" s="168" t="s">
        <v>4</v>
      </c>
      <c r="H71" s="168"/>
      <c r="I71" s="168"/>
      <c r="U71" s="119">
        <v>957</v>
      </c>
      <c r="V71" s="119">
        <v>815</v>
      </c>
      <c r="W71" s="119">
        <v>716</v>
      </c>
      <c r="X71" s="118">
        <v>562</v>
      </c>
      <c r="Y71" s="118">
        <v>647</v>
      </c>
      <c r="Z71" s="118">
        <v>700</v>
      </c>
      <c r="AA71" s="118">
        <v>769</v>
      </c>
      <c r="AB71" s="119">
        <v>732</v>
      </c>
      <c r="AC71" s="119">
        <v>714</v>
      </c>
      <c r="AD71" s="119">
        <v>1161</v>
      </c>
      <c r="AE71" s="119">
        <v>999.39553675450816</v>
      </c>
      <c r="AF71" s="119">
        <v>824.13168534793385</v>
      </c>
      <c r="AG71" s="119">
        <v>742.91093198872227</v>
      </c>
      <c r="AH71" s="119">
        <v>739.50312666484058</v>
      </c>
      <c r="AI71" s="119">
        <v>756.38943086882591</v>
      </c>
      <c r="AJ71" s="119">
        <v>767.06334722120607</v>
      </c>
      <c r="AK71" s="119">
        <v>778.42891743164296</v>
      </c>
      <c r="AL71" s="119">
        <v>789.96363255861536</v>
      </c>
      <c r="AM71" s="119">
        <v>801.67002106189216</v>
      </c>
      <c r="AN71" s="119">
        <v>813.55064936657425</v>
      </c>
      <c r="AO71" s="119">
        <v>825.60812243567887</v>
      </c>
      <c r="AP71" s="119">
        <v>837.84508435139867</v>
      </c>
      <c r="AQ71" s="119">
        <v>850.2642189051644</v>
      </c>
      <c r="AR71" s="119">
        <v>862.86825019664832</v>
      </c>
      <c r="AS71" s="119">
        <v>875.65994324184192</v>
      </c>
      <c r="AT71" s="119">
        <v>888.64210459034757</v>
      </c>
      <c r="AU71" s="119">
        <v>901.81758295202201</v>
      </c>
      <c r="AV71" s="119">
        <v>915.18926983311849</v>
      </c>
      <c r="AW71" s="119">
        <v>928.76010018206671</v>
      </c>
      <c r="AX71" s="119">
        <v>942.53305304504045</v>
      </c>
      <c r="AY71" s="119">
        <v>956.51115223146292</v>
      </c>
      <c r="AZ71" s="119">
        <v>970.6974669895958</v>
      </c>
      <c r="BA71" s="119">
        <v>985.09511269237282</v>
      </c>
      <c r="BB71" s="119">
        <v>999.70725153362741</v>
      </c>
      <c r="BC71" s="119">
        <v>1014.5370932348769</v>
      </c>
      <c r="BD71" s="119">
        <v>1029.5878957628202</v>
      </c>
      <c r="BE71" s="119">
        <v>1044.8629660577171</v>
      </c>
      <c r="BF71" s="119">
        <v>1060.3656607728103</v>
      </c>
      <c r="BG71" s="119">
        <v>1076.0993870249588</v>
      </c>
    </row>
    <row r="72" spans="1:59" ht="13.75" customHeight="1">
      <c r="A72" s="171" t="s">
        <v>166</v>
      </c>
      <c r="B72" s="165" t="s">
        <v>173</v>
      </c>
      <c r="C72" s="165" t="s">
        <v>176</v>
      </c>
      <c r="D72" s="165" t="s">
        <v>168</v>
      </c>
      <c r="E72" s="167"/>
      <c r="F72" s="168" t="s">
        <v>187</v>
      </c>
      <c r="G72" s="168" t="s">
        <v>4</v>
      </c>
      <c r="H72" s="168"/>
      <c r="I72" s="168"/>
      <c r="U72" s="119">
        <v>737.64407700208335</v>
      </c>
      <c r="V72" s="119">
        <v>692.30197291666661</v>
      </c>
      <c r="W72" s="119">
        <v>649.52198020833328</v>
      </c>
      <c r="X72" s="118">
        <v>613</v>
      </c>
      <c r="Y72" s="118">
        <v>657</v>
      </c>
      <c r="Z72" s="118">
        <v>735</v>
      </c>
      <c r="AA72" s="118">
        <v>760.125</v>
      </c>
      <c r="AB72" s="119">
        <v>647</v>
      </c>
      <c r="AC72" s="119">
        <v>663</v>
      </c>
      <c r="AD72" s="119">
        <v>1164</v>
      </c>
      <c r="AE72" s="119">
        <v>1023.3417330969603</v>
      </c>
      <c r="AF72" s="119">
        <v>816.80216142193763</v>
      </c>
      <c r="AG72" s="119">
        <v>746.83640821662004</v>
      </c>
      <c r="AH72" s="119">
        <v>740.32272176489232</v>
      </c>
      <c r="AI72" s="119">
        <v>770.96564031131538</v>
      </c>
      <c r="AJ72" s="119">
        <v>790.09253609945154</v>
      </c>
      <c r="AK72" s="119">
        <v>801.172705657802</v>
      </c>
      <c r="AL72" s="119">
        <v>812.40829957481674</v>
      </c>
      <c r="AM72" s="119">
        <v>823.80149862327437</v>
      </c>
      <c r="AN72" s="119">
        <v>818.35451418408104</v>
      </c>
      <c r="AO72" s="119">
        <v>830.06958867602032</v>
      </c>
      <c r="AP72" s="119">
        <v>841.94899599154076</v>
      </c>
      <c r="AQ72" s="119">
        <v>853.99504193866335</v>
      </c>
      <c r="AR72" s="119">
        <v>866.21006468909718</v>
      </c>
      <c r="AS72" s="119">
        <v>878.59643523264992</v>
      </c>
      <c r="AT72" s="119">
        <v>891.15655783801913</v>
      </c>
      <c r="AU72" s="119">
        <v>903.89287052005704</v>
      </c>
      <c r="AV72" s="119">
        <v>916.80784551360045</v>
      </c>
      <c r="AW72" s="119">
        <v>929.90398975395397</v>
      </c>
      <c r="AX72" s="119">
        <v>943.18384536412236</v>
      </c>
      <c r="AY72" s="119">
        <v>956.64999014889133</v>
      </c>
      <c r="AZ72" s="119">
        <v>970.30503809584161</v>
      </c>
      <c r="BA72" s="119">
        <v>984.15163988340714</v>
      </c>
      <c r="BB72" s="119">
        <v>998.19248339606622</v>
      </c>
      <c r="BC72" s="119">
        <v>1012.4302942467713</v>
      </c>
      <c r="BD72" s="119">
        <v>1026.8678363067168</v>
      </c>
      <c r="BE72" s="119">
        <v>1041.5079122425493</v>
      </c>
      <c r="BF72" s="119">
        <v>1056.3533640611245</v>
      </c>
      <c r="BG72" s="119">
        <v>1071.4070736619137</v>
      </c>
    </row>
    <row r="73" spans="1:59" ht="13.75" customHeight="1">
      <c r="A73" s="171" t="s">
        <v>166</v>
      </c>
      <c r="B73" s="165" t="s">
        <v>173</v>
      </c>
      <c r="C73" s="165" t="s">
        <v>176</v>
      </c>
      <c r="D73" s="165" t="s">
        <v>168</v>
      </c>
      <c r="E73" s="167"/>
      <c r="F73" s="168" t="s">
        <v>188</v>
      </c>
      <c r="G73" s="168" t="s">
        <v>4</v>
      </c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>
        <v>129</v>
      </c>
      <c r="V73" s="118">
        <v>136</v>
      </c>
      <c r="W73" s="118">
        <v>97</v>
      </c>
      <c r="X73" s="118">
        <v>55</v>
      </c>
      <c r="Y73" s="118">
        <v>58</v>
      </c>
      <c r="Z73" s="118">
        <v>71</v>
      </c>
      <c r="AA73" s="118">
        <v>68.930000000000007</v>
      </c>
      <c r="AB73" s="118">
        <v>93</v>
      </c>
      <c r="AC73" s="119">
        <v>108</v>
      </c>
      <c r="AD73" s="118">
        <v>159</v>
      </c>
      <c r="AE73" s="118">
        <v>120.90780303030304</v>
      </c>
      <c r="AF73" s="118">
        <v>115.66546538461539</v>
      </c>
      <c r="AG73" s="118">
        <v>88</v>
      </c>
      <c r="AH73" s="118">
        <v>84</v>
      </c>
      <c r="AI73" s="118">
        <v>85.383770640373484</v>
      </c>
      <c r="AJ73" s="118">
        <v>86.749910970619453</v>
      </c>
      <c r="AK73" s="118">
        <v>88.137909546149373</v>
      </c>
      <c r="AL73" s="118">
        <v>89.54811609888776</v>
      </c>
      <c r="AM73" s="118">
        <v>90.980885956469976</v>
      </c>
      <c r="AN73" s="119">
        <v>92.436580131773496</v>
      </c>
      <c r="AO73" s="119">
        <v>93.915565413881865</v>
      </c>
      <c r="AP73" s="119">
        <v>95.418214460503975</v>
      </c>
      <c r="AQ73" s="119">
        <v>96.944905891872054</v>
      </c>
      <c r="AR73" s="119">
        <v>98.496024386141997</v>
      </c>
      <c r="AS73" s="119">
        <v>100.07196077632028</v>
      </c>
      <c r="AT73" s="119">
        <v>101.6731121487414</v>
      </c>
      <c r="AU73" s="119">
        <v>103.29988194312125</v>
      </c>
      <c r="AV73" s="119">
        <v>104.9526800542112</v>
      </c>
      <c r="AW73" s="119">
        <v>106.63192293507858</v>
      </c>
      <c r="AX73" s="119">
        <v>108.33803370203982</v>
      </c>
      <c r="AY73" s="119">
        <v>110.07144224127246</v>
      </c>
      <c r="AZ73" s="119">
        <v>111.83258531713282</v>
      </c>
      <c r="BA73" s="119">
        <v>113.62190668220694</v>
      </c>
      <c r="BB73" s="119">
        <v>115.43985718912225</v>
      </c>
      <c r="BC73" s="119">
        <v>117.2868949041482</v>
      </c>
      <c r="BD73" s="119">
        <v>119.16348522261458</v>
      </c>
      <c r="BE73" s="119">
        <v>121.07010098617641</v>
      </c>
      <c r="BF73" s="119">
        <v>123.00722260195523</v>
      </c>
      <c r="BG73" s="119">
        <v>124.97533816358653</v>
      </c>
    </row>
    <row r="74" spans="1:59" ht="13.75" customHeight="1">
      <c r="A74" s="171" t="s">
        <v>166</v>
      </c>
      <c r="B74" s="165" t="s">
        <v>173</v>
      </c>
      <c r="C74" s="165" t="s">
        <v>176</v>
      </c>
      <c r="D74" s="165" t="s">
        <v>168</v>
      </c>
      <c r="E74" s="167"/>
      <c r="F74" s="168" t="s">
        <v>189</v>
      </c>
      <c r="G74" s="168" t="s">
        <v>4</v>
      </c>
      <c r="H74" s="168"/>
      <c r="I74" s="168"/>
      <c r="U74" s="119">
        <v>574.97961911591722</v>
      </c>
      <c r="V74" s="119">
        <v>467.93014601299592</v>
      </c>
      <c r="W74" s="119">
        <v>445.59876825650304</v>
      </c>
      <c r="X74" s="118">
        <v>300.76848996327993</v>
      </c>
      <c r="Y74" s="118">
        <v>274.67174596422814</v>
      </c>
      <c r="Z74" s="118">
        <v>452.47061747756311</v>
      </c>
      <c r="AA74" s="118">
        <v>460.30972596404376</v>
      </c>
      <c r="AB74" s="119">
        <v>413</v>
      </c>
      <c r="AC74" s="119">
        <v>367</v>
      </c>
      <c r="AD74" s="119">
        <v>623</v>
      </c>
      <c r="AE74" s="119">
        <v>599.49572371604688</v>
      </c>
      <c r="AF74" s="119">
        <v>499.05134686183925</v>
      </c>
      <c r="AG74" s="119">
        <v>425.91316102287982</v>
      </c>
      <c r="AH74" s="119">
        <v>420.05811969821178</v>
      </c>
      <c r="AI74" s="119">
        <v>422.21936145180257</v>
      </c>
      <c r="AJ74" s="119">
        <v>427.78484245741845</v>
      </c>
      <c r="AK74" s="119">
        <v>434.19442675623753</v>
      </c>
      <c r="AL74" s="119">
        <v>440.69952277931071</v>
      </c>
      <c r="AM74" s="119">
        <v>447.30156013148269</v>
      </c>
      <c r="AN74" s="119">
        <v>454.00198991111722</v>
      </c>
      <c r="AO74" s="119">
        <v>460.80228503467129</v>
      </c>
      <c r="AP74" s="119">
        <v>467.7039405661921</v>
      </c>
      <c r="AQ74" s="119">
        <v>474.70847405181058</v>
      </c>
      <c r="AR74" s="119">
        <v>481.81742585931084</v>
      </c>
      <c r="AS74" s="119">
        <v>489.03235952284848</v>
      </c>
      <c r="AT74" s="119">
        <v>496.35486209289991</v>
      </c>
      <c r="AU74" s="119">
        <v>503.78654449151958</v>
      </c>
      <c r="AV74" s="119">
        <v>511.32904187298914</v>
      </c>
      <c r="AW74" s="119">
        <v>518.98401398993667</v>
      </c>
      <c r="AX74" s="119">
        <v>526.75314556501303</v>
      </c>
      <c r="AY74" s="119">
        <v>534.63814666820792</v>
      </c>
      <c r="AZ74" s="119">
        <v>542.64075309989221</v>
      </c>
      <c r="BA74" s="119">
        <v>550.76272677967313</v>
      </c>
      <c r="BB74" s="119">
        <v>559.00585614115334</v>
      </c>
      <c r="BC74" s="119">
        <v>567.37195653267918</v>
      </c>
      <c r="BD74" s="119">
        <v>575.86287062417523</v>
      </c>
      <c r="BE74" s="119">
        <v>584.48046882015285</v>
      </c>
      <c r="BF74" s="119">
        <v>593.22664967899004</v>
      </c>
      <c r="BG74" s="119">
        <v>602.10334033857646</v>
      </c>
    </row>
    <row r="75" spans="1:59" ht="13.75" customHeight="1">
      <c r="A75" s="171" t="s">
        <v>166</v>
      </c>
      <c r="B75" s="165" t="s">
        <v>173</v>
      </c>
      <c r="C75" s="165" t="s">
        <v>176</v>
      </c>
      <c r="D75" s="165" t="s">
        <v>168</v>
      </c>
      <c r="E75" s="167"/>
      <c r="F75" s="168" t="s">
        <v>190</v>
      </c>
      <c r="G75" s="168" t="s">
        <v>4</v>
      </c>
      <c r="H75" s="168"/>
      <c r="I75" s="168"/>
      <c r="U75" s="119">
        <v>560</v>
      </c>
      <c r="V75" s="119">
        <v>511</v>
      </c>
      <c r="W75" s="119">
        <v>483</v>
      </c>
      <c r="X75" s="118">
        <v>330</v>
      </c>
      <c r="Y75" s="118">
        <v>284</v>
      </c>
      <c r="Z75" s="118">
        <v>466</v>
      </c>
      <c r="AA75" s="118">
        <v>488.9</v>
      </c>
      <c r="AB75" s="119">
        <v>411.1320754716981</v>
      </c>
      <c r="AC75" s="119">
        <v>402.5980392156863</v>
      </c>
      <c r="AD75" s="119">
        <v>615.18867924528297</v>
      </c>
      <c r="AE75" s="119">
        <v>597.54901960784309</v>
      </c>
      <c r="AF75" s="119">
        <v>510.08333333333331</v>
      </c>
      <c r="AG75" s="119">
        <v>430.16316102287982</v>
      </c>
      <c r="AH75" s="119">
        <v>424.30811969821178</v>
      </c>
      <c r="AI75" s="119">
        <v>426.46936145180257</v>
      </c>
      <c r="AJ75" s="119">
        <v>432.03484245741845</v>
      </c>
      <c r="AK75" s="119">
        <v>438.44442675623753</v>
      </c>
      <c r="AL75" s="119">
        <v>444.94952277931071</v>
      </c>
      <c r="AM75" s="119">
        <v>451.55156013148269</v>
      </c>
      <c r="AN75" s="119">
        <v>458.25198991111722</v>
      </c>
      <c r="AO75" s="119">
        <v>465.05228503467129</v>
      </c>
      <c r="AP75" s="119">
        <v>471.9539405661921</v>
      </c>
      <c r="AQ75" s="119">
        <v>478.95847405181058</v>
      </c>
      <c r="AR75" s="119">
        <v>486.06742585931084</v>
      </c>
      <c r="AS75" s="119">
        <v>493.28235952284848</v>
      </c>
      <c r="AT75" s="119">
        <v>500.60486209289991</v>
      </c>
      <c r="AU75" s="119">
        <v>508.03654449151958</v>
      </c>
      <c r="AV75" s="119">
        <v>515.57904187298914</v>
      </c>
      <c r="AW75" s="119">
        <v>523.23401398993667</v>
      </c>
      <c r="AX75" s="119">
        <v>531.00314556501303</v>
      </c>
      <c r="AY75" s="119">
        <v>538.88814666820792</v>
      </c>
      <c r="AZ75" s="119">
        <v>546.89075309989221</v>
      </c>
      <c r="BA75" s="119">
        <v>555.01272677967313</v>
      </c>
      <c r="BB75" s="119">
        <v>563.25585614115334</v>
      </c>
      <c r="BC75" s="119">
        <v>571.62195653267918</v>
      </c>
      <c r="BD75" s="119">
        <v>580.11287062417523</v>
      </c>
      <c r="BE75" s="119">
        <v>588.73046882015285</v>
      </c>
      <c r="BF75" s="119">
        <v>597.47664967899004</v>
      </c>
      <c r="BG75" s="119">
        <v>606.35334033857646</v>
      </c>
    </row>
    <row r="76" spans="1:59" ht="13.75" customHeight="1">
      <c r="A76" s="171" t="s">
        <v>166</v>
      </c>
      <c r="B76" s="165" t="s">
        <v>173</v>
      </c>
      <c r="C76" s="165" t="s">
        <v>176</v>
      </c>
      <c r="D76" s="165" t="s">
        <v>168</v>
      </c>
      <c r="E76" s="167"/>
      <c r="F76" s="168" t="s">
        <v>191</v>
      </c>
      <c r="G76" s="168" t="s">
        <v>4</v>
      </c>
      <c r="H76" s="168"/>
      <c r="I76" s="168" t="s">
        <v>181</v>
      </c>
      <c r="U76" s="119">
        <v>529.97961911591722</v>
      </c>
      <c r="V76" s="119">
        <v>439.93014601299592</v>
      </c>
      <c r="W76" s="119">
        <v>451.59876825650304</v>
      </c>
      <c r="X76" s="118">
        <v>477.07302208901859</v>
      </c>
      <c r="Y76" s="118">
        <v>451.94479907155807</v>
      </c>
      <c r="Z76" s="118">
        <v>586.3576641434978</v>
      </c>
      <c r="AA76" s="118">
        <v>677.09416467778328</v>
      </c>
      <c r="AB76" s="119">
        <v>471</v>
      </c>
      <c r="AC76" s="119">
        <v>421</v>
      </c>
      <c r="AD76" s="119">
        <v>779</v>
      </c>
      <c r="AE76" s="119">
        <v>590.90163934426232</v>
      </c>
      <c r="AF76" s="119">
        <v>525.33333333333326</v>
      </c>
      <c r="AG76" s="119">
        <v>477.29486244031466</v>
      </c>
      <c r="AH76" s="119">
        <v>459.37270907963199</v>
      </c>
      <c r="AI76" s="119">
        <v>444.80194843115788</v>
      </c>
      <c r="AJ76" s="119">
        <v>442.1354783899406</v>
      </c>
      <c r="AK76" s="119">
        <v>448.82085151739767</v>
      </c>
      <c r="AL76" s="119">
        <v>455.60964836694268</v>
      </c>
      <c r="AM76" s="119">
        <v>462.50347409541138</v>
      </c>
      <c r="AN76" s="119">
        <v>469.50395884711941</v>
      </c>
      <c r="AO76" s="119">
        <v>476.61275814392673</v>
      </c>
      <c r="AP76" s="119">
        <v>483.83155328140941</v>
      </c>
      <c r="AQ76" s="119">
        <v>491.16205173123075</v>
      </c>
      <c r="AR76" s="119">
        <v>498.60598754981049</v>
      </c>
      <c r="AS76" s="119">
        <v>506.16512179339088</v>
      </c>
      <c r="AT76" s="119">
        <v>513.84124293959849</v>
      </c>
      <c r="AU76" s="119">
        <v>521.63616731560705</v>
      </c>
      <c r="AV76" s="119">
        <v>529.55173953300084</v>
      </c>
      <c r="AW76" s="119">
        <v>537.58983292944629</v>
      </c>
      <c r="AX76" s="119">
        <v>545.75235001727856</v>
      </c>
      <c r="AY76" s="119">
        <v>554.04122293910984</v>
      </c>
      <c r="AZ76" s="119">
        <v>562.45841393057174</v>
      </c>
      <c r="BA76" s="119">
        <v>571.00591579030277</v>
      </c>
      <c r="BB76" s="119">
        <v>579.68575235729304</v>
      </c>
      <c r="BC76" s="119">
        <v>588.45071850613328</v>
      </c>
      <c r="BD76" s="119">
        <v>597.35136459667376</v>
      </c>
      <c r="BE76" s="119">
        <v>606.38979767474802</v>
      </c>
      <c r="BF76" s="119">
        <v>615.56815760525797</v>
      </c>
      <c r="BG76" s="119">
        <v>624.88861758476719</v>
      </c>
    </row>
    <row r="77" spans="1:59" ht="13.75" customHeight="1">
      <c r="A77" s="171" t="s">
        <v>166</v>
      </c>
      <c r="B77" s="165" t="s">
        <v>173</v>
      </c>
      <c r="C77" s="165" t="s">
        <v>176</v>
      </c>
      <c r="D77" s="165" t="s">
        <v>168</v>
      </c>
      <c r="E77" s="167"/>
      <c r="F77" s="168" t="s">
        <v>192</v>
      </c>
      <c r="G77" s="168" t="s">
        <v>4</v>
      </c>
      <c r="H77" s="168"/>
      <c r="I77" s="168"/>
      <c r="U77" s="119">
        <v>515</v>
      </c>
      <c r="V77" s="119">
        <v>483</v>
      </c>
      <c r="W77" s="119">
        <v>489</v>
      </c>
      <c r="X77" s="118">
        <v>295.75</v>
      </c>
      <c r="Y77" s="118">
        <v>330</v>
      </c>
      <c r="Z77" s="118">
        <v>440.5</v>
      </c>
      <c r="AA77" s="118">
        <v>507.16666666666669</v>
      </c>
      <c r="AB77" s="119">
        <v>409</v>
      </c>
      <c r="AC77" s="119">
        <v>414</v>
      </c>
      <c r="AD77" s="119">
        <v>749</v>
      </c>
      <c r="AE77" s="119">
        <v>560.90163934426232</v>
      </c>
      <c r="AF77" s="119">
        <v>495.33333333333331</v>
      </c>
      <c r="AG77" s="119">
        <v>451.79486244031466</v>
      </c>
      <c r="AH77" s="119">
        <v>442.37270907963199</v>
      </c>
      <c r="AI77" s="119">
        <v>436.30194843115788</v>
      </c>
      <c r="AJ77" s="119">
        <v>442.1354783899406</v>
      </c>
      <c r="AK77" s="119">
        <v>448.82085151739767</v>
      </c>
      <c r="AL77" s="119">
        <v>455.60964836694268</v>
      </c>
      <c r="AM77" s="119">
        <v>462.50347409541138</v>
      </c>
      <c r="AN77" s="119">
        <v>469.50395884711941</v>
      </c>
      <c r="AO77" s="119">
        <v>476.61275814392673</v>
      </c>
      <c r="AP77" s="119">
        <v>483.83155328140941</v>
      </c>
      <c r="AQ77" s="119">
        <v>491.16205173123075</v>
      </c>
      <c r="AR77" s="119">
        <v>498.60598754981049</v>
      </c>
      <c r="AS77" s="119">
        <v>506.16512179339088</v>
      </c>
      <c r="AT77" s="119">
        <v>513.84124293959849</v>
      </c>
      <c r="AU77" s="119">
        <v>521.63616731560705</v>
      </c>
      <c r="AV77" s="119">
        <v>529.55173953300084</v>
      </c>
      <c r="AW77" s="119">
        <v>537.58983292944629</v>
      </c>
      <c r="AX77" s="119">
        <v>545.75235001727856</v>
      </c>
      <c r="AY77" s="119">
        <v>554.04122293910984</v>
      </c>
      <c r="AZ77" s="119">
        <v>562.45841393057174</v>
      </c>
      <c r="BA77" s="119">
        <v>571.00591579030277</v>
      </c>
      <c r="BB77" s="119">
        <v>579.68575235729304</v>
      </c>
      <c r="BC77" s="119">
        <v>588.45071850613328</v>
      </c>
      <c r="BD77" s="119">
        <v>597.35136459667376</v>
      </c>
      <c r="BE77" s="119">
        <v>606.38979767474802</v>
      </c>
      <c r="BF77" s="119">
        <v>615.56815760525797</v>
      </c>
      <c r="BG77" s="119">
        <v>624.88861758476719</v>
      </c>
    </row>
    <row r="78" spans="1:59" ht="13.75" customHeight="1">
      <c r="A78" s="171" t="s">
        <v>166</v>
      </c>
      <c r="B78" s="165" t="s">
        <v>173</v>
      </c>
      <c r="C78" s="165" t="s">
        <v>174</v>
      </c>
      <c r="D78" s="165" t="s">
        <v>168</v>
      </c>
      <c r="E78" s="167"/>
      <c r="F78" s="168" t="s">
        <v>193</v>
      </c>
      <c r="G78" s="168" t="s">
        <v>194</v>
      </c>
      <c r="H78" s="168"/>
      <c r="I78" s="168"/>
      <c r="U78" s="119">
        <v>1669</v>
      </c>
      <c r="V78" s="119">
        <v>1412</v>
      </c>
      <c r="W78" s="119">
        <v>1266</v>
      </c>
      <c r="X78" s="118">
        <v>1160</v>
      </c>
      <c r="Y78" s="118">
        <v>1249</v>
      </c>
      <c r="Z78" s="118">
        <v>1258.75</v>
      </c>
      <c r="AA78" s="118">
        <v>1269.21</v>
      </c>
      <c r="AB78" s="119">
        <v>1393</v>
      </c>
      <c r="AC78" s="119">
        <v>1772</v>
      </c>
      <c r="AD78" s="119">
        <v>1799</v>
      </c>
      <c r="AE78" s="119">
        <v>1802</v>
      </c>
      <c r="AF78" s="119">
        <v>1933.5741250589176</v>
      </c>
      <c r="AG78" s="119">
        <v>1615</v>
      </c>
      <c r="AH78" s="119">
        <v>1547</v>
      </c>
      <c r="AI78" s="119">
        <v>1487.5</v>
      </c>
      <c r="AJ78" s="119">
        <v>1487.5</v>
      </c>
      <c r="AK78" s="119">
        <v>1505.35</v>
      </c>
      <c r="AL78" s="119">
        <v>1523.4141999999999</v>
      </c>
      <c r="AM78" s="119">
        <v>1541.6951703999998</v>
      </c>
      <c r="AN78" s="119">
        <v>1547.8619510816</v>
      </c>
      <c r="AO78" s="119">
        <v>1554.0533988859263</v>
      </c>
      <c r="AP78" s="119">
        <v>1560.2696124814699</v>
      </c>
      <c r="AQ78" s="119">
        <v>1566.5106909313959</v>
      </c>
      <c r="AR78" s="119">
        <v>1572.7767336951215</v>
      </c>
      <c r="AS78" s="119">
        <v>1579.0678406299021</v>
      </c>
      <c r="AT78" s="119">
        <v>1585.3841119924216</v>
      </c>
      <c r="AU78" s="119">
        <v>1591.7256484403913</v>
      </c>
      <c r="AV78" s="119">
        <v>1598.0925510341528</v>
      </c>
      <c r="AW78" s="119">
        <v>1604.4849212382896</v>
      </c>
      <c r="AX78" s="119">
        <v>1610.9028609232428</v>
      </c>
      <c r="AY78" s="119">
        <v>1617.3464723669358</v>
      </c>
      <c r="AZ78" s="119">
        <v>1623.8158582564035</v>
      </c>
      <c r="BA78" s="119">
        <v>1630.3111216894292</v>
      </c>
      <c r="BB78" s="119">
        <v>1636.832366176187</v>
      </c>
      <c r="BC78" s="119">
        <v>1643.3796956408917</v>
      </c>
      <c r="BD78" s="119">
        <v>1649.9532144234552</v>
      </c>
      <c r="BE78" s="119">
        <v>1656.5530272811491</v>
      </c>
      <c r="BF78" s="119">
        <v>1663.1792393902736</v>
      </c>
      <c r="BG78" s="119">
        <v>1669.8319563478346</v>
      </c>
    </row>
    <row r="79" spans="1:59" ht="13.75" customHeight="1">
      <c r="A79" s="171" t="s">
        <v>166</v>
      </c>
      <c r="B79" s="165" t="s">
        <v>173</v>
      </c>
      <c r="C79" s="165" t="s">
        <v>174</v>
      </c>
      <c r="D79" s="165" t="s">
        <v>168</v>
      </c>
      <c r="E79" s="167"/>
      <c r="F79" s="168" t="s">
        <v>195</v>
      </c>
      <c r="G79" s="168" t="s">
        <v>4</v>
      </c>
      <c r="H79" s="168"/>
      <c r="I79" s="168"/>
      <c r="U79" s="119">
        <v>7953</v>
      </c>
      <c r="V79" s="119">
        <v>7349</v>
      </c>
      <c r="W79" s="119">
        <v>6827</v>
      </c>
      <c r="X79" s="118">
        <v>5493</v>
      </c>
      <c r="Y79" s="118">
        <v>4871</v>
      </c>
      <c r="Z79" s="118">
        <v>6173</v>
      </c>
      <c r="AA79" s="118">
        <v>6544</v>
      </c>
      <c r="AB79" s="118">
        <v>6005</v>
      </c>
      <c r="AC79" s="119">
        <v>6186</v>
      </c>
      <c r="AD79" s="119">
        <v>9320</v>
      </c>
      <c r="AE79" s="118">
        <v>8805</v>
      </c>
      <c r="AF79" s="118">
        <v>8650</v>
      </c>
      <c r="AG79" s="118">
        <v>7182.5</v>
      </c>
      <c r="AH79" s="118">
        <v>7310</v>
      </c>
      <c r="AI79" s="118">
        <v>7395</v>
      </c>
      <c r="AJ79" s="118">
        <v>7480</v>
      </c>
      <c r="AK79" s="118">
        <v>7599.6799999999994</v>
      </c>
      <c r="AL79" s="118">
        <v>7721.274879999999</v>
      </c>
      <c r="AM79" s="118">
        <v>7844.8152780799992</v>
      </c>
      <c r="AN79" s="119">
        <v>7923.2634308607985</v>
      </c>
      <c r="AO79" s="119">
        <v>8002.4960651694073</v>
      </c>
      <c r="AP79" s="119">
        <v>8082.5210258211018</v>
      </c>
      <c r="AQ79" s="119">
        <v>8163.3462360793119</v>
      </c>
      <c r="AR79" s="119">
        <v>8244.9796984401055</v>
      </c>
      <c r="AS79" s="119">
        <v>8327.429495424507</v>
      </c>
      <c r="AT79" s="119">
        <v>8410.7037903787514</v>
      </c>
      <c r="AU79" s="119">
        <v>8494.8108282825397</v>
      </c>
      <c r="AV79" s="119">
        <v>8579.7589365653639</v>
      </c>
      <c r="AW79" s="119">
        <v>8665.5565259310188</v>
      </c>
      <c r="AX79" s="119">
        <v>8752.2120911903276</v>
      </c>
      <c r="AY79" s="119">
        <v>8839.734212102232</v>
      </c>
      <c r="AZ79" s="119">
        <v>8928.1315542232533</v>
      </c>
      <c r="BA79" s="119">
        <v>9017.4128697654869</v>
      </c>
      <c r="BB79" s="119">
        <v>9107.5869984631427</v>
      </c>
      <c r="BC79" s="119">
        <v>9198.6628684477746</v>
      </c>
      <c r="BD79" s="119">
        <v>9290.6494971322518</v>
      </c>
      <c r="BE79" s="119">
        <v>9383.5559921035747</v>
      </c>
      <c r="BF79" s="119">
        <v>9477.3915520246101</v>
      </c>
      <c r="BG79" s="119">
        <v>9572.1654675448572</v>
      </c>
    </row>
    <row r="80" spans="1:59" ht="13.75" customHeight="1">
      <c r="A80" s="171" t="s">
        <v>166</v>
      </c>
      <c r="B80" s="165" t="s">
        <v>173</v>
      </c>
      <c r="C80" s="165" t="s">
        <v>176</v>
      </c>
      <c r="D80" s="165" t="s">
        <v>168</v>
      </c>
      <c r="E80" s="167"/>
      <c r="F80" s="168" t="s">
        <v>196</v>
      </c>
      <c r="G80" s="168" t="s">
        <v>4</v>
      </c>
      <c r="H80" s="168"/>
      <c r="I80" s="168"/>
      <c r="U80" s="119">
        <v>318</v>
      </c>
      <c r="V80" s="119">
        <v>296</v>
      </c>
      <c r="W80" s="119">
        <v>273</v>
      </c>
      <c r="X80" s="118">
        <v>179.99403380856606</v>
      </c>
      <c r="Y80" s="118">
        <v>176.84500683424548</v>
      </c>
      <c r="Z80" s="118">
        <v>250.7955832171543</v>
      </c>
      <c r="AA80" s="118">
        <v>279.41005419985783</v>
      </c>
      <c r="AB80" s="118">
        <v>254.41696276790017</v>
      </c>
      <c r="AC80" s="118">
        <v>236.89839513417959</v>
      </c>
      <c r="AD80" s="118">
        <v>373.06568275027195</v>
      </c>
      <c r="AE80" s="118">
        <v>373.06568275027195</v>
      </c>
      <c r="AF80" s="118">
        <v>322.5160407418071</v>
      </c>
      <c r="AG80" s="118">
        <v>252.06214231609579</v>
      </c>
      <c r="AH80" s="118">
        <v>252.18858807282086</v>
      </c>
      <c r="AI80" s="118">
        <v>254.186672111842</v>
      </c>
      <c r="AJ80" s="118">
        <v>253.17144825624075</v>
      </c>
      <c r="AK80" s="118">
        <v>256.93324764819624</v>
      </c>
      <c r="AL80" s="118">
        <v>260.75066172861216</v>
      </c>
      <c r="AM80" s="118">
        <v>264.62451629507854</v>
      </c>
      <c r="AN80" s="119">
        <v>268.5556494614226</v>
      </c>
      <c r="AO80" s="119">
        <v>272.54491184221808</v>
      </c>
      <c r="AP80" s="119">
        <v>276.59316674006919</v>
      </c>
      <c r="AQ80" s="119">
        <v>280.70129033571436</v>
      </c>
      <c r="AR80" s="119">
        <v>284.87017188099014</v>
      </c>
      <c r="AS80" s="119">
        <v>289.10071389470011</v>
      </c>
      <c r="AT80" s="119">
        <v>293.39383236143118</v>
      </c>
      <c r="AU80" s="119">
        <v>297.75045693336278</v>
      </c>
      <c r="AV80" s="119">
        <v>302.17153113511461</v>
      </c>
      <c r="AW80" s="119">
        <v>306.65801257167692</v>
      </c>
      <c r="AX80" s="119">
        <v>311.21087313947299</v>
      </c>
      <c r="AY80" s="119">
        <v>315.83109924059806</v>
      </c>
      <c r="AZ80" s="119">
        <v>320.51969200028469</v>
      </c>
      <c r="BA80" s="119">
        <v>325.27766748764316</v>
      </c>
      <c r="BB80" s="119">
        <v>330.10605693972536</v>
      </c>
      <c r="BC80" s="119">
        <v>335.00590698896394</v>
      </c>
      <c r="BD80" s="119">
        <v>339.97827989403629</v>
      </c>
      <c r="BE80" s="119">
        <v>345.02425377420644</v>
      </c>
      <c r="BF80" s="119">
        <v>350.14492284719648</v>
      </c>
      <c r="BG80" s="119">
        <v>355.34139767064204</v>
      </c>
    </row>
    <row r="81" spans="1:59" ht="13.75" customHeight="1">
      <c r="A81" s="171" t="s">
        <v>166</v>
      </c>
      <c r="B81" s="165" t="s">
        <v>173</v>
      </c>
      <c r="C81" s="165" t="s">
        <v>176</v>
      </c>
      <c r="D81" s="165" t="s">
        <v>168</v>
      </c>
      <c r="E81" s="167"/>
      <c r="F81" s="168" t="s">
        <v>197</v>
      </c>
      <c r="G81" s="168" t="s">
        <v>4</v>
      </c>
      <c r="H81" s="168"/>
      <c r="I81" s="168"/>
      <c r="U81" s="119"/>
      <c r="V81" s="119"/>
      <c r="W81" s="119"/>
      <c r="X81" s="118">
        <v>210.33333333333334</v>
      </c>
      <c r="Y81" s="118">
        <v>204.33333333333334</v>
      </c>
      <c r="Z81" s="118">
        <v>268.91666666666669</v>
      </c>
      <c r="AA81" s="118">
        <v>301.5</v>
      </c>
      <c r="AB81" s="118">
        <v>255</v>
      </c>
      <c r="AC81" s="118">
        <v>262</v>
      </c>
      <c r="AD81" s="118">
        <v>421</v>
      </c>
      <c r="AE81" s="118">
        <v>387.08333333333331</v>
      </c>
      <c r="AF81" s="118">
        <v>327.16666666666669</v>
      </c>
      <c r="AG81" s="118">
        <v>271.88932715821909</v>
      </c>
      <c r="AH81" s="118">
        <v>269.5232109006339</v>
      </c>
      <c r="AI81" s="118">
        <v>271.63882929489154</v>
      </c>
      <c r="AJ81" s="118">
        <v>270.56388638896084</v>
      </c>
      <c r="AK81" s="118">
        <v>274.54696809809019</v>
      </c>
      <c r="AL81" s="118">
        <v>278.58893594794233</v>
      </c>
      <c r="AM81" s="118">
        <v>282.69066431243607</v>
      </c>
      <c r="AN81" s="119">
        <v>286.85304060621218</v>
      </c>
      <c r="AO81" s="119">
        <v>291.07696547999564</v>
      </c>
      <c r="AP81" s="119">
        <v>295.36335301889682</v>
      </c>
      <c r="AQ81" s="119">
        <v>299.71313094369754</v>
      </c>
      <c r="AR81" s="119">
        <v>304.12724081516603</v>
      </c>
      <c r="AS81" s="119">
        <v>308.60663824144717</v>
      </c>
      <c r="AT81" s="119">
        <v>313.1522930885742</v>
      </c>
      <c r="AU81" s="119">
        <v>317.76518969414883</v>
      </c>
      <c r="AV81" s="119">
        <v>322.44632708423899</v>
      </c>
      <c r="AW81" s="119">
        <v>327.19671919354028</v>
      </c>
      <c r="AX81" s="119">
        <v>332.01739508885379</v>
      </c>
      <c r="AY81" s="119">
        <v>336.90939919592734</v>
      </c>
      <c r="AZ81" s="119">
        <v>341.87379152971323</v>
      </c>
      <c r="BA81" s="119">
        <v>346.91164792809275</v>
      </c>
      <c r="BB81" s="119">
        <v>352.024060289121</v>
      </c>
      <c r="BC81" s="119">
        <v>357.21213681184418</v>
      </c>
      <c r="BD81" s="119">
        <v>362.47700224074435</v>
      </c>
      <c r="BE81" s="119">
        <v>367.81979811386566</v>
      </c>
      <c r="BF81" s="119">
        <v>373.2416830146787</v>
      </c>
      <c r="BG81" s="119">
        <v>378.74383282773863</v>
      </c>
    </row>
    <row r="82" spans="1:59" ht="13.75" customHeight="1">
      <c r="A82" s="171" t="s">
        <v>166</v>
      </c>
      <c r="B82" s="165" t="s">
        <v>173</v>
      </c>
      <c r="C82" s="165" t="s">
        <v>174</v>
      </c>
      <c r="D82" s="165" t="s">
        <v>168</v>
      </c>
      <c r="E82" s="167"/>
      <c r="F82" s="168" t="s">
        <v>198</v>
      </c>
      <c r="G82" s="168" t="s">
        <v>4</v>
      </c>
      <c r="H82" s="168"/>
      <c r="I82" s="168"/>
      <c r="U82" s="119">
        <v>17519</v>
      </c>
      <c r="V82" s="119">
        <v>15089</v>
      </c>
      <c r="W82" s="119">
        <v>16960</v>
      </c>
      <c r="X82" s="118">
        <v>11877</v>
      </c>
      <c r="Y82" s="118">
        <v>9645</v>
      </c>
      <c r="Z82" s="118">
        <v>10471</v>
      </c>
      <c r="AA82" s="118">
        <v>13186</v>
      </c>
      <c r="AB82" s="119">
        <v>13944</v>
      </c>
      <c r="AC82" s="119">
        <v>13803</v>
      </c>
      <c r="AD82" s="119">
        <v>18474</v>
      </c>
      <c r="AE82" s="119">
        <v>25623</v>
      </c>
      <c r="AF82" s="119">
        <v>22369.225097204508</v>
      </c>
      <c r="AG82" s="119">
        <v>16745</v>
      </c>
      <c r="AH82" s="119">
        <v>16830</v>
      </c>
      <c r="AI82" s="119">
        <v>17000</v>
      </c>
      <c r="AJ82" s="119">
        <v>17272</v>
      </c>
      <c r="AK82" s="119">
        <v>17548.351999999999</v>
      </c>
      <c r="AL82" s="119">
        <v>17829.125631999996</v>
      </c>
      <c r="AM82" s="119">
        <v>18114.391642111997</v>
      </c>
      <c r="AN82" s="119">
        <v>18367.993125101566</v>
      </c>
      <c r="AO82" s="119">
        <v>18625.145028852989</v>
      </c>
      <c r="AP82" s="119">
        <v>18885.897059256931</v>
      </c>
      <c r="AQ82" s="119">
        <v>19150.29961808653</v>
      </c>
      <c r="AR82" s="119">
        <v>19418.40381273974</v>
      </c>
      <c r="AS82" s="119">
        <v>19690.261466118096</v>
      </c>
      <c r="AT82" s="119">
        <v>19965.92512664375</v>
      </c>
      <c r="AU82" s="119">
        <v>20245.448078416761</v>
      </c>
      <c r="AV82" s="119">
        <v>20528.884351514596</v>
      </c>
      <c r="AW82" s="119">
        <v>20816.288732435802</v>
      </c>
      <c r="AX82" s="119">
        <v>21107.716774689899</v>
      </c>
      <c r="AY82" s="119">
        <v>21403.224809535561</v>
      </c>
      <c r="AZ82" s="119">
        <v>21702.869956869061</v>
      </c>
      <c r="BA82" s="119">
        <v>22006.710136265228</v>
      </c>
      <c r="BB82" s="119">
        <v>22314.804078172943</v>
      </c>
      <c r="BC82" s="119">
        <v>22627.211335267362</v>
      </c>
      <c r="BD82" s="119">
        <v>22943.992293961106</v>
      </c>
      <c r="BE82" s="119">
        <v>23265.208186076561</v>
      </c>
      <c r="BF82" s="119">
        <v>23590.921100681637</v>
      </c>
      <c r="BG82" s="119">
        <v>23921.193996091177</v>
      </c>
    </row>
    <row r="83" spans="1:59" ht="13.75" customHeight="1">
      <c r="A83" s="171" t="s">
        <v>166</v>
      </c>
      <c r="B83" s="165" t="s">
        <v>173</v>
      </c>
      <c r="C83" s="165" t="s">
        <v>176</v>
      </c>
      <c r="D83" s="165" t="s">
        <v>168</v>
      </c>
      <c r="E83" s="167"/>
      <c r="F83" s="168" t="s">
        <v>199</v>
      </c>
      <c r="G83" s="168" t="s">
        <v>4</v>
      </c>
      <c r="H83" s="168"/>
      <c r="I83" s="168" t="s">
        <v>181</v>
      </c>
      <c r="U83" s="119">
        <v>113</v>
      </c>
      <c r="V83" s="119">
        <v>102</v>
      </c>
      <c r="W83" s="119">
        <v>73</v>
      </c>
      <c r="X83" s="118">
        <v>51.846830279905781</v>
      </c>
      <c r="Y83" s="118">
        <v>48.906833588245064</v>
      </c>
      <c r="Z83" s="118">
        <v>75.438337504553118</v>
      </c>
      <c r="AA83" s="118">
        <v>81.127478671118411</v>
      </c>
      <c r="AB83" s="119">
        <v>105</v>
      </c>
      <c r="AC83" s="119">
        <v>87</v>
      </c>
      <c r="AD83" s="119">
        <v>157</v>
      </c>
      <c r="AE83" s="119">
        <v>107.25225838659343</v>
      </c>
      <c r="AF83" s="119">
        <v>87.982582353451846</v>
      </c>
      <c r="AG83" s="119">
        <v>80.513118445610743</v>
      </c>
      <c r="AH83" s="119">
        <v>84.446870212834199</v>
      </c>
      <c r="AI83" s="119">
        <v>85.482555045435362</v>
      </c>
      <c r="AJ83" s="119">
        <v>86.496758972142061</v>
      </c>
      <c r="AK83" s="119">
        <v>87.519076530262396</v>
      </c>
      <c r="AL83" s="119">
        <v>88.549572628847713</v>
      </c>
      <c r="AM83" s="119">
        <v>89.588312696221635</v>
      </c>
      <c r="AN83" s="119">
        <v>90.636003518418818</v>
      </c>
      <c r="AO83" s="119">
        <v>91.692078430530685</v>
      </c>
      <c r="AP83" s="119">
        <v>92.756604515529958</v>
      </c>
      <c r="AQ83" s="119">
        <v>93.829649393094073</v>
      </c>
      <c r="AR83" s="119">
        <v>94.911281223899053</v>
      </c>
      <c r="AS83" s="119">
        <v>96.001568713947734</v>
      </c>
      <c r="AT83" s="119">
        <v>97.100581118932439</v>
      </c>
      <c r="AU83" s="119">
        <v>98.208388248632829</v>
      </c>
      <c r="AV83" s="119">
        <v>99.325060471348408</v>
      </c>
      <c r="AW83" s="119">
        <v>100.4506687183672</v>
      </c>
      <c r="AX83" s="119">
        <v>101.5852844884698</v>
      </c>
      <c r="AY83" s="119">
        <v>102.72897985246932</v>
      </c>
      <c r="AZ83" s="119">
        <v>103.88182745778771</v>
      </c>
      <c r="BA83" s="119">
        <v>105.0439005330694</v>
      </c>
      <c r="BB83" s="119">
        <v>106.2152728928304</v>
      </c>
      <c r="BC83" s="119">
        <v>107.39669932197593</v>
      </c>
      <c r="BD83" s="119">
        <v>108.5875771625546</v>
      </c>
      <c r="BE83" s="119">
        <v>109.78798202585789</v>
      </c>
      <c r="BF83" s="119">
        <v>110.99799012806764</v>
      </c>
      <c r="BG83" s="119">
        <v>112.21767829509503</v>
      </c>
    </row>
    <row r="84" spans="1:59" ht="13.75" customHeight="1">
      <c r="A84" s="171" t="s">
        <v>166</v>
      </c>
      <c r="B84" s="165" t="s">
        <v>173</v>
      </c>
      <c r="C84" s="165" t="s">
        <v>176</v>
      </c>
      <c r="D84" s="165" t="s">
        <v>168</v>
      </c>
      <c r="E84" s="167"/>
      <c r="F84" s="168" t="s">
        <v>200</v>
      </c>
      <c r="G84" s="168" t="s">
        <v>4</v>
      </c>
      <c r="H84" s="168"/>
      <c r="I84" s="168" t="s">
        <v>181</v>
      </c>
      <c r="U84" s="119">
        <v>112</v>
      </c>
      <c r="V84" s="119">
        <v>107</v>
      </c>
      <c r="W84" s="119">
        <v>101</v>
      </c>
      <c r="X84" s="118">
        <v>66.916666666666671</v>
      </c>
      <c r="Y84" s="118">
        <v>68</v>
      </c>
      <c r="Z84" s="118">
        <v>95.541666666666671</v>
      </c>
      <c r="AA84" s="118">
        <v>105.875</v>
      </c>
      <c r="AB84" s="119">
        <v>125</v>
      </c>
      <c r="AC84" s="119">
        <v>126</v>
      </c>
      <c r="AD84" s="119">
        <v>178</v>
      </c>
      <c r="AE84" s="119">
        <v>159.00162133568847</v>
      </c>
      <c r="AF84" s="119">
        <v>132.41595126013354</v>
      </c>
      <c r="AG84" s="119">
        <v>116.58148201629018</v>
      </c>
      <c r="AH84" s="119">
        <v>117.98473409534742</v>
      </c>
      <c r="AI84" s="119">
        <v>119.02106574262028</v>
      </c>
      <c r="AJ84" s="119">
        <v>120.03590306856125</v>
      </c>
      <c r="AK84" s="119">
        <v>121.05885909310973</v>
      </c>
      <c r="AL84" s="119">
        <v>122.08999876585462</v>
      </c>
      <c r="AM84" s="119">
        <v>123.12938755598141</v>
      </c>
      <c r="AN84" s="119">
        <v>124.17740533444601</v>
      </c>
      <c r="AO84" s="119">
        <v>125.23380851065039</v>
      </c>
      <c r="AP84" s="119">
        <v>126.29866417279852</v>
      </c>
      <c r="AQ84" s="119">
        <v>127.37203994582009</v>
      </c>
      <c r="AR84" s="119">
        <v>128.45400399566438</v>
      </c>
      <c r="AS84" s="119">
        <v>129.54462503362851</v>
      </c>
      <c r="AT84" s="119">
        <v>130.64397232072037</v>
      </c>
      <c r="AU84" s="119">
        <v>131.75211567205628</v>
      </c>
      <c r="AV84" s="119">
        <v>132.86912546129395</v>
      </c>
      <c r="AW84" s="119">
        <v>133.99507262510093</v>
      </c>
      <c r="AX84" s="119">
        <v>135.13002866765885</v>
      </c>
      <c r="AY84" s="119">
        <v>136.27406566520349</v>
      </c>
      <c r="AZ84" s="119">
        <v>137.42725627060125</v>
      </c>
      <c r="BA84" s="119">
        <v>138.58967371796254</v>
      </c>
      <c r="BB84" s="119">
        <v>139.76139182729153</v>
      </c>
      <c r="BC84" s="119">
        <v>140.94281825643705</v>
      </c>
      <c r="BD84" s="119">
        <v>142.1336960970157</v>
      </c>
      <c r="BE84" s="119">
        <v>143.33410096031901</v>
      </c>
      <c r="BF84" s="119">
        <v>144.54410906252875</v>
      </c>
      <c r="BG84" s="119">
        <v>145.76379722955616</v>
      </c>
    </row>
    <row r="85" spans="1:59" ht="13.75" customHeight="1">
      <c r="A85" s="171" t="s">
        <v>166</v>
      </c>
      <c r="B85" s="165" t="s">
        <v>173</v>
      </c>
      <c r="C85" s="165" t="s">
        <v>174</v>
      </c>
      <c r="D85" s="165" t="s">
        <v>168</v>
      </c>
      <c r="E85" s="167"/>
      <c r="F85" s="168" t="s">
        <v>201</v>
      </c>
      <c r="G85" s="168" t="s">
        <v>4</v>
      </c>
      <c r="H85" s="168"/>
      <c r="I85" s="168"/>
      <c r="U85" s="119">
        <v>2074</v>
      </c>
      <c r="V85" s="119">
        <v>2155</v>
      </c>
      <c r="W85" s="119">
        <v>2112</v>
      </c>
      <c r="X85" s="118">
        <v>1794</v>
      </c>
      <c r="Y85" s="118">
        <v>1875</v>
      </c>
      <c r="Z85" s="118">
        <v>2250</v>
      </c>
      <c r="AA85" s="118">
        <v>2248</v>
      </c>
      <c r="AB85" s="119">
        <v>1999</v>
      </c>
      <c r="AC85" s="119">
        <v>1826</v>
      </c>
      <c r="AD85" s="119">
        <v>2202</v>
      </c>
      <c r="AE85" s="119">
        <v>2147</v>
      </c>
      <c r="AF85" s="119">
        <v>2151.1357648809521</v>
      </c>
      <c r="AG85" s="119">
        <v>1785</v>
      </c>
      <c r="AH85" s="119">
        <v>1785</v>
      </c>
      <c r="AI85" s="119">
        <v>1814.405126107936</v>
      </c>
      <c r="AJ85" s="119">
        <v>1843.4356081256631</v>
      </c>
      <c r="AK85" s="119">
        <v>1872.9305778556736</v>
      </c>
      <c r="AL85" s="119">
        <v>1902.8974671013643</v>
      </c>
      <c r="AM85" s="119">
        <v>1933.3438265749862</v>
      </c>
      <c r="AN85" s="119">
        <v>1933.3438265749862</v>
      </c>
      <c r="AO85" s="119">
        <v>1933.3438265749862</v>
      </c>
      <c r="AP85" s="119">
        <v>1933.3438265749862</v>
      </c>
      <c r="AQ85" s="119">
        <v>1933.3438265749862</v>
      </c>
      <c r="AR85" s="119">
        <v>1933.3438265749862</v>
      </c>
      <c r="AS85" s="119">
        <v>1933.3438265749862</v>
      </c>
      <c r="AT85" s="119">
        <v>1933.3438265749862</v>
      </c>
      <c r="AU85" s="119">
        <v>1933.3438265749862</v>
      </c>
      <c r="AV85" s="119">
        <v>1933.3438265749862</v>
      </c>
      <c r="AW85" s="119">
        <v>1933.3438265749862</v>
      </c>
      <c r="AX85" s="119">
        <v>1933.3438265749862</v>
      </c>
      <c r="AY85" s="119">
        <v>1933.3438265749862</v>
      </c>
      <c r="AZ85" s="119">
        <v>1933.3438265749862</v>
      </c>
      <c r="BA85" s="119">
        <v>1933.3438265749862</v>
      </c>
      <c r="BB85" s="119">
        <v>1933.3438265749862</v>
      </c>
      <c r="BC85" s="119">
        <v>1933.3438265749862</v>
      </c>
      <c r="BD85" s="119">
        <v>1933.3438265749862</v>
      </c>
      <c r="BE85" s="119">
        <v>1933.3438265749862</v>
      </c>
      <c r="BF85" s="119">
        <v>1933.3438265749862</v>
      </c>
      <c r="BG85" s="119">
        <v>1933.3438265749862</v>
      </c>
    </row>
    <row r="86" spans="1:59" ht="13.75" customHeight="1">
      <c r="A86" s="171" t="s">
        <v>166</v>
      </c>
      <c r="B86" s="165" t="s">
        <v>173</v>
      </c>
      <c r="C86" s="165" t="s">
        <v>174</v>
      </c>
      <c r="D86" s="165" t="s">
        <v>168</v>
      </c>
      <c r="E86" s="167"/>
      <c r="F86" s="168" t="s">
        <v>202</v>
      </c>
      <c r="G86" s="168" t="s">
        <v>194</v>
      </c>
      <c r="H86" s="168"/>
      <c r="I86" s="168"/>
      <c r="U86" s="119">
        <v>31.2</v>
      </c>
      <c r="V86" s="119">
        <v>23.9</v>
      </c>
      <c r="W86" s="119">
        <v>19.100000000000001</v>
      </c>
      <c r="X86" s="121">
        <v>15.7</v>
      </c>
      <c r="Y86" s="121">
        <v>17.116700000000002</v>
      </c>
      <c r="Z86" s="121">
        <v>17.074200000000001</v>
      </c>
      <c r="AA86" s="118">
        <v>15.71</v>
      </c>
      <c r="AB86" s="119">
        <v>16</v>
      </c>
      <c r="AC86" s="119">
        <v>21</v>
      </c>
      <c r="AD86" s="119">
        <v>25</v>
      </c>
      <c r="AE86" s="119">
        <v>22</v>
      </c>
      <c r="AF86" s="119">
        <v>23.551874600183826</v>
      </c>
      <c r="AG86" s="119">
        <v>20.145</v>
      </c>
      <c r="AH86" s="119">
        <v>19.974999999999998</v>
      </c>
      <c r="AI86" s="119">
        <v>19.805</v>
      </c>
      <c r="AJ86" s="119">
        <v>20.082270000000001</v>
      </c>
      <c r="AK86" s="119">
        <v>20.363421779999999</v>
      </c>
      <c r="AL86" s="119">
        <v>20.64850968492</v>
      </c>
      <c r="AM86" s="119">
        <v>20.937588820508882</v>
      </c>
      <c r="AN86" s="119">
        <v>21.146964708713973</v>
      </c>
      <c r="AO86" s="119">
        <v>21.358434355801112</v>
      </c>
      <c r="AP86" s="119">
        <v>21.572018699359123</v>
      </c>
      <c r="AQ86" s="119">
        <v>21.787738886352717</v>
      </c>
      <c r="AR86" s="119">
        <v>22.005616275216244</v>
      </c>
      <c r="AS86" s="119">
        <v>22.225672437968406</v>
      </c>
      <c r="AT86" s="119">
        <v>22.447929162348093</v>
      </c>
      <c r="AU86" s="119">
        <v>22.672408453971574</v>
      </c>
      <c r="AV86" s="119">
        <v>22.899132538511289</v>
      </c>
      <c r="AW86" s="119">
        <v>23.128123863896402</v>
      </c>
      <c r="AX86" s="119">
        <v>23.359405102535366</v>
      </c>
      <c r="AY86" s="119">
        <v>23.592999153560719</v>
      </c>
      <c r="AZ86" s="119">
        <v>23.828929145096328</v>
      </c>
      <c r="BA86" s="119">
        <v>24.067218436547293</v>
      </c>
      <c r="BB86" s="119">
        <v>24.307890620912765</v>
      </c>
      <c r="BC86" s="119">
        <v>24.550969527121897</v>
      </c>
      <c r="BD86" s="119">
        <v>24.796479222393113</v>
      </c>
      <c r="BE86" s="119">
        <v>25.044444014617046</v>
      </c>
      <c r="BF86" s="119">
        <v>25.294888454763218</v>
      </c>
      <c r="BG86" s="119">
        <v>25.547837339310853</v>
      </c>
    </row>
    <row r="87" spans="1:59" ht="13.75" customHeight="1">
      <c r="A87" s="171" t="s">
        <v>166</v>
      </c>
      <c r="B87" s="165" t="s">
        <v>173</v>
      </c>
      <c r="C87" s="165" t="s">
        <v>179</v>
      </c>
      <c r="D87" s="165" t="s">
        <v>168</v>
      </c>
      <c r="E87" s="167"/>
      <c r="F87" s="168" t="s">
        <v>203</v>
      </c>
      <c r="G87" s="168" t="s">
        <v>4</v>
      </c>
      <c r="H87" s="168"/>
      <c r="I87" s="168" t="s">
        <v>181</v>
      </c>
      <c r="U87" s="119">
        <v>1777.5638861281996</v>
      </c>
      <c r="V87" s="119">
        <v>1777.5638861281996</v>
      </c>
      <c r="W87" s="119">
        <v>1813.1151638507636</v>
      </c>
      <c r="X87" s="118">
        <v>1272</v>
      </c>
      <c r="Y87" s="118">
        <v>1179</v>
      </c>
      <c r="Z87" s="118">
        <v>1373</v>
      </c>
      <c r="AA87" s="118">
        <v>1083</v>
      </c>
      <c r="AB87" s="118">
        <v>979</v>
      </c>
      <c r="AC87" s="118">
        <v>840</v>
      </c>
      <c r="AD87" s="118">
        <v>923</v>
      </c>
      <c r="AE87" s="118">
        <v>995.50235037700008</v>
      </c>
      <c r="AF87" s="118">
        <v>971.23676477967842</v>
      </c>
      <c r="AG87" s="118">
        <v>834.1891659160824</v>
      </c>
      <c r="AH87" s="118">
        <v>835.07657509017872</v>
      </c>
      <c r="AI87" s="118">
        <v>843.56179724694209</v>
      </c>
      <c r="AJ87" s="118">
        <v>847.70825973142178</v>
      </c>
      <c r="AK87" s="118">
        <v>855.91023042029371</v>
      </c>
      <c r="AL87" s="118">
        <v>864.21010264485437</v>
      </c>
      <c r="AM87" s="118">
        <v>872.60917668161915</v>
      </c>
      <c r="AN87" s="119">
        <v>881.10877112559558</v>
      </c>
      <c r="AO87" s="119">
        <v>889.71022315631546</v>
      </c>
      <c r="AP87" s="119">
        <v>898.41488880779445</v>
      </c>
      <c r="AQ87" s="119">
        <v>907.22414324247472</v>
      </c>
      <c r="AR87" s="119">
        <v>916.13938102921315</v>
      </c>
      <c r="AS87" s="119">
        <v>925.16201642537442</v>
      </c>
      <c r="AT87" s="119">
        <v>934.29348366308898</v>
      </c>
      <c r="AU87" s="119">
        <v>943.53523723973922</v>
      </c>
      <c r="AV87" s="119">
        <v>952.88875221273827</v>
      </c>
      <c r="AW87" s="119">
        <v>962.35552449865975</v>
      </c>
      <c r="AX87" s="119">
        <v>971.93707117679253</v>
      </c>
      <c r="AY87" s="119">
        <v>981.63493079717807</v>
      </c>
      <c r="AZ87" s="119">
        <v>991.45066369319909</v>
      </c>
      <c r="BA87" s="119">
        <v>1001.3858522987944</v>
      </c>
      <c r="BB87" s="119">
        <v>1011.442101470358</v>
      </c>
      <c r="BC87" s="119">
        <v>1021.6514615531436</v>
      </c>
      <c r="BD87" s="119">
        <v>1031.9854047879173</v>
      </c>
      <c r="BE87" s="119">
        <v>1042.4456072346368</v>
      </c>
      <c r="BF87" s="119">
        <v>1053.0337687272693</v>
      </c>
      <c r="BG87" s="119">
        <v>1063.7516132203373</v>
      </c>
    </row>
    <row r="88" spans="1:59" ht="13.75" customHeight="1">
      <c r="A88" s="171" t="s">
        <v>166</v>
      </c>
      <c r="B88" s="165" t="s">
        <v>173</v>
      </c>
      <c r="C88" s="165" t="s">
        <v>174</v>
      </c>
      <c r="D88" s="165" t="s">
        <v>168</v>
      </c>
      <c r="E88" s="167"/>
      <c r="F88" s="168" t="s">
        <v>204</v>
      </c>
      <c r="G88" s="168" t="s">
        <v>4</v>
      </c>
      <c r="H88" s="168"/>
      <c r="I88" s="168"/>
      <c r="U88" s="119"/>
      <c r="V88" s="119"/>
      <c r="W88" s="119"/>
      <c r="X88" s="118">
        <v>0</v>
      </c>
      <c r="Y88" s="118">
        <v>845</v>
      </c>
      <c r="Z88" s="118">
        <v>1217</v>
      </c>
      <c r="AA88" s="118">
        <v>1179.3308679237093</v>
      </c>
      <c r="AB88" s="118">
        <v>1069.6653497942382</v>
      </c>
      <c r="AC88" s="118">
        <v>1014.6449180327866</v>
      </c>
      <c r="AD88" s="118">
        <v>1704.231833333333</v>
      </c>
      <c r="AE88" s="118">
        <v>1615.663729508198</v>
      </c>
      <c r="AF88" s="118">
        <v>1173.0888362628582</v>
      </c>
      <c r="AG88" s="118">
        <v>997.12551082342941</v>
      </c>
      <c r="AH88" s="118">
        <v>997.12551082342941</v>
      </c>
      <c r="AI88" s="118">
        <v>1007.3918278371563</v>
      </c>
      <c r="AJ88" s="118">
        <v>1017.4657461155278</v>
      </c>
      <c r="AK88" s="118">
        <v>1027.640403576683</v>
      </c>
      <c r="AL88" s="118">
        <v>1037.9168076124499</v>
      </c>
      <c r="AM88" s="118">
        <v>1048.2959756885743</v>
      </c>
      <c r="AN88" s="119">
        <v>1058.7789354454603</v>
      </c>
      <c r="AO88" s="119">
        <v>1069.3667247999149</v>
      </c>
      <c r="AP88" s="119">
        <v>1080.0603920479141</v>
      </c>
      <c r="AQ88" s="119">
        <v>1090.8609959683931</v>
      </c>
      <c r="AR88" s="119">
        <v>1101.769605928077</v>
      </c>
      <c r="AS88" s="119">
        <v>1112.787301987358</v>
      </c>
      <c r="AT88" s="119">
        <v>1123.9151750072315</v>
      </c>
      <c r="AU88" s="119">
        <v>1135.1543267573038</v>
      </c>
      <c r="AV88" s="119">
        <v>1146.5058700248769</v>
      </c>
      <c r="AW88" s="119">
        <v>1157.9709287251255</v>
      </c>
      <c r="AX88" s="119">
        <v>1169.550638012377</v>
      </c>
      <c r="AY88" s="119">
        <v>1181.2461443925008</v>
      </c>
      <c r="AZ88" s="119">
        <v>1193.0586058364258</v>
      </c>
      <c r="BA88" s="119">
        <v>1204.9891918947899</v>
      </c>
      <c r="BB88" s="119">
        <v>1217.039083813738</v>
      </c>
      <c r="BC88" s="119">
        <v>1229.2094746518753</v>
      </c>
      <c r="BD88" s="119">
        <v>1241.5015693983939</v>
      </c>
      <c r="BE88" s="119">
        <v>1253.9165850923778</v>
      </c>
      <c r="BF88" s="119">
        <v>1266.4557509433016</v>
      </c>
      <c r="BG88" s="119">
        <v>1279.1203084527347</v>
      </c>
    </row>
    <row r="89" spans="1:59" ht="13.75" customHeight="1">
      <c r="A89" s="171" t="s">
        <v>166</v>
      </c>
      <c r="B89" s="165" t="s">
        <v>173</v>
      </c>
      <c r="C89" s="165" t="s">
        <v>174</v>
      </c>
      <c r="D89" s="165" t="s">
        <v>168</v>
      </c>
      <c r="E89" s="167"/>
      <c r="F89" s="168" t="s">
        <v>205</v>
      </c>
      <c r="G89" s="168" t="s">
        <v>4</v>
      </c>
      <c r="H89" s="168"/>
      <c r="I89" s="168"/>
      <c r="U89" s="119"/>
      <c r="V89" s="119"/>
      <c r="W89" s="119"/>
      <c r="X89" s="118">
        <v>0</v>
      </c>
      <c r="Y89" s="118">
        <v>1028</v>
      </c>
      <c r="Z89" s="118">
        <v>1461</v>
      </c>
      <c r="AA89" s="118">
        <v>1386.4785956062919</v>
      </c>
      <c r="AB89" s="118">
        <v>1126.7142857142858</v>
      </c>
      <c r="AC89" s="118">
        <v>1079.1803278688524</v>
      </c>
      <c r="AD89" s="118">
        <v>1983.3541666666667</v>
      </c>
      <c r="AE89" s="118">
        <v>1850.983606557377</v>
      </c>
      <c r="AF89" s="118">
        <v>1460.8257598455341</v>
      </c>
      <c r="AG89" s="118">
        <v>1241.701895868704</v>
      </c>
      <c r="AH89" s="118">
        <v>1163.9894357174273</v>
      </c>
      <c r="AI89" s="118">
        <v>1167.2336522618973</v>
      </c>
      <c r="AJ89" s="118">
        <v>1178.905988784516</v>
      </c>
      <c r="AK89" s="118">
        <v>1190.6950486723613</v>
      </c>
      <c r="AL89" s="118">
        <v>1202.6019991590849</v>
      </c>
      <c r="AM89" s="118">
        <v>1214.628019150676</v>
      </c>
      <c r="AN89" s="119">
        <v>1226.7742993421828</v>
      </c>
      <c r="AO89" s="119">
        <v>1239.0420423356045</v>
      </c>
      <c r="AP89" s="119">
        <v>1251.4324627589608</v>
      </c>
      <c r="AQ89" s="119">
        <v>1263.9467873865503</v>
      </c>
      <c r="AR89" s="119">
        <v>1276.5862552604156</v>
      </c>
      <c r="AS89" s="119">
        <v>1289.35211781302</v>
      </c>
      <c r="AT89" s="119">
        <v>1302.2456389911501</v>
      </c>
      <c r="AU89" s="119">
        <v>1315.2680953810616</v>
      </c>
      <c r="AV89" s="119">
        <v>1328.4207763348722</v>
      </c>
      <c r="AW89" s="119">
        <v>1341.7049840982208</v>
      </c>
      <c r="AX89" s="119">
        <v>1355.1220339392032</v>
      </c>
      <c r="AY89" s="119">
        <v>1368.6732542785953</v>
      </c>
      <c r="AZ89" s="119">
        <v>1382.3599868213812</v>
      </c>
      <c r="BA89" s="119">
        <v>1396.1835866895949</v>
      </c>
      <c r="BB89" s="119">
        <v>1410.145422556491</v>
      </c>
      <c r="BC89" s="119">
        <v>1424.2468767820558</v>
      </c>
      <c r="BD89" s="119">
        <v>1438.4893455498764</v>
      </c>
      <c r="BE89" s="119">
        <v>1452.8742390053751</v>
      </c>
      <c r="BF89" s="119">
        <v>1467.4029813954289</v>
      </c>
      <c r="BG89" s="119">
        <v>1482.0770112093833</v>
      </c>
    </row>
    <row r="90" spans="1:59" ht="13.75" customHeight="1">
      <c r="A90" s="171" t="s">
        <v>166</v>
      </c>
      <c r="B90" s="165" t="s">
        <v>173</v>
      </c>
      <c r="C90" s="165" t="s">
        <v>174</v>
      </c>
      <c r="D90" s="165" t="s">
        <v>168</v>
      </c>
      <c r="E90" s="167"/>
      <c r="F90" s="168" t="s">
        <v>206</v>
      </c>
      <c r="G90" s="168" t="s">
        <v>207</v>
      </c>
      <c r="H90" s="168"/>
      <c r="I90" s="168" t="s">
        <v>181</v>
      </c>
      <c r="U90" s="119">
        <v>107.9</v>
      </c>
      <c r="V90" s="119">
        <v>99.6</v>
      </c>
      <c r="W90" s="119">
        <v>108.1</v>
      </c>
      <c r="X90" s="118">
        <v>96.8</v>
      </c>
      <c r="Y90" s="118">
        <v>103</v>
      </c>
      <c r="Z90" s="118">
        <v>120</v>
      </c>
      <c r="AA90" s="118">
        <v>125</v>
      </c>
      <c r="AB90" s="119">
        <v>87.81224489795909</v>
      </c>
      <c r="AC90" s="119">
        <v>81.192622950819555</v>
      </c>
      <c r="AD90" s="119">
        <v>124.68749999999989</v>
      </c>
      <c r="AE90" s="119">
        <v>190</v>
      </c>
      <c r="AF90" s="119">
        <v>227.67318319517966</v>
      </c>
      <c r="AG90" s="119">
        <v>144.5</v>
      </c>
      <c r="AH90" s="119">
        <v>127.5</v>
      </c>
      <c r="AI90" s="119">
        <v>110.5</v>
      </c>
      <c r="AJ90" s="119">
        <v>114.36508001080122</v>
      </c>
      <c r="AK90" s="119">
        <v>115.53808001080122</v>
      </c>
      <c r="AL90" s="119">
        <v>116.72515601080121</v>
      </c>
      <c r="AM90" s="119">
        <v>117.92647692280121</v>
      </c>
      <c r="AN90" s="119">
        <v>118.63403578433802</v>
      </c>
      <c r="AO90" s="119">
        <v>119.34583999904406</v>
      </c>
      <c r="AP90" s="119">
        <v>120.06191503903831</v>
      </c>
      <c r="AQ90" s="119">
        <v>120.78228652927255</v>
      </c>
      <c r="AR90" s="119">
        <v>121.50698024844819</v>
      </c>
      <c r="AS90" s="119">
        <v>122.23602212993889</v>
      </c>
      <c r="AT90" s="119">
        <v>122.96943826271851</v>
      </c>
      <c r="AU90" s="119">
        <v>123.70725489229483</v>
      </c>
      <c r="AV90" s="119">
        <v>124.44949842164861</v>
      </c>
      <c r="AW90" s="119">
        <v>125.1961954121785</v>
      </c>
      <c r="AX90" s="119">
        <v>125.94737258465157</v>
      </c>
      <c r="AY90" s="119">
        <v>126.70305682015947</v>
      </c>
      <c r="AZ90" s="119">
        <v>127.46327516108042</v>
      </c>
      <c r="BA90" s="119">
        <v>128.22805481204691</v>
      </c>
      <c r="BB90" s="119">
        <v>128.99742314091918</v>
      </c>
      <c r="BC90" s="119">
        <v>129.77140767976471</v>
      </c>
      <c r="BD90" s="119">
        <v>130.55003612584329</v>
      </c>
      <c r="BE90" s="119">
        <v>131.33333634259833</v>
      </c>
      <c r="BF90" s="119">
        <v>132.12133636065394</v>
      </c>
      <c r="BG90" s="119">
        <v>132.91406437881787</v>
      </c>
    </row>
    <row r="91" spans="1:59" ht="13.75" customHeight="1">
      <c r="A91" s="171" t="s">
        <v>166</v>
      </c>
      <c r="B91" s="165" t="s">
        <v>173</v>
      </c>
      <c r="C91" s="165" t="s">
        <v>176</v>
      </c>
      <c r="D91" s="165" t="s">
        <v>168</v>
      </c>
      <c r="E91" s="167"/>
      <c r="F91" s="168" t="s">
        <v>208</v>
      </c>
      <c r="G91" s="168" t="s">
        <v>4</v>
      </c>
      <c r="H91" s="168"/>
      <c r="I91" s="168"/>
      <c r="U91" s="119">
        <v>679</v>
      </c>
      <c r="V91" s="119">
        <v>596</v>
      </c>
      <c r="W91" s="119">
        <v>538</v>
      </c>
      <c r="X91" s="118">
        <v>459</v>
      </c>
      <c r="Y91" s="118">
        <v>479</v>
      </c>
      <c r="Z91" s="118">
        <v>600</v>
      </c>
      <c r="AA91" s="118">
        <v>623.39733984283941</v>
      </c>
      <c r="AB91" s="119">
        <v>658.83925739491031</v>
      </c>
      <c r="AC91" s="119">
        <v>595.70838533157939</v>
      </c>
      <c r="AD91" s="119">
        <v>1040.4122306920442</v>
      </c>
      <c r="AE91" s="119">
        <v>855</v>
      </c>
      <c r="AF91" s="119">
        <v>704.08714274067052</v>
      </c>
      <c r="AG91" s="119">
        <v>639.1921541468646</v>
      </c>
      <c r="AH91" s="119">
        <v>634.07574168449503</v>
      </c>
      <c r="AI91" s="119">
        <v>649.22529207863329</v>
      </c>
      <c r="AJ91" s="119">
        <v>658.18458221037042</v>
      </c>
      <c r="AK91" s="119">
        <v>667.80809218063382</v>
      </c>
      <c r="AL91" s="119">
        <v>677.57287410359004</v>
      </c>
      <c r="AM91" s="119">
        <v>687.4810104715865</v>
      </c>
      <c r="AN91" s="119">
        <v>697.53461460682377</v>
      </c>
      <c r="AO91" s="119">
        <v>707.73583111977234</v>
      </c>
      <c r="AP91" s="119">
        <v>718.08683637443755</v>
      </c>
      <c r="AQ91" s="119">
        <v>728.58983896057202</v>
      </c>
      <c r="AR91" s="119">
        <v>739.24708017294245</v>
      </c>
      <c r="AS91" s="119">
        <v>750.06083449775679</v>
      </c>
      <c r="AT91" s="119">
        <v>761.033410106357</v>
      </c>
      <c r="AU91" s="119">
        <v>772.1671493562875</v>
      </c>
      <c r="AV91" s="119">
        <v>783.46442929985221</v>
      </c>
      <c r="AW91" s="119">
        <v>794.92766220026817</v>
      </c>
      <c r="AX91" s="119">
        <v>806.55929605553331</v>
      </c>
      <c r="AY91" s="119">
        <v>818.36181513012366</v>
      </c>
      <c r="AZ91" s="119">
        <v>830.337740494635</v>
      </c>
      <c r="BA91" s="119">
        <v>842.48963057349272</v>
      </c>
      <c r="BB91" s="119">
        <v>854.82008170084532</v>
      </c>
      <c r="BC91" s="119">
        <v>867.33172868477004</v>
      </c>
      <c r="BD91" s="119">
        <v>880.02724537991173</v>
      </c>
      <c r="BE91" s="119">
        <v>892.90934526868216</v>
      </c>
      <c r="BF91" s="119">
        <v>905.98078205115064</v>
      </c>
      <c r="BG91" s="119">
        <v>919.24435024375282</v>
      </c>
    </row>
    <row r="92" spans="1:59" ht="13.75" customHeight="1">
      <c r="A92" s="171" t="s">
        <v>166</v>
      </c>
      <c r="B92" s="165" t="s">
        <v>173</v>
      </c>
      <c r="C92" s="165" t="s">
        <v>176</v>
      </c>
      <c r="D92" s="165" t="s">
        <v>168</v>
      </c>
      <c r="E92" s="167"/>
      <c r="F92" s="168" t="s">
        <v>209</v>
      </c>
      <c r="G92" s="168" t="s">
        <v>4</v>
      </c>
      <c r="H92" s="168"/>
      <c r="I92" s="168"/>
      <c r="U92" s="119">
        <v>679</v>
      </c>
      <c r="V92" s="119">
        <v>622</v>
      </c>
      <c r="W92" s="119">
        <v>608</v>
      </c>
      <c r="X92" s="118">
        <v>427.75</v>
      </c>
      <c r="Y92" s="118">
        <v>442.25</v>
      </c>
      <c r="Z92" s="118">
        <v>554.08333333333337</v>
      </c>
      <c r="AA92" s="118">
        <v>616.25</v>
      </c>
      <c r="AB92" s="119">
        <v>527</v>
      </c>
      <c r="AC92" s="119">
        <v>499</v>
      </c>
      <c r="AD92" s="119">
        <v>1001</v>
      </c>
      <c r="AE92" s="119">
        <v>838.25</v>
      </c>
      <c r="AF92" s="119">
        <v>711.41666666666674</v>
      </c>
      <c r="AG92" s="119">
        <v>635.26667791896682</v>
      </c>
      <c r="AH92" s="119">
        <v>633.25614658444329</v>
      </c>
      <c r="AI92" s="119">
        <v>634.64908263614382</v>
      </c>
      <c r="AJ92" s="119">
        <v>635.15539333212496</v>
      </c>
      <c r="AK92" s="119">
        <v>645.06430395447478</v>
      </c>
      <c r="AL92" s="119">
        <v>655.12820708738866</v>
      </c>
      <c r="AM92" s="119">
        <v>665.34953291020429</v>
      </c>
      <c r="AN92" s="119">
        <v>692.73074978931697</v>
      </c>
      <c r="AO92" s="119">
        <v>703.27436487943089</v>
      </c>
      <c r="AP92" s="119">
        <v>713.98292473429558</v>
      </c>
      <c r="AQ92" s="119">
        <v>724.85901592707307</v>
      </c>
      <c r="AR92" s="119">
        <v>735.90526568049359</v>
      </c>
      <c r="AS92" s="119">
        <v>747.12434250694878</v>
      </c>
      <c r="AT92" s="119">
        <v>758.51895685868544</v>
      </c>
      <c r="AU92" s="119">
        <v>770.09186178825246</v>
      </c>
      <c r="AV92" s="119">
        <v>781.84585361937025</v>
      </c>
      <c r="AW92" s="119">
        <v>793.78377262838103</v>
      </c>
      <c r="AX92" s="119">
        <v>805.90850373645151</v>
      </c>
      <c r="AY92" s="119">
        <v>818.22297721269513</v>
      </c>
      <c r="AZ92" s="119">
        <v>830.73016938838919</v>
      </c>
      <c r="BA92" s="119">
        <v>843.4331033824584</v>
      </c>
      <c r="BB92" s="119">
        <v>856.33484983840663</v>
      </c>
      <c r="BC92" s="119">
        <v>869.43852767287569</v>
      </c>
      <c r="BD92" s="119">
        <v>882.74730483601513</v>
      </c>
      <c r="BE92" s="119">
        <v>896.26439908384998</v>
      </c>
      <c r="BF92" s="119">
        <v>909.99307876283638</v>
      </c>
      <c r="BG92" s="119">
        <v>923.93666360679799</v>
      </c>
    </row>
    <row r="93" spans="1:59" ht="13.75" customHeight="1">
      <c r="A93" s="171" t="s">
        <v>166</v>
      </c>
      <c r="B93" s="165" t="s">
        <v>173</v>
      </c>
      <c r="C93" s="165" t="s">
        <v>174</v>
      </c>
      <c r="D93" s="165" t="s">
        <v>168</v>
      </c>
      <c r="E93" s="167"/>
      <c r="F93" s="168" t="s">
        <v>210</v>
      </c>
      <c r="G93" s="168" t="s">
        <v>4</v>
      </c>
      <c r="H93" s="168"/>
      <c r="I93" s="168"/>
      <c r="U93" s="119">
        <v>1965</v>
      </c>
      <c r="V93" s="119">
        <v>1938</v>
      </c>
      <c r="W93" s="119">
        <v>2166</v>
      </c>
      <c r="X93" s="118">
        <v>1939</v>
      </c>
      <c r="Y93" s="118">
        <v>2101</v>
      </c>
      <c r="Z93" s="118">
        <v>2893</v>
      </c>
      <c r="AA93" s="118">
        <v>2892</v>
      </c>
      <c r="AB93" s="118">
        <v>2548</v>
      </c>
      <c r="AC93" s="119">
        <v>2269</v>
      </c>
      <c r="AD93" s="119">
        <v>3005</v>
      </c>
      <c r="AE93" s="118">
        <v>3475</v>
      </c>
      <c r="AF93" s="118">
        <v>2672.0724270833334</v>
      </c>
      <c r="AG93" s="118">
        <v>2295</v>
      </c>
      <c r="AH93" s="118">
        <v>2380</v>
      </c>
      <c r="AI93" s="118">
        <v>2465</v>
      </c>
      <c r="AJ93" s="118">
        <v>2504.44</v>
      </c>
      <c r="AK93" s="118">
        <v>2544.5110400000003</v>
      </c>
      <c r="AL93" s="118">
        <v>2585.2232166399999</v>
      </c>
      <c r="AM93" s="118">
        <v>2626.58678810624</v>
      </c>
      <c r="AN93" s="119">
        <v>2652.8526559873026</v>
      </c>
      <c r="AO93" s="119">
        <v>2679.3811825471757</v>
      </c>
      <c r="AP93" s="119">
        <v>2706.1749943726477</v>
      </c>
      <c r="AQ93" s="119">
        <v>2733.2367443163744</v>
      </c>
      <c r="AR93" s="119">
        <v>2760.5691117595379</v>
      </c>
      <c r="AS93" s="119">
        <v>2788.1748028771335</v>
      </c>
      <c r="AT93" s="119">
        <v>2816.0565509059047</v>
      </c>
      <c r="AU93" s="119">
        <v>2844.2171164149636</v>
      </c>
      <c r="AV93" s="119">
        <v>2872.6592875791134</v>
      </c>
      <c r="AW93" s="119">
        <v>2901.3858804549045</v>
      </c>
      <c r="AX93" s="119">
        <v>2930.3997392594533</v>
      </c>
      <c r="AY93" s="119">
        <v>2959.7037366520481</v>
      </c>
      <c r="AZ93" s="119">
        <v>2989.3007740185685</v>
      </c>
      <c r="BA93" s="119">
        <v>3019.1937817587545</v>
      </c>
      <c r="BB93" s="119">
        <v>3049.3857195763421</v>
      </c>
      <c r="BC93" s="119">
        <v>3079.8795767721053</v>
      </c>
      <c r="BD93" s="119">
        <v>3110.6783725398263</v>
      </c>
      <c r="BE93" s="119">
        <v>3141.7851562652245</v>
      </c>
      <c r="BF93" s="119">
        <v>3173.2030078278772</v>
      </c>
      <c r="BG93" s="119">
        <v>3204.9350379061557</v>
      </c>
    </row>
    <row r="94" spans="1:59" ht="13.75" customHeight="1">
      <c r="A94" s="171" t="s">
        <v>166</v>
      </c>
      <c r="B94" s="165" t="s">
        <v>173</v>
      </c>
      <c r="C94" s="165" t="s">
        <v>176</v>
      </c>
      <c r="D94" s="165" t="s">
        <v>168</v>
      </c>
      <c r="E94" s="167"/>
      <c r="F94" s="168" t="s">
        <v>211</v>
      </c>
      <c r="G94" s="168" t="s">
        <v>4</v>
      </c>
      <c r="H94" s="168"/>
      <c r="I94" s="168" t="s">
        <v>181</v>
      </c>
      <c r="U94" s="119">
        <v>430.17569754728976</v>
      </c>
      <c r="V94" s="119">
        <v>346.64168447453437</v>
      </c>
      <c r="W94" s="119">
        <v>339.48556070933324</v>
      </c>
      <c r="X94" s="118">
        <v>230.82832470180992</v>
      </c>
      <c r="Y94" s="118">
        <v>221.36704651439015</v>
      </c>
      <c r="Z94" s="118">
        <v>339.73178123258452</v>
      </c>
      <c r="AA94" s="118">
        <v>349.25363702448203</v>
      </c>
      <c r="AB94" s="119">
        <v>384</v>
      </c>
      <c r="AC94" s="119">
        <v>337</v>
      </c>
      <c r="AD94" s="119">
        <v>508</v>
      </c>
      <c r="AE94" s="119">
        <v>457.7185980528148</v>
      </c>
      <c r="AF94" s="119">
        <v>344.88100138422624</v>
      </c>
      <c r="AG94" s="119">
        <v>338.60017727702916</v>
      </c>
      <c r="AH94" s="119">
        <v>337.4721765861089</v>
      </c>
      <c r="AI94" s="119">
        <v>339.54619917403818</v>
      </c>
      <c r="AJ94" s="119">
        <v>326.99848612248468</v>
      </c>
      <c r="AK94" s="119">
        <v>332.05295893076959</v>
      </c>
      <c r="AL94" s="119">
        <v>337.18581826241154</v>
      </c>
      <c r="AM94" s="119">
        <v>342.39828351120235</v>
      </c>
      <c r="AN94" s="119">
        <v>347.69159309416602</v>
      </c>
      <c r="AO94" s="119">
        <v>353.06700474911213</v>
      </c>
      <c r="AP94" s="119">
        <v>358.52579583685355</v>
      </c>
      <c r="AQ94" s="119">
        <v>364.06926364816343</v>
      </c>
      <c r="AR94" s="119">
        <v>369.69872571554515</v>
      </c>
      <c r="AS94" s="119">
        <v>375.41552012989104</v>
      </c>
      <c r="AT94" s="119">
        <v>381.22100586210706</v>
      </c>
      <c r="AU94" s="119">
        <v>387.11656308978047</v>
      </c>
      <c r="AV94" s="119">
        <v>393.10359352897098</v>
      </c>
      <c r="AW94" s="119">
        <v>399.18352077120511</v>
      </c>
      <c r="AX94" s="119">
        <v>405.35779062575574</v>
      </c>
      <c r="AY94" s="119">
        <v>411.62787146729016</v>
      </c>
      <c r="AZ94" s="119">
        <v>417.9952545889704</v>
      </c>
      <c r="BA94" s="119">
        <v>424.46145456109252</v>
      </c>
      <c r="BB94" s="119">
        <v>431.02800959535017</v>
      </c>
      <c r="BC94" s="119">
        <v>437.69648191481394</v>
      </c>
      <c r="BD94" s="119">
        <v>444.46845812971236</v>
      </c>
      <c r="BE94" s="119">
        <v>451.34554961910879</v>
      </c>
      <c r="BF94" s="119">
        <v>458.32939291856599</v>
      </c>
      <c r="BG94" s="119">
        <v>465.42165011389227</v>
      </c>
    </row>
    <row r="95" spans="1:59" ht="13.75" customHeight="1">
      <c r="A95" s="171" t="s">
        <v>166</v>
      </c>
      <c r="B95" s="165" t="s">
        <v>173</v>
      </c>
      <c r="C95" s="165" t="s">
        <v>176</v>
      </c>
      <c r="D95" s="165" t="s">
        <v>168</v>
      </c>
      <c r="E95" s="167"/>
      <c r="F95" s="168" t="s">
        <v>212</v>
      </c>
      <c r="G95" s="168" t="s">
        <v>4</v>
      </c>
      <c r="H95" s="168"/>
      <c r="I95" s="168"/>
      <c r="U95" s="119">
        <v>415.19607843137254</v>
      </c>
      <c r="V95" s="119">
        <v>389.71153846153845</v>
      </c>
      <c r="W95" s="119">
        <v>376.88679245283021</v>
      </c>
      <c r="X95" s="118">
        <v>243.75</v>
      </c>
      <c r="Y95" s="118">
        <v>255.91666666666666</v>
      </c>
      <c r="Z95" s="118">
        <v>352.66666666666669</v>
      </c>
      <c r="AA95" s="118">
        <v>378.08333333333331</v>
      </c>
      <c r="AB95" s="119">
        <v>326</v>
      </c>
      <c r="AC95" s="119">
        <v>340</v>
      </c>
      <c r="AD95" s="119">
        <v>550</v>
      </c>
      <c r="AE95" s="119">
        <v>469</v>
      </c>
      <c r="AF95" s="119">
        <v>384.83333333333331</v>
      </c>
      <c r="AG95" s="119">
        <v>347.40581661756397</v>
      </c>
      <c r="AH95" s="119">
        <v>327.62317207747083</v>
      </c>
      <c r="AI95" s="119">
        <v>328.16126334257211</v>
      </c>
      <c r="AJ95" s="119">
        <v>332.39976892985601</v>
      </c>
      <c r="AK95" s="119">
        <v>337.46458956176957</v>
      </c>
      <c r="AL95" s="119">
        <v>342.60689726440029</v>
      </c>
      <c r="AM95" s="119">
        <v>347.82788213004807</v>
      </c>
      <c r="AN95" s="119">
        <v>353.12875259667811</v>
      </c>
      <c r="AO95" s="119">
        <v>358.51073573170981</v>
      </c>
      <c r="AP95" s="119">
        <v>363.97507752021096</v>
      </c>
      <c r="AQ95" s="119">
        <v>369.52304315756317</v>
      </c>
      <c r="AR95" s="119">
        <v>375.1559173466714</v>
      </c>
      <c r="AS95" s="119">
        <v>380.8750045997856</v>
      </c>
      <c r="AT95" s="119">
        <v>386.68162954500758</v>
      </c>
      <c r="AU95" s="119">
        <v>392.57713723755586</v>
      </c>
      <c r="AV95" s="119">
        <v>398.5628934758625</v>
      </c>
      <c r="AW95" s="119">
        <v>404.6402851225771</v>
      </c>
      <c r="AX95" s="119">
        <v>410.81072043055457</v>
      </c>
      <c r="AY95" s="119">
        <v>417.07562937390389</v>
      </c>
      <c r="AZ95" s="119">
        <v>423.43646398417729</v>
      </c>
      <c r="BA95" s="119">
        <v>429.89469869177907</v>
      </c>
      <c r="BB95" s="119">
        <v>436.45183067267652</v>
      </c>
      <c r="BC95" s="119">
        <v>443.10938020049383</v>
      </c>
      <c r="BD95" s="119">
        <v>449.86889100407512</v>
      </c>
      <c r="BE95" s="119">
        <v>456.73193063059887</v>
      </c>
      <c r="BF95" s="119">
        <v>463.70009081433341</v>
      </c>
      <c r="BG95" s="119">
        <v>470.77498785111879</v>
      </c>
    </row>
    <row r="96" spans="1:59" ht="13.75" customHeight="1">
      <c r="A96" s="171" t="s">
        <v>166</v>
      </c>
      <c r="B96" s="165" t="s">
        <v>173</v>
      </c>
      <c r="C96" s="165" t="s">
        <v>174</v>
      </c>
      <c r="D96" s="165" t="s">
        <v>168</v>
      </c>
      <c r="E96" s="167"/>
      <c r="F96" s="168" t="s">
        <v>213</v>
      </c>
      <c r="G96" s="168" t="s">
        <v>194</v>
      </c>
      <c r="H96" s="168"/>
      <c r="I96" s="168"/>
      <c r="X96" s="150">
        <v>1054</v>
      </c>
      <c r="Y96" s="118">
        <v>989</v>
      </c>
      <c r="Z96" s="118">
        <v>949.91</v>
      </c>
      <c r="AA96" s="118">
        <v>879.64</v>
      </c>
      <c r="AB96" s="119">
        <v>865</v>
      </c>
      <c r="AC96" s="119">
        <v>886</v>
      </c>
      <c r="AD96" s="119">
        <v>1092</v>
      </c>
      <c r="AE96" s="119">
        <v>964</v>
      </c>
      <c r="AF96" s="119">
        <v>984.40866772718687</v>
      </c>
      <c r="AG96" s="119">
        <v>918</v>
      </c>
      <c r="AH96" s="119">
        <v>935</v>
      </c>
      <c r="AI96" s="119">
        <v>950.40268510415706</v>
      </c>
      <c r="AJ96" s="119">
        <v>965.60912806582371</v>
      </c>
      <c r="AK96" s="119">
        <v>981.05887411487674</v>
      </c>
      <c r="AL96" s="119">
        <v>996.75581610071481</v>
      </c>
      <c r="AM96" s="119">
        <v>1012.7039091583263</v>
      </c>
      <c r="AN96" s="119">
        <v>1026.8817638865428</v>
      </c>
      <c r="AO96" s="119">
        <v>1041.2581085809545</v>
      </c>
      <c r="AP96" s="119">
        <v>1055.8357221010879</v>
      </c>
      <c r="AQ96" s="119">
        <v>1070.617422210503</v>
      </c>
      <c r="AR96" s="119">
        <v>1085.6060661214501</v>
      </c>
      <c r="AS96" s="119">
        <v>1100.8045510471504</v>
      </c>
      <c r="AT96" s="119">
        <v>1116.2158147618106</v>
      </c>
      <c r="AU96" s="119">
        <v>1131.842836168476</v>
      </c>
      <c r="AV96" s="119">
        <v>1147.6886358748347</v>
      </c>
      <c r="AW96" s="119">
        <v>1163.7562767770823</v>
      </c>
      <c r="AX96" s="119">
        <v>1180.0488646519616</v>
      </c>
      <c r="AY96" s="119">
        <v>1196.569548757089</v>
      </c>
      <c r="AZ96" s="119">
        <v>1213.3215224396884</v>
      </c>
      <c r="BA96" s="119">
        <v>1230.3080237538441</v>
      </c>
      <c r="BB96" s="119">
        <v>1247.5323360863979</v>
      </c>
      <c r="BC96" s="119">
        <v>1264.9977887916075</v>
      </c>
      <c r="BD96" s="119">
        <v>1282.70775783469</v>
      </c>
      <c r="BE96" s="119">
        <v>1300.6656664443756</v>
      </c>
      <c r="BF96" s="119">
        <v>1318.8749857745968</v>
      </c>
      <c r="BG96" s="119">
        <v>1337.3392355754413</v>
      </c>
    </row>
    <row r="97" spans="1:59" ht="13.75" customHeight="1">
      <c r="A97" s="171" t="s">
        <v>166</v>
      </c>
      <c r="B97" s="165" t="s">
        <v>173</v>
      </c>
      <c r="C97" s="165" t="s">
        <v>174</v>
      </c>
      <c r="D97" s="165" t="s">
        <v>168</v>
      </c>
      <c r="E97" s="167"/>
      <c r="F97" s="168" t="s">
        <v>214</v>
      </c>
      <c r="G97" s="168" t="s">
        <v>194</v>
      </c>
      <c r="H97" s="168"/>
      <c r="I97" s="168"/>
      <c r="X97" s="150">
        <v>690</v>
      </c>
      <c r="Y97" s="118">
        <v>615</v>
      </c>
      <c r="Z97" s="118">
        <v>870.78</v>
      </c>
      <c r="AA97" s="118">
        <v>1030.49</v>
      </c>
      <c r="AB97" s="118">
        <v>1541</v>
      </c>
      <c r="AC97" s="119">
        <v>2201</v>
      </c>
      <c r="AD97" s="119">
        <v>2397</v>
      </c>
      <c r="AE97" s="119">
        <v>2109</v>
      </c>
      <c r="AF97" s="118">
        <v>1391.1100920767344</v>
      </c>
      <c r="AG97" s="118">
        <v>1147.5</v>
      </c>
      <c r="AH97" s="118">
        <v>1105</v>
      </c>
      <c r="AI97" s="118">
        <v>1088</v>
      </c>
      <c r="AJ97" s="118">
        <v>1062.5</v>
      </c>
      <c r="AK97" s="118">
        <v>1062.5</v>
      </c>
      <c r="AL97" s="118">
        <v>1020</v>
      </c>
      <c r="AM97" s="118">
        <v>1036.32</v>
      </c>
      <c r="AN97" s="119">
        <v>1048.75584</v>
      </c>
      <c r="AO97" s="119">
        <v>1061.3409100800002</v>
      </c>
      <c r="AP97" s="119">
        <v>1074.0770010009601</v>
      </c>
      <c r="AQ97" s="119">
        <v>1086.9659250129719</v>
      </c>
      <c r="AR97" s="119">
        <v>1100.0095161131273</v>
      </c>
      <c r="AS97" s="119">
        <v>1113.209630306485</v>
      </c>
      <c r="AT97" s="119">
        <v>1126.5681458701629</v>
      </c>
      <c r="AU97" s="119">
        <v>1140.0869636206048</v>
      </c>
      <c r="AV97" s="119">
        <v>1153.7680071840521</v>
      </c>
      <c r="AW97" s="119">
        <v>1163.7562767770823</v>
      </c>
      <c r="AX97" s="119">
        <v>1177.7213520984074</v>
      </c>
      <c r="AY97" s="119">
        <v>1191.8540083235882</v>
      </c>
      <c r="AZ97" s="119">
        <v>1206.1562564234712</v>
      </c>
      <c r="BA97" s="119">
        <v>1220.6301315005528</v>
      </c>
      <c r="BB97" s="119">
        <v>1235.2776930785594</v>
      </c>
      <c r="BC97" s="119">
        <v>1250.1010253955023</v>
      </c>
      <c r="BD97" s="119">
        <v>1265.1022377002485</v>
      </c>
      <c r="BE97" s="119">
        <v>1280.2834645526514</v>
      </c>
      <c r="BF97" s="119">
        <v>1295.6468661272831</v>
      </c>
      <c r="BG97" s="119">
        <v>1311.1946285208105</v>
      </c>
    </row>
    <row r="98" spans="1:59" ht="13.75" customHeight="1">
      <c r="A98" s="171" t="s">
        <v>166</v>
      </c>
      <c r="B98" s="165" t="s">
        <v>173</v>
      </c>
      <c r="C98" s="165" t="s">
        <v>174</v>
      </c>
      <c r="D98" s="165" t="s">
        <v>168</v>
      </c>
      <c r="E98" s="167"/>
      <c r="F98" s="168" t="s">
        <v>215</v>
      </c>
      <c r="G98" s="168" t="s">
        <v>207</v>
      </c>
      <c r="H98" s="168"/>
      <c r="I98" s="168" t="s">
        <v>216</v>
      </c>
      <c r="U98" s="109">
        <v>92</v>
      </c>
      <c r="V98" s="109">
        <v>87.5</v>
      </c>
      <c r="W98" s="116">
        <v>83</v>
      </c>
      <c r="X98" s="150">
        <v>76.5</v>
      </c>
      <c r="Y98" s="118">
        <v>78.5</v>
      </c>
      <c r="Z98" s="118">
        <v>95.5</v>
      </c>
      <c r="AA98" s="118">
        <v>86.305623343765873</v>
      </c>
      <c r="AB98" s="119">
        <v>75.560131086761601</v>
      </c>
      <c r="AC98" s="119">
        <v>68.197825543371138</v>
      </c>
      <c r="AD98" s="119">
        <v>110.44017605934478</v>
      </c>
      <c r="AE98" s="119">
        <v>103.21220732085325</v>
      </c>
      <c r="AF98" s="119">
        <v>100</v>
      </c>
      <c r="AG98" s="119">
        <v>85</v>
      </c>
      <c r="AH98" s="119">
        <v>85</v>
      </c>
      <c r="AI98" s="119">
        <v>89.25</v>
      </c>
      <c r="AJ98" s="119">
        <v>97.75</v>
      </c>
      <c r="AK98" s="119">
        <v>98.922999999999988</v>
      </c>
      <c r="AL98" s="119">
        <v>100.11007600000001</v>
      </c>
      <c r="AM98" s="119">
        <v>101.31139691200001</v>
      </c>
      <c r="AN98" s="119">
        <v>101.91926529347201</v>
      </c>
      <c r="AO98" s="119">
        <v>102.53078088523284</v>
      </c>
      <c r="AP98" s="119">
        <v>103.14596557054425</v>
      </c>
      <c r="AQ98" s="119">
        <v>103.76484136396751</v>
      </c>
      <c r="AR98" s="119">
        <v>104.38743041215132</v>
      </c>
      <c r="AS98" s="119">
        <v>105.01375499462422</v>
      </c>
      <c r="AT98" s="119">
        <v>105.64383752459196</v>
      </c>
      <c r="AU98" s="119">
        <v>106.27770054973952</v>
      </c>
      <c r="AV98" s="119">
        <v>106.91536675303796</v>
      </c>
      <c r="AW98" s="119">
        <v>107.55685895355619</v>
      </c>
      <c r="AX98" s="119">
        <v>108.20220010727752</v>
      </c>
      <c r="AY98" s="119">
        <v>108.85141330792119</v>
      </c>
      <c r="AZ98" s="119">
        <v>109.50452178776871</v>
      </c>
      <c r="BA98" s="119">
        <v>110.16154891849533</v>
      </c>
      <c r="BB98" s="119">
        <v>110.8225182120063</v>
      </c>
      <c r="BC98" s="119">
        <v>111.48745332127835</v>
      </c>
      <c r="BD98" s="119">
        <v>112.15637804120603</v>
      </c>
      <c r="BE98" s="119">
        <v>112.82931630945326</v>
      </c>
      <c r="BF98" s="119">
        <v>113.50629220730998</v>
      </c>
      <c r="BG98" s="119">
        <v>114.18732996055385</v>
      </c>
    </row>
    <row r="99" spans="1:59" ht="13.75" customHeight="1">
      <c r="A99" s="171" t="s">
        <v>166</v>
      </c>
      <c r="B99" s="165" t="s">
        <v>173</v>
      </c>
      <c r="C99" s="165" t="s">
        <v>176</v>
      </c>
      <c r="D99" s="165" t="s">
        <v>168</v>
      </c>
      <c r="E99" s="167"/>
      <c r="F99" s="168" t="s">
        <v>217</v>
      </c>
      <c r="G99" s="168" t="s">
        <v>4</v>
      </c>
      <c r="H99" s="168"/>
      <c r="I99" s="168"/>
      <c r="X99" s="150">
        <v>0</v>
      </c>
      <c r="Y99" s="118">
        <v>0</v>
      </c>
      <c r="Z99" s="118">
        <v>564</v>
      </c>
      <c r="AA99" s="118">
        <v>575.80253037671957</v>
      </c>
      <c r="AB99" s="119">
        <v>533</v>
      </c>
      <c r="AC99" s="119">
        <v>476</v>
      </c>
      <c r="AD99" s="119">
        <v>850</v>
      </c>
      <c r="AE99" s="119">
        <v>789.64416042794369</v>
      </c>
      <c r="AF99" s="119">
        <v>692.1895040460065</v>
      </c>
      <c r="AG99" s="119">
        <v>587.62027943809221</v>
      </c>
      <c r="AH99" s="119">
        <v>585.64686584111098</v>
      </c>
      <c r="AI99" s="119">
        <v>594.88203732817078</v>
      </c>
      <c r="AJ99" s="119">
        <v>599.27408755611407</v>
      </c>
      <c r="AK99" s="119">
        <v>606.74432092201732</v>
      </c>
      <c r="AL99" s="119">
        <v>614.31637288339198</v>
      </c>
      <c r="AM99" s="119">
        <v>621.99167699713735</v>
      </c>
      <c r="AN99" s="119">
        <v>629.77168743817003</v>
      </c>
      <c r="AO99" s="119">
        <v>637.65787930019746</v>
      </c>
      <c r="AP99" s="119">
        <v>645.65174890092203</v>
      </c>
      <c r="AQ99" s="119">
        <v>653.75481409174438</v>
      </c>
      <c r="AR99" s="119">
        <v>661.96861457202931</v>
      </c>
      <c r="AS99" s="119">
        <v>670.29471220800372</v>
      </c>
      <c r="AT99" s="119">
        <v>678.7346913563573</v>
      </c>
      <c r="AU99" s="119">
        <v>687.29015919260985</v>
      </c>
      <c r="AV99" s="119">
        <v>695.96274604432404</v>
      </c>
      <c r="AW99" s="119">
        <v>704.75410572922829</v>
      </c>
      <c r="AX99" s="119">
        <v>713.66591589832751</v>
      </c>
      <c r="AY99" s="119">
        <v>722.69987838407394</v>
      </c>
      <c r="AZ99" s="119">
        <v>731.8577195536725</v>
      </c>
      <c r="BA99" s="119">
        <v>741.14119066760031</v>
      </c>
      <c r="BB99" s="119">
        <v>750.55206824341144</v>
      </c>
      <c r="BC99" s="119">
        <v>760.16818272252851</v>
      </c>
      <c r="BD99" s="119">
        <v>769.91594711301639</v>
      </c>
      <c r="BE99" s="119">
        <v>779.79722093230293</v>
      </c>
      <c r="BF99" s="119">
        <v>789.81389050599671</v>
      </c>
      <c r="BG99" s="119">
        <v>799.96786935969817</v>
      </c>
    </row>
    <row r="100" spans="1:59" ht="13.75" customHeight="1" outlineLevel="1">
      <c r="A100" s="171" t="s">
        <v>166</v>
      </c>
      <c r="B100" s="165" t="s">
        <v>173</v>
      </c>
      <c r="C100" s="165" t="s">
        <v>176</v>
      </c>
      <c r="D100" s="165" t="s">
        <v>168</v>
      </c>
      <c r="E100" s="167"/>
      <c r="F100" s="168" t="s">
        <v>218</v>
      </c>
      <c r="G100" s="168" t="s">
        <v>219</v>
      </c>
      <c r="H100" s="168"/>
      <c r="I100" s="168"/>
      <c r="X100" s="120">
        <v>13.521020408163288</v>
      </c>
      <c r="Y100" s="120">
        <v>12.059599999999991</v>
      </c>
      <c r="Z100" s="120">
        <v>26.931722689075606</v>
      </c>
      <c r="AA100" s="121">
        <v>37.048163265306101</v>
      </c>
      <c r="AB100" s="112">
        <v>16.5</v>
      </c>
      <c r="AC100" s="112">
        <v>15.4</v>
      </c>
      <c r="AD100" s="112">
        <v>23.7</v>
      </c>
      <c r="AE100" s="112">
        <v>30.5</v>
      </c>
      <c r="AF100" s="112">
        <v>15.890508172708806</v>
      </c>
      <c r="AG100" s="112">
        <v>13.77</v>
      </c>
      <c r="AH100" s="112">
        <v>15.725</v>
      </c>
      <c r="AI100" s="112">
        <v>17</v>
      </c>
      <c r="AJ100" s="112">
        <v>17.271999999999998</v>
      </c>
      <c r="AK100" s="112">
        <v>17.548352000000001</v>
      </c>
      <c r="AL100" s="112">
        <v>17.829125632</v>
      </c>
      <c r="AM100" s="112">
        <v>18.114391642112004</v>
      </c>
      <c r="AN100" s="119">
        <v>18.295535558533125</v>
      </c>
      <c r="AO100" s="119">
        <v>18.478490914118456</v>
      </c>
      <c r="AP100" s="119">
        <v>18.663275823259642</v>
      </c>
      <c r="AQ100" s="119">
        <v>18.84990858149224</v>
      </c>
      <c r="AR100" s="119">
        <v>19.038407667307162</v>
      </c>
      <c r="AS100" s="119">
        <v>19.228791743980231</v>
      </c>
      <c r="AT100" s="119">
        <v>19.421079661420034</v>
      </c>
      <c r="AU100" s="119">
        <v>19.615290458034234</v>
      </c>
      <c r="AV100" s="119">
        <v>19.811443362614579</v>
      </c>
      <c r="AW100" s="119">
        <v>20.009557796240724</v>
      </c>
      <c r="AX100" s="119">
        <v>20.209653374203132</v>
      </c>
      <c r="AY100" s="119">
        <v>20.411749907945165</v>
      </c>
      <c r="AZ100" s="119">
        <v>20.615867407024616</v>
      </c>
      <c r="BA100" s="119">
        <v>20.822026081094862</v>
      </c>
      <c r="BB100" s="119">
        <v>21.030246341905809</v>
      </c>
      <c r="BC100" s="119">
        <v>21.240548805324867</v>
      </c>
      <c r="BD100" s="119">
        <v>21.452954293378117</v>
      </c>
      <c r="BE100" s="119">
        <v>21.667483836311899</v>
      </c>
      <c r="BF100" s="119">
        <v>21.884158674675017</v>
      </c>
      <c r="BG100" s="119">
        <v>22.103000261421766</v>
      </c>
    </row>
    <row r="101" spans="1:59" ht="13.75" customHeight="1" outlineLevel="1">
      <c r="A101" s="171" t="s">
        <v>166</v>
      </c>
      <c r="B101" s="165" t="s">
        <v>167</v>
      </c>
      <c r="C101" s="165"/>
      <c r="D101" s="165" t="s">
        <v>168</v>
      </c>
      <c r="E101" s="167"/>
      <c r="F101" s="168" t="s">
        <v>220</v>
      </c>
      <c r="G101" s="168" t="s">
        <v>4</v>
      </c>
      <c r="H101" s="168"/>
      <c r="I101" s="168" t="s">
        <v>221</v>
      </c>
      <c r="X101" s="120">
        <v>83.875</v>
      </c>
      <c r="Y101" s="118">
        <v>87.5</v>
      </c>
      <c r="Z101" s="118">
        <v>139.375</v>
      </c>
      <c r="AA101" s="118">
        <v>148.875</v>
      </c>
      <c r="AB101" s="119">
        <v>129</v>
      </c>
      <c r="AC101" s="119">
        <v>78</v>
      </c>
      <c r="AD101" s="119">
        <v>164</v>
      </c>
      <c r="AE101" s="119">
        <v>322.56340000000034</v>
      </c>
      <c r="AF101" s="119">
        <v>221.98844702079674</v>
      </c>
      <c r="AG101" s="118">
        <v>165.56746054628027</v>
      </c>
      <c r="AH101" s="118">
        <v>139.35261262645258</v>
      </c>
      <c r="AI101" s="118">
        <v>136.27480876497418</v>
      </c>
      <c r="AJ101" s="118">
        <v>138.23716601118983</v>
      </c>
      <c r="AK101" s="118">
        <v>140.22778120175096</v>
      </c>
      <c r="AL101" s="118">
        <v>142.24706125105618</v>
      </c>
      <c r="AM101" s="118">
        <v>144.2954189330714</v>
      </c>
      <c r="AN101" s="119">
        <v>146.25783663056117</v>
      </c>
      <c r="AO101" s="119">
        <v>148.24694320873684</v>
      </c>
      <c r="AP101" s="119">
        <v>150.26310163637564</v>
      </c>
      <c r="AQ101" s="119">
        <v>152.30667981863033</v>
      </c>
      <c r="AR101" s="119">
        <v>154.37805066416371</v>
      </c>
      <c r="AS101" s="119">
        <v>156.47759215319633</v>
      </c>
      <c r="AT101" s="119">
        <v>158.6056874064798</v>
      </c>
      <c r="AU101" s="119">
        <v>160.76272475520793</v>
      </c>
      <c r="AV101" s="119">
        <v>162.94909781187877</v>
      </c>
      <c r="AW101" s="119">
        <v>165.16520554212033</v>
      </c>
      <c r="AX101" s="119">
        <v>167.41145233749319</v>
      </c>
      <c r="AY101" s="119">
        <v>169.68824808928312</v>
      </c>
      <c r="AZ101" s="119">
        <v>171.9960082632974</v>
      </c>
      <c r="BA101" s="119">
        <v>174.33515397567825</v>
      </c>
      <c r="BB101" s="119">
        <v>176.70611206974749</v>
      </c>
      <c r="BC101" s="119">
        <v>179.10931519389607</v>
      </c>
      <c r="BD101" s="119">
        <v>181.54520188053309</v>
      </c>
      <c r="BE101" s="119">
        <v>184.01421662610835</v>
      </c>
      <c r="BF101" s="119">
        <v>186.51680997222343</v>
      </c>
      <c r="BG101" s="119">
        <v>189.05343858784568</v>
      </c>
    </row>
    <row r="102" spans="1:59" ht="13.75" customHeight="1" outlineLevel="1">
      <c r="A102" s="171" t="s">
        <v>166</v>
      </c>
      <c r="B102" s="165" t="s">
        <v>167</v>
      </c>
      <c r="C102" s="165"/>
      <c r="D102" s="165" t="s">
        <v>168</v>
      </c>
      <c r="E102" s="167"/>
      <c r="F102" s="168" t="s">
        <v>222</v>
      </c>
      <c r="G102" s="168" t="s">
        <v>4</v>
      </c>
      <c r="H102" s="168"/>
      <c r="I102" s="168"/>
      <c r="X102" s="120"/>
      <c r="Y102" s="118"/>
      <c r="Z102" s="118"/>
      <c r="AA102" s="120">
        <v>0</v>
      </c>
      <c r="AB102" s="119">
        <v>0</v>
      </c>
      <c r="AC102" s="119">
        <v>0</v>
      </c>
      <c r="AD102" s="119">
        <v>111.13783333333333</v>
      </c>
      <c r="AE102" s="119">
        <v>146.95515277777778</v>
      </c>
      <c r="AF102" s="119">
        <v>88.554231730769231</v>
      </c>
      <c r="AG102" s="118">
        <v>73.020926057428753</v>
      </c>
      <c r="AH102" s="118">
        <v>73.538759215233824</v>
      </c>
      <c r="AI102" s="118">
        <v>75.296292223089964</v>
      </c>
      <c r="AJ102" s="118">
        <v>77.031432898659403</v>
      </c>
      <c r="AK102" s="118">
        <v>78.794335825037948</v>
      </c>
      <c r="AL102" s="118">
        <v>80.585445198238574</v>
      </c>
      <c r="AM102" s="118">
        <v>82.405212321410389</v>
      </c>
      <c r="AN102" s="119">
        <v>84.022985293910139</v>
      </c>
      <c r="AO102" s="119">
        <v>85.663407088024883</v>
      </c>
      <c r="AP102" s="119">
        <v>87.326794787257228</v>
      </c>
      <c r="AQ102" s="119">
        <v>89.013469914278843</v>
      </c>
      <c r="AR102" s="119">
        <v>90.723758493078734</v>
      </c>
      <c r="AS102" s="119">
        <v>92.457991111981841</v>
      </c>
      <c r="AT102" s="119">
        <v>94.216502987549589</v>
      </c>
      <c r="AU102" s="119">
        <v>95.999634029375287</v>
      </c>
      <c r="AV102" s="119">
        <v>97.807728905786561</v>
      </c>
      <c r="AW102" s="119">
        <v>99.641137110467554</v>
      </c>
      <c r="AX102" s="119">
        <v>101.50021303001409</v>
      </c>
      <c r="AY102" s="119">
        <v>103.3853160124343</v>
      </c>
      <c r="AZ102" s="119">
        <v>105.29681043660838</v>
      </c>
      <c r="BA102" s="119">
        <v>107.23506578272089</v>
      </c>
      <c r="BB102" s="119">
        <v>109.20045670367898</v>
      </c>
      <c r="BC102" s="119">
        <v>111.19336309753049</v>
      </c>
      <c r="BD102" s="119">
        <v>113.21417018089591</v>
      </c>
      <c r="BE102" s="119">
        <v>115.26326856342847</v>
      </c>
      <c r="BF102" s="119">
        <v>117.34105432331644</v>
      </c>
      <c r="BG102" s="119">
        <v>119.44792908384289</v>
      </c>
    </row>
    <row r="103" spans="1:59" ht="13.75" customHeight="1" outlineLevel="1">
      <c r="A103" s="171" t="s">
        <v>166</v>
      </c>
      <c r="B103" s="165" t="s">
        <v>167</v>
      </c>
      <c r="C103" s="165"/>
      <c r="D103" s="165" t="s">
        <v>168</v>
      </c>
      <c r="E103" s="167"/>
      <c r="F103" s="168" t="s">
        <v>223</v>
      </c>
      <c r="G103" s="168" t="s">
        <v>4</v>
      </c>
      <c r="H103" s="168"/>
      <c r="I103" s="168"/>
      <c r="X103" s="120"/>
      <c r="Y103" s="118"/>
      <c r="Z103" s="118"/>
      <c r="AA103" s="120">
        <v>0</v>
      </c>
      <c r="AB103" s="112">
        <v>0</v>
      </c>
      <c r="AC103" s="112">
        <v>0</v>
      </c>
      <c r="AD103" s="112">
        <v>113.33044753086419</v>
      </c>
      <c r="AE103" s="112">
        <v>158</v>
      </c>
      <c r="AF103" s="112">
        <v>93.36471576923077</v>
      </c>
      <c r="AG103" s="118">
        <v>76.420926057428758</v>
      </c>
      <c r="AH103" s="118">
        <v>76.938759215233816</v>
      </c>
      <c r="AI103" s="118">
        <v>78.696292223089955</v>
      </c>
      <c r="AJ103" s="118">
        <v>80.431432898659395</v>
      </c>
      <c r="AK103" s="118">
        <v>82.194335825037953</v>
      </c>
      <c r="AL103" s="118">
        <v>83.985445198238565</v>
      </c>
      <c r="AM103" s="118">
        <v>85.80521232141038</v>
      </c>
      <c r="AN103" s="119">
        <v>87.422985293910131</v>
      </c>
      <c r="AO103" s="119">
        <v>89.063407088024874</v>
      </c>
      <c r="AP103" s="119">
        <v>90.726794787257219</v>
      </c>
      <c r="AQ103" s="119">
        <v>92.413469914278849</v>
      </c>
      <c r="AR103" s="119">
        <v>94.123758493078739</v>
      </c>
      <c r="AS103" s="119">
        <v>95.857991111981832</v>
      </c>
      <c r="AT103" s="119">
        <v>97.61650298754958</v>
      </c>
      <c r="AU103" s="119">
        <v>99.399634029375292</v>
      </c>
      <c r="AV103" s="119">
        <v>101.20772890578655</v>
      </c>
      <c r="AW103" s="119">
        <v>103.04113711046756</v>
      </c>
      <c r="AX103" s="119">
        <v>104.9002130300141</v>
      </c>
      <c r="AY103" s="119">
        <v>106.78531601243429</v>
      </c>
      <c r="AZ103" s="119">
        <v>108.69681043660837</v>
      </c>
      <c r="BA103" s="119">
        <v>110.63506578272089</v>
      </c>
      <c r="BB103" s="119">
        <v>112.60045670367897</v>
      </c>
      <c r="BC103" s="119">
        <v>114.5933630975305</v>
      </c>
      <c r="BD103" s="119">
        <v>116.61417018089591</v>
      </c>
      <c r="BE103" s="119">
        <v>118.66326856342846</v>
      </c>
      <c r="BF103" s="119">
        <v>120.74105432331645</v>
      </c>
      <c r="BG103" s="119">
        <v>122.8479290838429</v>
      </c>
    </row>
    <row r="104" spans="1:59" ht="13.75" customHeight="1" outlineLevel="1">
      <c r="A104" s="171" t="s">
        <v>166</v>
      </c>
      <c r="B104" s="165" t="s">
        <v>167</v>
      </c>
      <c r="C104" s="165"/>
      <c r="D104" s="165" t="s">
        <v>168</v>
      </c>
      <c r="E104" s="167"/>
      <c r="F104" s="168" t="s">
        <v>224</v>
      </c>
      <c r="G104" s="168" t="s">
        <v>4</v>
      </c>
      <c r="H104" s="168"/>
      <c r="I104" s="168"/>
      <c r="X104" s="120"/>
      <c r="Y104" s="118"/>
      <c r="Z104" s="118">
        <v>88.205192307692315</v>
      </c>
      <c r="AA104" s="120">
        <v>103.03711538461536</v>
      </c>
      <c r="AB104" s="119">
        <v>75.009615384615387</v>
      </c>
      <c r="AC104" s="119">
        <v>60.549811320754721</v>
      </c>
      <c r="AD104" s="119">
        <v>129.77705555555556</v>
      </c>
      <c r="AE104" s="119">
        <v>180.50080555555556</v>
      </c>
      <c r="AF104" s="119">
        <v>117.71243019230769</v>
      </c>
      <c r="AG104" s="118">
        <v>99.199644405126961</v>
      </c>
      <c r="AH104" s="118">
        <v>97.23423049101244</v>
      </c>
      <c r="AI104" s="118">
        <v>98.934031785095684</v>
      </c>
      <c r="AJ104" s="118">
        <v>100.61217629365721</v>
      </c>
      <c r="AK104" s="118">
        <v>102.31717111435573</v>
      </c>
      <c r="AL104" s="118">
        <v>104.04944585218544</v>
      </c>
      <c r="AM104" s="118">
        <v>105.80943698582041</v>
      </c>
      <c r="AN104" s="119">
        <v>107.37406910362191</v>
      </c>
      <c r="AO104" s="119">
        <v>108.9606060710726</v>
      </c>
      <c r="AP104" s="119">
        <v>110.56935455606762</v>
      </c>
      <c r="AQ104" s="119">
        <v>112.20062551985258</v>
      </c>
      <c r="AR104" s="119">
        <v>113.85473427713049</v>
      </c>
      <c r="AS104" s="119">
        <v>115.53200055701032</v>
      </c>
      <c r="AT104" s="119">
        <v>117.23274856480847</v>
      </c>
      <c r="AU104" s="119">
        <v>118.95730704471582</v>
      </c>
      <c r="AV104" s="119">
        <v>120.70600934334182</v>
      </c>
      <c r="AW104" s="119">
        <v>122.4791934741486</v>
      </c>
      <c r="AX104" s="119">
        <v>124.2772021827867</v>
      </c>
      <c r="AY104" s="119">
        <v>126.10038301334571</v>
      </c>
      <c r="AZ104" s="119">
        <v>127.94908837553255</v>
      </c>
      <c r="BA104" s="119">
        <v>129.82367561279</v>
      </c>
      <c r="BB104" s="119">
        <v>131.72450707136906</v>
      </c>
      <c r="BC104" s="119">
        <v>133.65195017036822</v>
      </c>
      <c r="BD104" s="119">
        <v>135.60637747275339</v>
      </c>
      <c r="BE104" s="119">
        <v>137.58816675737194</v>
      </c>
      <c r="BF104" s="119">
        <v>139.59770109197513</v>
      </c>
      <c r="BG104" s="119">
        <v>141.63536890726277</v>
      </c>
    </row>
    <row r="105" spans="1:59" ht="13.75" customHeight="1" outlineLevel="1">
      <c r="A105" s="171" t="s">
        <v>166</v>
      </c>
      <c r="B105" s="165" t="s">
        <v>167</v>
      </c>
      <c r="C105" s="165"/>
      <c r="D105" s="165" t="s">
        <v>168</v>
      </c>
      <c r="E105" s="167"/>
      <c r="F105" s="168" t="s">
        <v>225</v>
      </c>
      <c r="G105" s="168" t="s">
        <v>4</v>
      </c>
      <c r="H105" s="168"/>
      <c r="I105" s="168" t="s">
        <v>226</v>
      </c>
      <c r="X105" s="120"/>
      <c r="Y105" s="120"/>
      <c r="Z105" s="120"/>
      <c r="AA105" s="120">
        <v>0</v>
      </c>
      <c r="AB105" s="119">
        <v>206.05661113104881</v>
      </c>
      <c r="AC105" s="119">
        <v>118.53463662349486</v>
      </c>
      <c r="AD105" s="119">
        <v>220.11809254986301</v>
      </c>
      <c r="AE105" s="119">
        <v>315.22882914131611</v>
      </c>
      <c r="AF105" s="119">
        <v>237.01968956010873</v>
      </c>
      <c r="AG105" s="118">
        <v>178.62408418735578</v>
      </c>
      <c r="AH105" s="118">
        <v>150.54997630047777</v>
      </c>
      <c r="AI105" s="119">
        <v>148.44321281461802</v>
      </c>
      <c r="AJ105" s="119">
        <v>157.24302456912184</v>
      </c>
      <c r="AK105" s="119">
        <v>161.14944729480501</v>
      </c>
      <c r="AL105" s="119">
        <v>163.40632095602098</v>
      </c>
      <c r="AM105" s="119">
        <v>165.69480335087931</v>
      </c>
      <c r="AN105" s="119">
        <v>168.01533720168931</v>
      </c>
      <c r="AO105" s="119">
        <v>170.36591290339291</v>
      </c>
      <c r="AP105" s="119">
        <v>172.74938027472913</v>
      </c>
      <c r="AQ105" s="119">
        <v>175.16619963517101</v>
      </c>
      <c r="AR105" s="119">
        <v>177.61683774702499</v>
      </c>
      <c r="AS105" s="119">
        <v>180.10176790561454</v>
      </c>
      <c r="AT105" s="119">
        <v>182.62147003072565</v>
      </c>
      <c r="AU105" s="119">
        <v>185.17643075933265</v>
      </c>
      <c r="AV105" s="119">
        <v>187.76714353962191</v>
      </c>
      <c r="AW105" s="119">
        <v>190.39410872633181</v>
      </c>
      <c r="AX105" s="119">
        <v>193.0578336774272</v>
      </c>
      <c r="AY105" s="119">
        <v>195.7588328521272</v>
      </c>
      <c r="AZ105" s="119">
        <v>198.49762791030514</v>
      </c>
      <c r="BA105" s="119">
        <v>201.27474781328004</v>
      </c>
      <c r="BB105" s="119">
        <v>204.09072892601895</v>
      </c>
      <c r="BC105" s="119">
        <v>206.94140509523595</v>
      </c>
      <c r="BD105" s="119">
        <v>209.83199073082201</v>
      </c>
      <c r="BE105" s="119">
        <v>212.76304456530625</v>
      </c>
      <c r="BF105" s="119">
        <v>215.73513315347324</v>
      </c>
      <c r="BG105" s="119">
        <v>218.74883098187456</v>
      </c>
    </row>
    <row r="106" spans="1:59" ht="13.75" customHeight="1" outlineLevel="1">
      <c r="A106" s="171"/>
      <c r="B106" s="165"/>
      <c r="C106" s="165"/>
      <c r="D106" s="165"/>
      <c r="E106" s="167"/>
      <c r="F106" s="168"/>
      <c r="G106" s="168"/>
      <c r="H106" s="168"/>
      <c r="I106" s="168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18"/>
      <c r="AH106" s="118"/>
    </row>
    <row r="107" spans="1:59" ht="13.75" customHeight="1" outlineLevel="1">
      <c r="A107" s="171"/>
      <c r="B107" s="165"/>
      <c r="C107" s="165"/>
      <c r="D107" s="165"/>
      <c r="E107" s="167"/>
      <c r="F107" s="168"/>
      <c r="G107" s="168"/>
      <c r="H107" s="168"/>
      <c r="I107" s="168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</row>
    <row r="108" spans="1:59" ht="13.75" customHeight="1" outlineLevel="1">
      <c r="A108" s="171"/>
      <c r="B108" s="165"/>
      <c r="C108" s="165"/>
      <c r="D108" s="165"/>
      <c r="E108" s="167"/>
      <c r="F108" s="168"/>
      <c r="G108" s="168"/>
      <c r="H108" s="168"/>
      <c r="I108" s="168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</row>
    <row r="109" spans="1:59" ht="13.75" customHeight="1" outlineLevel="1">
      <c r="A109" s="171"/>
      <c r="B109" s="165"/>
      <c r="C109" s="165"/>
      <c r="D109" s="165"/>
      <c r="E109" s="167"/>
      <c r="F109" s="168"/>
      <c r="G109" s="168"/>
      <c r="H109" s="168"/>
      <c r="I109" s="168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18"/>
      <c r="AH109" s="118"/>
    </row>
    <row r="110" spans="1:59" ht="13.75" customHeight="1" outlineLevel="1">
      <c r="A110" s="171"/>
      <c r="B110" s="165"/>
      <c r="C110" s="165"/>
      <c r="D110" s="165"/>
      <c r="E110" s="167"/>
      <c r="F110" s="168"/>
      <c r="G110" s="168"/>
      <c r="H110" s="168"/>
      <c r="I110" s="168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</row>
    <row r="111" spans="1:59" ht="13.75" customHeight="1" outlineLevel="1">
      <c r="A111" s="171"/>
      <c r="B111" s="165"/>
      <c r="C111" s="165"/>
      <c r="D111" s="165"/>
      <c r="E111" s="167"/>
      <c r="F111" s="168"/>
      <c r="G111" s="168"/>
      <c r="H111" s="168"/>
      <c r="I111" s="168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4"/>
      <c r="AH111" s="124"/>
      <c r="AI111" s="124"/>
      <c r="AJ111" s="124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  <c r="BG111" s="140"/>
    </row>
    <row r="112" spans="1:59" ht="13.75" customHeight="1" outlineLevel="1">
      <c r="A112" s="171"/>
      <c r="B112" s="165"/>
      <c r="C112" s="165"/>
      <c r="D112" s="165"/>
      <c r="E112" s="167"/>
      <c r="F112" s="168"/>
      <c r="G112" s="168"/>
      <c r="H112" s="168"/>
      <c r="I112" s="168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4"/>
      <c r="AH112" s="124"/>
      <c r="AI112" s="124"/>
      <c r="AJ112" s="124"/>
    </row>
    <row r="113" spans="1:59" ht="13.75" customHeight="1" outlineLevel="1">
      <c r="A113" s="171"/>
      <c r="B113" s="165"/>
      <c r="C113" s="165"/>
      <c r="D113" s="165"/>
      <c r="E113" s="167"/>
      <c r="F113" s="168"/>
      <c r="G113" s="168"/>
      <c r="H113" s="168"/>
      <c r="I113" s="168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4"/>
      <c r="AH113" s="124"/>
      <c r="AI113" s="124"/>
      <c r="AJ113" s="124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</row>
    <row r="114" spans="1:59" ht="13.75" customHeight="1" outlineLevel="1">
      <c r="A114" s="171"/>
      <c r="B114" s="165"/>
      <c r="C114" s="165"/>
      <c r="D114" s="165"/>
      <c r="E114" s="167"/>
      <c r="F114" s="168"/>
      <c r="G114" s="168"/>
      <c r="H114" s="168"/>
      <c r="I114" s="168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4"/>
      <c r="AH114" s="124"/>
      <c r="AI114" s="124"/>
      <c r="AJ114" s="124"/>
    </row>
    <row r="115" spans="1:59" ht="13.75" customHeight="1" outlineLevel="1">
      <c r="A115" s="171"/>
      <c r="B115" s="165"/>
      <c r="C115" s="165"/>
      <c r="D115" s="165"/>
      <c r="E115" s="167"/>
      <c r="F115" s="168"/>
      <c r="G115" s="168"/>
      <c r="H115" s="168"/>
      <c r="I115" s="168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4"/>
      <c r="AH115" s="124"/>
      <c r="AI115" s="124"/>
      <c r="AJ115" s="124"/>
    </row>
    <row r="116" spans="1:59" ht="13.75" customHeight="1" outlineLevel="1">
      <c r="A116" s="171"/>
      <c r="B116" s="165"/>
      <c r="C116" s="165"/>
      <c r="D116" s="165"/>
      <c r="E116" s="167"/>
      <c r="F116" s="168"/>
      <c r="G116" s="168"/>
      <c r="H116" s="168"/>
      <c r="I116" s="168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4"/>
      <c r="AH116" s="124"/>
      <c r="AI116" s="124"/>
      <c r="AJ116" s="124"/>
    </row>
    <row r="117" spans="1:59" ht="13.75" customHeight="1" outlineLevel="1">
      <c r="A117" s="171"/>
      <c r="B117" s="165"/>
      <c r="C117" s="165"/>
      <c r="D117" s="165"/>
      <c r="E117" s="167"/>
      <c r="F117" s="168"/>
      <c r="G117" s="168"/>
      <c r="H117" s="168"/>
      <c r="I117" s="168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4"/>
      <c r="AH117" s="124"/>
      <c r="AI117" s="124"/>
      <c r="AJ117" s="124"/>
    </row>
    <row r="118" spans="1:59" ht="13.75" customHeight="1" outlineLevel="1">
      <c r="A118" s="171"/>
      <c r="B118" s="165"/>
      <c r="C118" s="165"/>
      <c r="D118" s="165"/>
      <c r="E118" s="167"/>
      <c r="F118" s="168"/>
      <c r="G118" s="168"/>
      <c r="H118" s="168"/>
      <c r="I118" s="168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4"/>
      <c r="AH118" s="124"/>
      <c r="AI118" s="124"/>
      <c r="AJ118" s="124"/>
    </row>
    <row r="119" spans="1:59" ht="13.75" customHeight="1" outlineLevel="1">
      <c r="A119" s="171"/>
      <c r="B119" s="165"/>
      <c r="C119" s="165"/>
      <c r="D119" s="165"/>
      <c r="E119" s="167"/>
      <c r="F119" s="168"/>
      <c r="G119" s="168"/>
      <c r="H119" s="168"/>
      <c r="I119" s="168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4"/>
      <c r="AH119" s="124"/>
      <c r="AI119" s="124"/>
      <c r="AJ119" s="124"/>
    </row>
    <row r="120" spans="1:59" ht="13.75" customHeight="1" outlineLevel="1">
      <c r="A120" s="171"/>
      <c r="B120" s="165"/>
      <c r="C120" s="165"/>
      <c r="D120" s="165"/>
      <c r="E120" s="167"/>
      <c r="F120" s="168"/>
      <c r="G120" s="168"/>
      <c r="H120" s="168"/>
      <c r="I120" s="168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18"/>
      <c r="AH120" s="118"/>
    </row>
    <row r="121" spans="1:59" ht="13.75" customHeight="1">
      <c r="A121" s="171" t="s">
        <v>166</v>
      </c>
      <c r="B121" s="165" t="s">
        <v>227</v>
      </c>
      <c r="C121" s="165"/>
      <c r="D121" s="165" t="s">
        <v>168</v>
      </c>
      <c r="F121" s="168" t="s">
        <v>228</v>
      </c>
      <c r="G121" s="168" t="s">
        <v>4</v>
      </c>
      <c r="I121" s="168" t="s">
        <v>229</v>
      </c>
      <c r="U121" s="112"/>
      <c r="V121" s="112"/>
      <c r="W121" s="112"/>
      <c r="X121" s="128">
        <v>273.13583333333332</v>
      </c>
      <c r="Y121" s="128">
        <v>197.9341666666667</v>
      </c>
      <c r="Z121" s="128">
        <v>221.37333333333333</v>
      </c>
      <c r="AA121" s="128">
        <v>250.93750000000003</v>
      </c>
      <c r="AB121" s="128">
        <v>239.15690000000001</v>
      </c>
      <c r="AC121" s="128">
        <v>225.57351190476189</v>
      </c>
      <c r="AD121" s="128">
        <v>482.92708333333331</v>
      </c>
      <c r="AE121" s="128">
        <v>561.79166666666663</v>
      </c>
      <c r="AF121" s="128">
        <v>315.15907928917011</v>
      </c>
      <c r="AG121" s="118">
        <v>216.73408604334244</v>
      </c>
      <c r="AH121" s="118">
        <v>204.50486284024853</v>
      </c>
      <c r="AI121" s="126">
        <v>191.51413803713285</v>
      </c>
      <c r="AJ121" s="126">
        <v>188.58917088142482</v>
      </c>
      <c r="AK121" s="126">
        <v>188.58917088142482</v>
      </c>
      <c r="AL121" s="126">
        <v>188.58917088142482</v>
      </c>
      <c r="AM121" s="126">
        <v>188.58917088142482</v>
      </c>
      <c r="AN121" s="126">
        <v>188.58917088142482</v>
      </c>
      <c r="AO121" s="126">
        <v>188.58917088142482</v>
      </c>
      <c r="AP121" s="126">
        <v>188.58917088142482</v>
      </c>
      <c r="AQ121" s="126">
        <v>188.58917088142482</v>
      </c>
      <c r="AR121" s="126">
        <v>188.58917088142482</v>
      </c>
      <c r="AS121" s="126">
        <v>188.58917088142482</v>
      </c>
      <c r="AT121" s="126">
        <v>188.58917088142482</v>
      </c>
      <c r="AU121" s="126">
        <v>188.58917088142482</v>
      </c>
      <c r="AV121" s="126">
        <v>188.58917088142482</v>
      </c>
      <c r="AW121" s="126">
        <v>188.58917088142482</v>
      </c>
      <c r="AX121" s="126">
        <v>188.58917088142482</v>
      </c>
      <c r="AY121" s="126">
        <v>188.58917088142482</v>
      </c>
      <c r="AZ121" s="126">
        <v>188.58917088142482</v>
      </c>
      <c r="BA121" s="126">
        <v>188.58917088142482</v>
      </c>
      <c r="BB121" s="126">
        <v>188.58917088142482</v>
      </c>
      <c r="BC121" s="126">
        <f t="shared" ref="BC121:BG126" si="69">BB121*(1+((BB121-BA121)/BA121))</f>
        <v>188.58917088142482</v>
      </c>
      <c r="BD121" s="126">
        <f t="shared" si="69"/>
        <v>188.58917088142482</v>
      </c>
      <c r="BE121" s="126">
        <f t="shared" si="69"/>
        <v>188.58917088142482</v>
      </c>
      <c r="BF121" s="126">
        <f t="shared" si="69"/>
        <v>188.58917088142482</v>
      </c>
      <c r="BG121" s="126">
        <f t="shared" si="69"/>
        <v>188.58917088142482</v>
      </c>
    </row>
    <row r="122" spans="1:59" ht="13.75" customHeight="1">
      <c r="A122" s="171" t="s">
        <v>166</v>
      </c>
      <c r="B122" s="165" t="s">
        <v>227</v>
      </c>
      <c r="C122" s="165"/>
      <c r="D122" s="165" t="s">
        <v>168</v>
      </c>
      <c r="E122" s="167"/>
      <c r="F122" s="168" t="s">
        <v>230</v>
      </c>
      <c r="G122" s="168" t="s">
        <v>4</v>
      </c>
      <c r="H122" s="168"/>
      <c r="I122" s="168" t="s">
        <v>229</v>
      </c>
      <c r="U122" s="112"/>
      <c r="V122" s="112"/>
      <c r="W122" s="112"/>
      <c r="X122" s="128">
        <v>459</v>
      </c>
      <c r="Y122" s="128">
        <v>345</v>
      </c>
      <c r="Z122" s="128">
        <v>347.72549019607845</v>
      </c>
      <c r="AA122" s="128">
        <v>412.49019607843138</v>
      </c>
      <c r="AB122" s="128">
        <v>338.1</v>
      </c>
      <c r="AC122" s="128">
        <v>310</v>
      </c>
      <c r="AD122" s="128">
        <v>653.3125</v>
      </c>
      <c r="AE122" s="128">
        <v>835.53125</v>
      </c>
      <c r="AF122" s="128">
        <v>519.35082102237618</v>
      </c>
      <c r="AG122" s="126">
        <v>388.78255593474813</v>
      </c>
      <c r="AH122" s="126">
        <v>380.58710715326464</v>
      </c>
      <c r="AI122" s="126">
        <v>355.94221261617128</v>
      </c>
      <c r="AJ122" s="126">
        <v>354.57731176860523</v>
      </c>
      <c r="AK122" s="126">
        <v>354.57731176860523</v>
      </c>
      <c r="AL122" s="126">
        <v>354.57731176860523</v>
      </c>
      <c r="AM122" s="126">
        <v>354.57731176860523</v>
      </c>
      <c r="AN122" s="126">
        <v>354.57731176860523</v>
      </c>
      <c r="AO122" s="126">
        <v>354.57731176860523</v>
      </c>
      <c r="AP122" s="126">
        <v>354.57731176860523</v>
      </c>
      <c r="AQ122" s="126">
        <v>354.57731176860523</v>
      </c>
      <c r="AR122" s="126">
        <v>354.57731176860523</v>
      </c>
      <c r="AS122" s="126">
        <v>354.57731176860523</v>
      </c>
      <c r="AT122" s="126">
        <v>354.57731176860523</v>
      </c>
      <c r="AU122" s="126">
        <v>354.57731176860523</v>
      </c>
      <c r="AV122" s="126">
        <v>354.57731176860523</v>
      </c>
      <c r="AW122" s="126">
        <v>354.57731176860523</v>
      </c>
      <c r="AX122" s="126">
        <v>354.57731176860523</v>
      </c>
      <c r="AY122" s="126">
        <v>354.57731176860523</v>
      </c>
      <c r="AZ122" s="126">
        <v>354.57731176860523</v>
      </c>
      <c r="BA122" s="126">
        <v>354.57731176860523</v>
      </c>
      <c r="BB122" s="126">
        <v>354.57731176860523</v>
      </c>
      <c r="BC122" s="126">
        <f t="shared" si="69"/>
        <v>354.57731176860523</v>
      </c>
      <c r="BD122" s="126">
        <f t="shared" si="69"/>
        <v>354.57731176860523</v>
      </c>
      <c r="BE122" s="126">
        <f t="shared" si="69"/>
        <v>354.57731176860523</v>
      </c>
      <c r="BF122" s="126">
        <f t="shared" si="69"/>
        <v>354.57731176860523</v>
      </c>
      <c r="BG122" s="126">
        <f t="shared" si="69"/>
        <v>354.57731176860523</v>
      </c>
    </row>
    <row r="123" spans="1:59" ht="13.75" customHeight="1">
      <c r="A123" s="171" t="s">
        <v>166</v>
      </c>
      <c r="B123" s="165" t="s">
        <v>227</v>
      </c>
      <c r="C123" s="165"/>
      <c r="D123" s="165" t="s">
        <v>168</v>
      </c>
      <c r="E123" s="167"/>
      <c r="F123" s="168" t="s">
        <v>231</v>
      </c>
      <c r="G123" s="168" t="s">
        <v>4</v>
      </c>
      <c r="H123" s="168"/>
      <c r="I123" s="168"/>
      <c r="U123" s="112"/>
      <c r="V123" s="112"/>
      <c r="W123" s="112"/>
      <c r="X123" s="128">
        <v>123.48039215686275</v>
      </c>
      <c r="Y123" s="128">
        <v>107.12745098039215</v>
      </c>
      <c r="Z123" s="128">
        <v>81.666666666666671</v>
      </c>
      <c r="AA123" s="128">
        <v>82.303921568627445</v>
      </c>
      <c r="AB123" s="119">
        <v>81.5</v>
      </c>
      <c r="AC123" s="119">
        <v>76.884615384615387</v>
      </c>
      <c r="AD123" s="119">
        <v>113.27291666666667</v>
      </c>
      <c r="AE123" s="119">
        <v>279.5</v>
      </c>
      <c r="AF123" s="119">
        <v>242.33333333333334</v>
      </c>
      <c r="AG123" s="118">
        <v>91.462736644132974</v>
      </c>
      <c r="AH123" s="118">
        <v>89.175045443510385</v>
      </c>
      <c r="AI123" s="118">
        <v>75</v>
      </c>
      <c r="AJ123" s="118">
        <v>75</v>
      </c>
      <c r="AK123" s="126">
        <v>75</v>
      </c>
      <c r="AL123" s="126">
        <v>75</v>
      </c>
      <c r="AM123" s="126">
        <v>75</v>
      </c>
      <c r="AN123" s="126">
        <v>75</v>
      </c>
      <c r="AO123" s="126">
        <v>75</v>
      </c>
      <c r="AP123" s="126">
        <v>75</v>
      </c>
      <c r="AQ123" s="126">
        <v>75</v>
      </c>
      <c r="AR123" s="126">
        <v>75</v>
      </c>
      <c r="AS123" s="126">
        <v>75</v>
      </c>
      <c r="AT123" s="126">
        <v>75</v>
      </c>
      <c r="AU123" s="126">
        <v>75</v>
      </c>
      <c r="AV123" s="126">
        <v>75</v>
      </c>
      <c r="AW123" s="126">
        <v>75</v>
      </c>
      <c r="AX123" s="126">
        <v>75</v>
      </c>
      <c r="AY123" s="126">
        <v>75</v>
      </c>
      <c r="AZ123" s="126">
        <v>75</v>
      </c>
      <c r="BA123" s="126">
        <v>75</v>
      </c>
      <c r="BB123" s="126">
        <v>75</v>
      </c>
      <c r="BC123" s="126">
        <f t="shared" si="69"/>
        <v>75</v>
      </c>
      <c r="BD123" s="126">
        <f t="shared" si="69"/>
        <v>75</v>
      </c>
      <c r="BE123" s="126">
        <f t="shared" si="69"/>
        <v>75</v>
      </c>
      <c r="BF123" s="126">
        <f t="shared" si="69"/>
        <v>75</v>
      </c>
      <c r="BG123" s="126">
        <f t="shared" si="69"/>
        <v>75</v>
      </c>
    </row>
    <row r="124" spans="1:59" ht="13.75" customHeight="1">
      <c r="A124" s="171" t="s">
        <v>166</v>
      </c>
      <c r="B124" s="165" t="s">
        <v>227</v>
      </c>
      <c r="C124" s="165"/>
      <c r="D124" s="165" t="s">
        <v>168</v>
      </c>
      <c r="E124" s="167"/>
      <c r="F124" s="168" t="s">
        <v>232</v>
      </c>
      <c r="G124" s="168" t="s">
        <v>4</v>
      </c>
      <c r="H124" s="168"/>
      <c r="I124" s="168" t="s">
        <v>229</v>
      </c>
      <c r="U124" s="112"/>
      <c r="V124" s="112"/>
      <c r="W124" s="112"/>
      <c r="X124" s="128">
        <v>380.76916666666665</v>
      </c>
      <c r="Y124" s="128">
        <v>233.97833333333335</v>
      </c>
      <c r="Z124" s="128">
        <v>263.95416666666671</v>
      </c>
      <c r="AA124" s="128">
        <v>283.23666666666668</v>
      </c>
      <c r="AB124" s="128">
        <v>230.45099999999999</v>
      </c>
      <c r="AC124" s="128">
        <v>203.54999999999998</v>
      </c>
      <c r="AD124" s="128">
        <v>558</v>
      </c>
      <c r="AE124" s="128">
        <v>1126.5311749396171</v>
      </c>
      <c r="AF124" s="128">
        <v>471.14114067082141</v>
      </c>
      <c r="AG124" s="118">
        <v>305.32776268952955</v>
      </c>
      <c r="AH124" s="118">
        <v>289.05785219416759</v>
      </c>
      <c r="AI124" s="126">
        <v>259.03519106989347</v>
      </c>
      <c r="AJ124" s="126">
        <v>255.3383490560407</v>
      </c>
      <c r="AK124" s="126">
        <v>255.3383490560407</v>
      </c>
      <c r="AL124" s="126">
        <v>255.3383490560407</v>
      </c>
      <c r="AM124" s="126">
        <v>255.3383490560407</v>
      </c>
      <c r="AN124" s="126">
        <v>255.3383490560407</v>
      </c>
      <c r="AO124" s="126">
        <v>255.3383490560407</v>
      </c>
      <c r="AP124" s="126">
        <v>255.3383490560407</v>
      </c>
      <c r="AQ124" s="126">
        <v>255.3383490560407</v>
      </c>
      <c r="AR124" s="126">
        <v>255.3383490560407</v>
      </c>
      <c r="AS124" s="126">
        <v>255.3383490560407</v>
      </c>
      <c r="AT124" s="126">
        <v>255.3383490560407</v>
      </c>
      <c r="AU124" s="126">
        <v>255.3383490560407</v>
      </c>
      <c r="AV124" s="126">
        <v>255.3383490560407</v>
      </c>
      <c r="AW124" s="126">
        <v>255.3383490560407</v>
      </c>
      <c r="AX124" s="126">
        <v>255.3383490560407</v>
      </c>
      <c r="AY124" s="126">
        <v>255.3383490560407</v>
      </c>
      <c r="AZ124" s="126">
        <v>255.3383490560407</v>
      </c>
      <c r="BA124" s="126">
        <v>255.3383490560407</v>
      </c>
      <c r="BB124" s="126">
        <v>255.3383490560407</v>
      </c>
      <c r="BC124" s="126">
        <f t="shared" si="69"/>
        <v>255.3383490560407</v>
      </c>
      <c r="BD124" s="126">
        <f t="shared" si="69"/>
        <v>255.3383490560407</v>
      </c>
      <c r="BE124" s="126">
        <f t="shared" si="69"/>
        <v>255.3383490560407</v>
      </c>
      <c r="BF124" s="126">
        <f t="shared" si="69"/>
        <v>255.3383490560407</v>
      </c>
      <c r="BG124" s="126">
        <f t="shared" si="69"/>
        <v>255.3383490560407</v>
      </c>
    </row>
    <row r="125" spans="1:59" ht="13.75" customHeight="1">
      <c r="A125" s="171" t="s">
        <v>166</v>
      </c>
      <c r="B125" s="165" t="s">
        <v>227</v>
      </c>
      <c r="C125" s="165"/>
      <c r="D125" s="165" t="s">
        <v>168</v>
      </c>
      <c r="E125" s="167"/>
      <c r="F125" s="168" t="s">
        <v>233</v>
      </c>
      <c r="G125" s="168" t="s">
        <v>4</v>
      </c>
      <c r="H125" s="168"/>
      <c r="I125" s="168" t="s">
        <v>229</v>
      </c>
      <c r="U125" s="112"/>
      <c r="V125" s="112"/>
      <c r="W125" s="112"/>
      <c r="X125" s="128">
        <v>224</v>
      </c>
      <c r="Y125" s="128">
        <v>162.92583006443252</v>
      </c>
      <c r="Z125" s="128">
        <v>190.91176470588235</v>
      </c>
      <c r="AA125" s="128">
        <v>187</v>
      </c>
      <c r="AB125" s="128">
        <v>184.40199999999999</v>
      </c>
      <c r="AC125" s="128">
        <v>166.27470238095239</v>
      </c>
      <c r="AD125" s="128">
        <v>350</v>
      </c>
      <c r="AE125" s="128">
        <v>513.77083333333337</v>
      </c>
      <c r="AF125" s="128">
        <v>279.28897840718037</v>
      </c>
      <c r="AG125" s="118">
        <v>208.99587369914761</v>
      </c>
      <c r="AH125" s="118">
        <v>202.20155907628438</v>
      </c>
      <c r="AI125" s="126">
        <v>189.66409579078751</v>
      </c>
      <c r="AJ125" s="126">
        <v>188.1202945658026</v>
      </c>
      <c r="AK125" s="126">
        <v>188.1202945658026</v>
      </c>
      <c r="AL125" s="126">
        <v>188.1202945658026</v>
      </c>
      <c r="AM125" s="126">
        <v>188.1202945658026</v>
      </c>
      <c r="AN125" s="126">
        <v>188.1202945658026</v>
      </c>
      <c r="AO125" s="126">
        <v>188.1202945658026</v>
      </c>
      <c r="AP125" s="126">
        <v>188.1202945658026</v>
      </c>
      <c r="AQ125" s="126">
        <v>188.1202945658026</v>
      </c>
      <c r="AR125" s="126">
        <v>188.1202945658026</v>
      </c>
      <c r="AS125" s="126">
        <v>188.1202945658026</v>
      </c>
      <c r="AT125" s="126">
        <v>188.1202945658026</v>
      </c>
      <c r="AU125" s="126">
        <v>188.1202945658026</v>
      </c>
      <c r="AV125" s="126">
        <v>188.1202945658026</v>
      </c>
      <c r="AW125" s="126">
        <v>188.1202945658026</v>
      </c>
      <c r="AX125" s="126">
        <v>188.1202945658026</v>
      </c>
      <c r="AY125" s="126">
        <v>188.1202945658026</v>
      </c>
      <c r="AZ125" s="126">
        <v>188.1202945658026</v>
      </c>
      <c r="BA125" s="126">
        <v>188.1202945658026</v>
      </c>
      <c r="BB125" s="126">
        <v>188.1202945658026</v>
      </c>
      <c r="BC125" s="126">
        <f t="shared" si="69"/>
        <v>188.1202945658026</v>
      </c>
      <c r="BD125" s="126">
        <f t="shared" si="69"/>
        <v>188.1202945658026</v>
      </c>
      <c r="BE125" s="126">
        <f t="shared" si="69"/>
        <v>188.1202945658026</v>
      </c>
      <c r="BF125" s="126">
        <f t="shared" si="69"/>
        <v>188.1202945658026</v>
      </c>
      <c r="BG125" s="126">
        <f t="shared" si="69"/>
        <v>188.1202945658026</v>
      </c>
    </row>
    <row r="126" spans="1:59" ht="13.75" customHeight="1">
      <c r="A126" s="171" t="s">
        <v>166</v>
      </c>
      <c r="B126" s="165" t="s">
        <v>227</v>
      </c>
      <c r="C126" s="165"/>
      <c r="D126" s="165" t="s">
        <v>168</v>
      </c>
      <c r="E126" s="167"/>
      <c r="F126" s="168" t="s">
        <v>234</v>
      </c>
      <c r="G126" s="168" t="s">
        <v>4</v>
      </c>
      <c r="H126" s="168"/>
      <c r="I126" s="168" t="s">
        <v>229</v>
      </c>
      <c r="U126" s="112"/>
      <c r="V126" s="112"/>
      <c r="W126" s="128">
        <v>321</v>
      </c>
      <c r="X126" s="128">
        <v>323</v>
      </c>
      <c r="Y126" s="128">
        <v>255</v>
      </c>
      <c r="Z126" s="128">
        <v>251.33333333333334</v>
      </c>
      <c r="AA126" s="128">
        <v>287.19607843137254</v>
      </c>
      <c r="AB126" s="128">
        <v>295.89999999999998</v>
      </c>
      <c r="AC126" s="128">
        <v>241.7</v>
      </c>
      <c r="AD126" s="128">
        <v>406.875</v>
      </c>
      <c r="AE126" s="128">
        <v>791.84375</v>
      </c>
      <c r="AF126" s="128">
        <v>414.97806976571701</v>
      </c>
      <c r="AG126" s="118">
        <v>305.74709538332917</v>
      </c>
      <c r="AH126" s="118">
        <v>295.2709381150483</v>
      </c>
      <c r="AI126" s="126">
        <v>270</v>
      </c>
      <c r="AJ126" s="126">
        <v>270</v>
      </c>
      <c r="AK126" s="126">
        <v>270</v>
      </c>
      <c r="AL126" s="126">
        <v>270</v>
      </c>
      <c r="AM126" s="126">
        <v>270</v>
      </c>
      <c r="AN126" s="126">
        <v>270</v>
      </c>
      <c r="AO126" s="126">
        <v>270</v>
      </c>
      <c r="AP126" s="126">
        <v>270</v>
      </c>
      <c r="AQ126" s="126">
        <v>270</v>
      </c>
      <c r="AR126" s="126">
        <v>270</v>
      </c>
      <c r="AS126" s="126">
        <v>270</v>
      </c>
      <c r="AT126" s="126">
        <v>270</v>
      </c>
      <c r="AU126" s="126">
        <v>270</v>
      </c>
      <c r="AV126" s="126">
        <v>270</v>
      </c>
      <c r="AW126" s="126">
        <v>270</v>
      </c>
      <c r="AX126" s="126">
        <v>270</v>
      </c>
      <c r="AY126" s="126">
        <v>270</v>
      </c>
      <c r="AZ126" s="126">
        <v>270</v>
      </c>
      <c r="BA126" s="126">
        <v>270</v>
      </c>
      <c r="BB126" s="126">
        <v>270</v>
      </c>
      <c r="BC126" s="126">
        <f t="shared" si="69"/>
        <v>270</v>
      </c>
      <c r="BD126" s="126">
        <f t="shared" si="69"/>
        <v>270</v>
      </c>
      <c r="BE126" s="126">
        <f t="shared" si="69"/>
        <v>270</v>
      </c>
      <c r="BF126" s="126">
        <f>BE126*(1+((BE126-BD126)/BD126))</f>
        <v>270</v>
      </c>
      <c r="BG126" s="126">
        <f>BF126*(1+((BF126-BE126)/BE126))</f>
        <v>270</v>
      </c>
    </row>
    <row r="127" spans="1:59" ht="13.75" customHeight="1">
      <c r="A127" s="171" t="s">
        <v>166</v>
      </c>
      <c r="B127" s="165" t="s">
        <v>227</v>
      </c>
      <c r="C127" s="165"/>
      <c r="D127" s="165" t="s">
        <v>168</v>
      </c>
      <c r="E127" s="167"/>
      <c r="F127" s="168" t="s">
        <v>235</v>
      </c>
      <c r="G127" s="168" t="s">
        <v>4</v>
      </c>
      <c r="H127" s="168"/>
      <c r="I127" s="168"/>
      <c r="X127" s="128">
        <v>294</v>
      </c>
      <c r="Y127" s="128">
        <v>235</v>
      </c>
      <c r="Z127" s="128">
        <v>235</v>
      </c>
      <c r="AA127" s="119">
        <v>270</v>
      </c>
      <c r="AB127" s="119">
        <v>265</v>
      </c>
      <c r="AC127" s="119">
        <v>239.12</v>
      </c>
      <c r="AD127" s="119">
        <v>312</v>
      </c>
      <c r="AE127" s="119">
        <f>AE126</f>
        <v>791.84375</v>
      </c>
      <c r="AF127" s="119">
        <f t="shared" ref="AF127:BG127" si="70">AF126</f>
        <v>414.97806976571701</v>
      </c>
      <c r="AG127" s="118">
        <f t="shared" si="70"/>
        <v>305.74709538332917</v>
      </c>
      <c r="AH127" s="118">
        <f t="shared" si="70"/>
        <v>295.2709381150483</v>
      </c>
      <c r="AI127" s="118">
        <f t="shared" si="70"/>
        <v>270</v>
      </c>
      <c r="AJ127" s="118">
        <f t="shared" si="70"/>
        <v>270</v>
      </c>
      <c r="AK127" s="118">
        <f t="shared" si="70"/>
        <v>270</v>
      </c>
      <c r="AL127" s="118">
        <f t="shared" si="70"/>
        <v>270</v>
      </c>
      <c r="AM127" s="118">
        <f t="shared" si="70"/>
        <v>270</v>
      </c>
      <c r="AN127" s="118">
        <f t="shared" si="70"/>
        <v>270</v>
      </c>
      <c r="AO127" s="118">
        <f t="shared" si="70"/>
        <v>270</v>
      </c>
      <c r="AP127" s="118">
        <f t="shared" si="70"/>
        <v>270</v>
      </c>
      <c r="AQ127" s="118">
        <f t="shared" si="70"/>
        <v>270</v>
      </c>
      <c r="AR127" s="118">
        <f t="shared" si="70"/>
        <v>270</v>
      </c>
      <c r="AS127" s="118">
        <f t="shared" si="70"/>
        <v>270</v>
      </c>
      <c r="AT127" s="118">
        <f t="shared" si="70"/>
        <v>270</v>
      </c>
      <c r="AU127" s="118">
        <f t="shared" si="70"/>
        <v>270</v>
      </c>
      <c r="AV127" s="118">
        <f t="shared" si="70"/>
        <v>270</v>
      </c>
      <c r="AW127" s="118">
        <f t="shared" si="70"/>
        <v>270</v>
      </c>
      <c r="AX127" s="118">
        <f t="shared" si="70"/>
        <v>270</v>
      </c>
      <c r="AY127" s="118">
        <f t="shared" si="70"/>
        <v>270</v>
      </c>
      <c r="AZ127" s="118">
        <f t="shared" si="70"/>
        <v>270</v>
      </c>
      <c r="BA127" s="118">
        <f t="shared" si="70"/>
        <v>270</v>
      </c>
      <c r="BB127" s="118">
        <f t="shared" si="70"/>
        <v>270</v>
      </c>
      <c r="BC127" s="118">
        <f t="shared" si="70"/>
        <v>270</v>
      </c>
      <c r="BD127" s="118">
        <f t="shared" si="70"/>
        <v>270</v>
      </c>
      <c r="BE127" s="118">
        <f t="shared" si="70"/>
        <v>270</v>
      </c>
      <c r="BF127" s="118">
        <f t="shared" si="70"/>
        <v>270</v>
      </c>
      <c r="BG127" s="118">
        <f t="shared" si="70"/>
        <v>270</v>
      </c>
    </row>
    <row r="128" spans="1:59" ht="13.75" customHeight="1">
      <c r="A128" s="171" t="s">
        <v>166</v>
      </c>
      <c r="B128" s="165" t="s">
        <v>227</v>
      </c>
      <c r="C128" s="165"/>
      <c r="D128" s="165" t="s">
        <v>168</v>
      </c>
      <c r="E128" s="167"/>
      <c r="F128" s="168" t="s">
        <v>236</v>
      </c>
      <c r="G128" s="168" t="s">
        <v>237</v>
      </c>
      <c r="H128" s="168"/>
      <c r="I128" s="168"/>
      <c r="X128" s="120">
        <v>1</v>
      </c>
      <c r="Y128" s="120">
        <v>1</v>
      </c>
      <c r="Z128" s="120">
        <v>1</v>
      </c>
      <c r="AA128" s="120">
        <v>1</v>
      </c>
      <c r="AB128" s="120">
        <v>1</v>
      </c>
      <c r="AC128" s="120">
        <v>1</v>
      </c>
      <c r="AD128" s="116">
        <v>3.5</v>
      </c>
      <c r="AE128" s="116">
        <v>8.75</v>
      </c>
      <c r="AF128" s="116">
        <v>8.75</v>
      </c>
      <c r="AG128" s="116">
        <v>8.75</v>
      </c>
      <c r="AH128" s="116">
        <v>8.75</v>
      </c>
      <c r="AI128" s="116">
        <v>8.75</v>
      </c>
      <c r="AJ128" s="116">
        <v>8.75</v>
      </c>
      <c r="AK128" s="116">
        <v>8.75</v>
      </c>
      <c r="AL128" s="116">
        <v>8.75</v>
      </c>
      <c r="AM128" s="116">
        <v>8.75</v>
      </c>
      <c r="AN128" s="116">
        <v>8.75</v>
      </c>
      <c r="AO128" s="116">
        <v>8.75</v>
      </c>
      <c r="AP128" s="116">
        <v>8.75</v>
      </c>
      <c r="AQ128" s="116">
        <v>8.75</v>
      </c>
      <c r="AR128" s="116">
        <v>8.75</v>
      </c>
      <c r="AS128" s="116">
        <v>8.75</v>
      </c>
      <c r="AT128" s="116">
        <v>8.75</v>
      </c>
      <c r="AU128" s="116">
        <v>8.75</v>
      </c>
      <c r="AV128" s="116">
        <v>8.75</v>
      </c>
      <c r="AW128" s="116">
        <v>8.75</v>
      </c>
      <c r="AX128" s="116">
        <v>8.75</v>
      </c>
      <c r="AY128" s="116">
        <v>8.75</v>
      </c>
      <c r="AZ128" s="116">
        <f>AY128</f>
        <v>8.75</v>
      </c>
      <c r="BA128" s="116">
        <f t="shared" ref="BA128:BG134" si="71">AZ128</f>
        <v>8.75</v>
      </c>
      <c r="BB128" s="116">
        <f t="shared" si="71"/>
        <v>8.75</v>
      </c>
      <c r="BC128" s="116">
        <f t="shared" si="71"/>
        <v>8.75</v>
      </c>
      <c r="BD128" s="116">
        <f t="shared" si="71"/>
        <v>8.75</v>
      </c>
      <c r="BE128" s="116">
        <f t="shared" si="71"/>
        <v>8.75</v>
      </c>
      <c r="BF128" s="116">
        <f t="shared" si="71"/>
        <v>8.75</v>
      </c>
      <c r="BG128" s="116">
        <f t="shared" si="71"/>
        <v>8.75</v>
      </c>
    </row>
    <row r="129" spans="1:59" ht="13.75" customHeight="1">
      <c r="A129" s="171" t="s">
        <v>166</v>
      </c>
      <c r="B129" s="165" t="s">
        <v>227</v>
      </c>
      <c r="C129" s="165"/>
      <c r="D129" s="165" t="s">
        <v>168</v>
      </c>
      <c r="E129" s="167"/>
      <c r="F129" s="168" t="s">
        <v>238</v>
      </c>
      <c r="G129" s="168" t="s">
        <v>3</v>
      </c>
      <c r="H129" s="168"/>
      <c r="I129" s="168"/>
      <c r="X129" s="123">
        <v>0.31900000000000001</v>
      </c>
      <c r="Y129" s="123">
        <v>0.31900000000000001</v>
      </c>
      <c r="Z129" s="123">
        <v>0.31900000000000001</v>
      </c>
      <c r="AA129" s="123">
        <v>0.31900000000000001</v>
      </c>
      <c r="AB129" s="123">
        <v>0.31900000000000001</v>
      </c>
      <c r="AC129" s="123">
        <v>0.31900000000000001</v>
      </c>
      <c r="AD129" s="123">
        <v>0.31900000000000001</v>
      </c>
      <c r="AE129" s="123">
        <v>0.31900000000000001</v>
      </c>
      <c r="AF129" s="123">
        <v>0.31900000000000001</v>
      </c>
      <c r="AG129" s="123">
        <v>0.31900000000000001</v>
      </c>
      <c r="AH129" s="123">
        <v>0.31900000000000001</v>
      </c>
      <c r="AI129" s="123">
        <v>0.31900000000000001</v>
      </c>
      <c r="AJ129" s="123">
        <v>0.31900000000000001</v>
      </c>
      <c r="AK129" s="123">
        <v>0.31900000000000001</v>
      </c>
      <c r="AL129" s="123">
        <v>0.31900000000000001</v>
      </c>
      <c r="AM129" s="123">
        <v>0.31900000000000001</v>
      </c>
      <c r="AN129" s="123">
        <v>0.31900000000000001</v>
      </c>
      <c r="AO129" s="123">
        <v>0.31900000000000001</v>
      </c>
      <c r="AP129" s="123">
        <v>0.31900000000000001</v>
      </c>
      <c r="AQ129" s="123">
        <v>0.31900000000000001</v>
      </c>
      <c r="AR129" s="123">
        <v>0.31900000000000001</v>
      </c>
      <c r="AS129" s="123">
        <v>0.31900000000000001</v>
      </c>
      <c r="AT129" s="123">
        <v>0.31900000000000001</v>
      </c>
      <c r="AU129" s="123">
        <v>0.31900000000000001</v>
      </c>
      <c r="AV129" s="123">
        <v>0.31900000000000001</v>
      </c>
      <c r="AW129" s="123">
        <v>0.31900000000000001</v>
      </c>
      <c r="AX129" s="123">
        <v>0.31900000000000001</v>
      </c>
      <c r="AY129" s="123">
        <v>0.31900000000000001</v>
      </c>
      <c r="AZ129" s="123">
        <f t="shared" ref="AZ129:BB133" si="72">AY129</f>
        <v>0.31900000000000001</v>
      </c>
      <c r="BA129" s="123">
        <f t="shared" si="72"/>
        <v>0.31900000000000001</v>
      </c>
      <c r="BB129" s="123">
        <f t="shared" si="72"/>
        <v>0.31900000000000001</v>
      </c>
      <c r="BC129" s="123">
        <f t="shared" si="71"/>
        <v>0.31900000000000001</v>
      </c>
      <c r="BD129" s="123">
        <f t="shared" si="71"/>
        <v>0.31900000000000001</v>
      </c>
      <c r="BE129" s="123">
        <f t="shared" si="71"/>
        <v>0.31900000000000001</v>
      </c>
      <c r="BF129" s="123">
        <f t="shared" si="71"/>
        <v>0.31900000000000001</v>
      </c>
      <c r="BG129" s="123">
        <f t="shared" si="71"/>
        <v>0.31900000000000001</v>
      </c>
    </row>
    <row r="130" spans="1:59" ht="13.75" customHeight="1">
      <c r="A130" s="171" t="s">
        <v>166</v>
      </c>
      <c r="B130" s="165" t="s">
        <v>227</v>
      </c>
      <c r="C130" s="165"/>
      <c r="D130" s="165" t="s">
        <v>168</v>
      </c>
      <c r="E130" s="167"/>
      <c r="F130" s="168" t="s">
        <v>239</v>
      </c>
      <c r="G130" s="168" t="s">
        <v>3</v>
      </c>
      <c r="H130" s="168"/>
      <c r="I130" s="168"/>
      <c r="X130" s="123">
        <v>0.34</v>
      </c>
      <c r="Y130" s="123">
        <v>0.34</v>
      </c>
      <c r="Z130" s="123">
        <v>0.34</v>
      </c>
      <c r="AA130" s="123">
        <v>0.34</v>
      </c>
      <c r="AB130" s="123">
        <v>0.34</v>
      </c>
      <c r="AC130" s="123">
        <v>0.34</v>
      </c>
      <c r="AD130" s="123">
        <v>0.34</v>
      </c>
      <c r="AE130" s="123">
        <v>0.34</v>
      </c>
      <c r="AF130" s="123">
        <v>0.34</v>
      </c>
      <c r="AG130" s="123">
        <v>0.34</v>
      </c>
      <c r="AH130" s="123">
        <v>0.34</v>
      </c>
      <c r="AI130" s="123">
        <v>0.34</v>
      </c>
      <c r="AJ130" s="123">
        <v>0.34</v>
      </c>
      <c r="AK130" s="123">
        <v>0.34</v>
      </c>
      <c r="AL130" s="123">
        <v>0.34</v>
      </c>
      <c r="AM130" s="123">
        <v>0.34</v>
      </c>
      <c r="AN130" s="123">
        <v>0.34</v>
      </c>
      <c r="AO130" s="123">
        <v>0.34</v>
      </c>
      <c r="AP130" s="123">
        <v>0.34</v>
      </c>
      <c r="AQ130" s="123">
        <v>0.34</v>
      </c>
      <c r="AR130" s="123">
        <v>0.34</v>
      </c>
      <c r="AS130" s="123">
        <v>0.34</v>
      </c>
      <c r="AT130" s="123">
        <v>0.34</v>
      </c>
      <c r="AU130" s="123">
        <v>0.34</v>
      </c>
      <c r="AV130" s="123">
        <v>0.34</v>
      </c>
      <c r="AW130" s="123">
        <v>0.34</v>
      </c>
      <c r="AX130" s="123">
        <v>0.34</v>
      </c>
      <c r="AY130" s="123">
        <v>0.34</v>
      </c>
      <c r="AZ130" s="123">
        <f t="shared" si="72"/>
        <v>0.34</v>
      </c>
      <c r="BA130" s="123">
        <f t="shared" si="72"/>
        <v>0.34</v>
      </c>
      <c r="BB130" s="123">
        <f t="shared" si="72"/>
        <v>0.34</v>
      </c>
      <c r="BC130" s="123">
        <f t="shared" si="71"/>
        <v>0.34</v>
      </c>
      <c r="BD130" s="123">
        <f t="shared" si="71"/>
        <v>0.34</v>
      </c>
      <c r="BE130" s="123">
        <f t="shared" si="71"/>
        <v>0.34</v>
      </c>
      <c r="BF130" s="123">
        <f t="shared" si="71"/>
        <v>0.34</v>
      </c>
      <c r="BG130" s="123">
        <f t="shared" si="71"/>
        <v>0.34</v>
      </c>
    </row>
    <row r="131" spans="1:59" ht="13.75" customHeight="1">
      <c r="A131" s="171" t="s">
        <v>166</v>
      </c>
      <c r="B131" s="165" t="s">
        <v>227</v>
      </c>
      <c r="C131" s="165"/>
      <c r="D131" s="165" t="s">
        <v>168</v>
      </c>
      <c r="E131" s="167"/>
      <c r="F131" s="168" t="s">
        <v>240</v>
      </c>
      <c r="G131" s="168" t="s">
        <v>3</v>
      </c>
      <c r="H131" s="168"/>
      <c r="I131" s="168" t="s">
        <v>241</v>
      </c>
      <c r="X131" s="114"/>
      <c r="Y131" s="123"/>
      <c r="Z131" s="123"/>
      <c r="AA131" s="123"/>
      <c r="AB131" s="123"/>
      <c r="AC131" s="123"/>
      <c r="AD131" s="114">
        <v>0.2094</v>
      </c>
      <c r="AE131" s="114">
        <v>0.2094</v>
      </c>
      <c r="AF131" s="114">
        <v>0.2094</v>
      </c>
      <c r="AG131" s="114">
        <v>0.2094</v>
      </c>
      <c r="AH131" s="114">
        <v>0.2094</v>
      </c>
      <c r="AI131" s="114">
        <v>0.2094</v>
      </c>
      <c r="AJ131" s="114">
        <v>0.2094</v>
      </c>
      <c r="AK131" s="114">
        <v>0.2094</v>
      </c>
      <c r="AL131" s="114">
        <v>0.2094</v>
      </c>
      <c r="AM131" s="114">
        <v>0.2094</v>
      </c>
      <c r="AN131" s="114">
        <v>0.2094</v>
      </c>
      <c r="AO131" s="114">
        <v>0.2094</v>
      </c>
      <c r="AP131" s="114">
        <v>0.2094</v>
      </c>
      <c r="AQ131" s="114">
        <v>0.2094</v>
      </c>
      <c r="AR131" s="114">
        <v>0.2094</v>
      </c>
      <c r="AS131" s="114">
        <v>0.2094</v>
      </c>
      <c r="AT131" s="114">
        <v>0.2094</v>
      </c>
      <c r="AU131" s="114">
        <v>0.2094</v>
      </c>
      <c r="AV131" s="114">
        <v>0.2094</v>
      </c>
      <c r="AW131" s="114">
        <v>0.2094</v>
      </c>
      <c r="AX131" s="114">
        <v>0.2094</v>
      </c>
      <c r="AY131" s="114">
        <v>0.2094</v>
      </c>
      <c r="AZ131" s="114">
        <f t="shared" si="72"/>
        <v>0.2094</v>
      </c>
      <c r="BA131" s="114">
        <f t="shared" si="72"/>
        <v>0.2094</v>
      </c>
      <c r="BB131" s="114">
        <f t="shared" si="72"/>
        <v>0.2094</v>
      </c>
      <c r="BC131" s="114">
        <f t="shared" si="71"/>
        <v>0.2094</v>
      </c>
      <c r="BD131" s="114">
        <f t="shared" si="71"/>
        <v>0.2094</v>
      </c>
      <c r="BE131" s="114">
        <f t="shared" si="71"/>
        <v>0.2094</v>
      </c>
      <c r="BF131" s="114">
        <f t="shared" si="71"/>
        <v>0.2094</v>
      </c>
      <c r="BG131" s="114">
        <f t="shared" si="71"/>
        <v>0.2094</v>
      </c>
    </row>
    <row r="132" spans="1:59" ht="13.75" customHeight="1">
      <c r="A132" s="171" t="s">
        <v>166</v>
      </c>
      <c r="B132" s="165" t="s">
        <v>227</v>
      </c>
      <c r="C132" s="165"/>
      <c r="D132" s="165" t="s">
        <v>168</v>
      </c>
      <c r="E132" s="167"/>
      <c r="F132" s="168" t="s">
        <v>242</v>
      </c>
      <c r="G132" s="168" t="s">
        <v>3</v>
      </c>
      <c r="H132" s="168"/>
      <c r="I132" s="168" t="s">
        <v>241</v>
      </c>
      <c r="X132" s="114"/>
      <c r="Y132" s="123"/>
      <c r="Z132" s="123"/>
      <c r="AA132" s="123"/>
      <c r="AB132" s="123"/>
      <c r="AC132" s="123"/>
      <c r="AD132" s="114">
        <v>0.72499999999999998</v>
      </c>
      <c r="AE132" s="114">
        <v>0.72499999999999998</v>
      </c>
      <c r="AF132" s="114">
        <v>0.72499999999999998</v>
      </c>
      <c r="AG132" s="114">
        <v>0.72499999999999998</v>
      </c>
      <c r="AH132" s="114">
        <v>0.72499999999999998</v>
      </c>
      <c r="AI132" s="114">
        <v>0.72499999999999998</v>
      </c>
      <c r="AJ132" s="114">
        <v>0.72499999999999998</v>
      </c>
      <c r="AK132" s="114">
        <v>0.72499999999999998</v>
      </c>
      <c r="AL132" s="114">
        <v>0.72499999999999998</v>
      </c>
      <c r="AM132" s="114">
        <v>0.72499999999999998</v>
      </c>
      <c r="AN132" s="114">
        <v>0.72499999999999998</v>
      </c>
      <c r="AO132" s="114">
        <v>0.72499999999999998</v>
      </c>
      <c r="AP132" s="114">
        <v>0.72499999999999998</v>
      </c>
      <c r="AQ132" s="114">
        <v>0.72499999999999998</v>
      </c>
      <c r="AR132" s="114">
        <v>0.72499999999999998</v>
      </c>
      <c r="AS132" s="114">
        <v>0.72499999999999998</v>
      </c>
      <c r="AT132" s="114">
        <v>0.72499999999999998</v>
      </c>
      <c r="AU132" s="114">
        <v>0.72499999999999998</v>
      </c>
      <c r="AV132" s="114">
        <v>0.72499999999999998</v>
      </c>
      <c r="AW132" s="114">
        <v>0.72499999999999998</v>
      </c>
      <c r="AX132" s="114">
        <v>0.72499999999999998</v>
      </c>
      <c r="AY132" s="114">
        <v>0.72499999999999998</v>
      </c>
      <c r="AZ132" s="114">
        <f t="shared" si="72"/>
        <v>0.72499999999999998</v>
      </c>
      <c r="BA132" s="114">
        <f t="shared" si="72"/>
        <v>0.72499999999999998</v>
      </c>
      <c r="BB132" s="114">
        <f t="shared" si="72"/>
        <v>0.72499999999999998</v>
      </c>
      <c r="BC132" s="114">
        <f t="shared" si="71"/>
        <v>0.72499999999999998</v>
      </c>
      <c r="BD132" s="114">
        <f t="shared" si="71"/>
        <v>0.72499999999999998</v>
      </c>
      <c r="BE132" s="114">
        <f t="shared" si="71"/>
        <v>0.72499999999999998</v>
      </c>
      <c r="BF132" s="114">
        <f t="shared" si="71"/>
        <v>0.72499999999999998</v>
      </c>
      <c r="BG132" s="114">
        <f t="shared" si="71"/>
        <v>0.72499999999999998</v>
      </c>
    </row>
    <row r="133" spans="1:59" ht="13.75" customHeight="1">
      <c r="A133" s="171" t="s">
        <v>166</v>
      </c>
      <c r="B133" s="165" t="s">
        <v>227</v>
      </c>
      <c r="C133" s="165"/>
      <c r="D133" s="165" t="s">
        <v>168</v>
      </c>
      <c r="E133" s="167"/>
      <c r="F133" s="168" t="s">
        <v>243</v>
      </c>
      <c r="G133" s="168" t="s">
        <v>3</v>
      </c>
      <c r="H133" s="168"/>
      <c r="I133" s="168" t="s">
        <v>241</v>
      </c>
      <c r="X133" s="114"/>
      <c r="Y133" s="123"/>
      <c r="Z133" s="123"/>
      <c r="AA133" s="123"/>
      <c r="AB133" s="123"/>
      <c r="AC133" s="123"/>
      <c r="AD133" s="114">
        <v>0.32919999999999999</v>
      </c>
      <c r="AE133" s="114">
        <v>0.32919999999999999</v>
      </c>
      <c r="AF133" s="114">
        <v>0.32919999999999999</v>
      </c>
      <c r="AG133" s="114">
        <v>0.32919999999999999</v>
      </c>
      <c r="AH133" s="114">
        <v>0.32919999999999999</v>
      </c>
      <c r="AI133" s="114">
        <v>0.32919999999999999</v>
      </c>
      <c r="AJ133" s="114">
        <v>0.32919999999999999</v>
      </c>
      <c r="AK133" s="114">
        <v>0.32919999999999999</v>
      </c>
      <c r="AL133" s="114">
        <v>0.32919999999999999</v>
      </c>
      <c r="AM133" s="114">
        <v>0.32919999999999999</v>
      </c>
      <c r="AN133" s="114">
        <v>0.32919999999999999</v>
      </c>
      <c r="AO133" s="114">
        <v>0.32919999999999999</v>
      </c>
      <c r="AP133" s="114">
        <v>0.32919999999999999</v>
      </c>
      <c r="AQ133" s="114">
        <v>0.32919999999999999</v>
      </c>
      <c r="AR133" s="114">
        <v>0.32919999999999999</v>
      </c>
      <c r="AS133" s="114">
        <v>0.32919999999999999</v>
      </c>
      <c r="AT133" s="114">
        <v>0.32919999999999999</v>
      </c>
      <c r="AU133" s="114">
        <v>0.32919999999999999</v>
      </c>
      <c r="AV133" s="114">
        <v>0.32919999999999999</v>
      </c>
      <c r="AW133" s="114">
        <v>0.32919999999999999</v>
      </c>
      <c r="AX133" s="114">
        <v>0.32919999999999999</v>
      </c>
      <c r="AY133" s="114">
        <v>0.32919999999999999</v>
      </c>
      <c r="AZ133" s="114">
        <f t="shared" si="72"/>
        <v>0.32919999999999999</v>
      </c>
      <c r="BA133" s="114">
        <f t="shared" si="72"/>
        <v>0.32919999999999999</v>
      </c>
      <c r="BB133" s="114">
        <f t="shared" si="72"/>
        <v>0.32919999999999999</v>
      </c>
      <c r="BC133" s="114">
        <f t="shared" si="71"/>
        <v>0.32919999999999999</v>
      </c>
      <c r="BD133" s="114">
        <f t="shared" si="71"/>
        <v>0.32919999999999999</v>
      </c>
      <c r="BE133" s="114">
        <f t="shared" si="71"/>
        <v>0.32919999999999999</v>
      </c>
      <c r="BF133" s="114">
        <f t="shared" si="71"/>
        <v>0.32919999999999999</v>
      </c>
      <c r="BG133" s="114">
        <f t="shared" si="71"/>
        <v>0.32919999999999999</v>
      </c>
    </row>
    <row r="134" spans="1:59" ht="13.75" customHeight="1" outlineLevel="1">
      <c r="A134" s="171" t="s">
        <v>166</v>
      </c>
      <c r="B134" s="165" t="s">
        <v>227</v>
      </c>
      <c r="C134" s="165"/>
      <c r="D134" s="165" t="s">
        <v>168</v>
      </c>
      <c r="E134" s="167"/>
      <c r="F134" s="168" t="s">
        <v>244</v>
      </c>
      <c r="G134" s="168" t="s">
        <v>4</v>
      </c>
      <c r="H134" s="168"/>
      <c r="I134" s="168"/>
      <c r="X134" s="120"/>
      <c r="Y134" s="120"/>
      <c r="Z134" s="120"/>
      <c r="AA134" s="120"/>
      <c r="AB134" s="120"/>
      <c r="AC134" s="109"/>
      <c r="AD134" s="119">
        <v>417.84375</v>
      </c>
      <c r="AE134" s="119">
        <v>606.07291666666663</v>
      </c>
      <c r="AF134" s="119">
        <v>434.72268819685473</v>
      </c>
      <c r="AG134" s="144">
        <v>311.85187837415123</v>
      </c>
      <c r="AH134" s="144">
        <v>304.19186881651939</v>
      </c>
      <c r="AI134" s="111">
        <v>293.39980041807934</v>
      </c>
      <c r="AJ134" s="111">
        <v>275.66040928251829</v>
      </c>
      <c r="AK134" s="111">
        <v>275.77515052755575</v>
      </c>
      <c r="AL134" s="111">
        <v>301.32850059341166</v>
      </c>
      <c r="AM134" s="111">
        <v>301.32850059341166</v>
      </c>
      <c r="AN134" s="111">
        <v>301.32850059341166</v>
      </c>
      <c r="AO134" s="111">
        <v>301.32850059341166</v>
      </c>
      <c r="AP134" s="111">
        <v>301.32850059341166</v>
      </c>
      <c r="AQ134" s="111">
        <v>301.32850059341166</v>
      </c>
      <c r="AR134" s="111">
        <v>301.32850059341166</v>
      </c>
      <c r="AS134" s="111">
        <v>301.32850059341166</v>
      </c>
      <c r="AT134" s="111">
        <v>301.32850059341166</v>
      </c>
      <c r="AU134" s="111">
        <v>301.32850059341166</v>
      </c>
      <c r="AV134" s="111">
        <v>301.32850059341166</v>
      </c>
      <c r="AW134" s="111">
        <v>301.32850059341166</v>
      </c>
      <c r="AX134" s="111">
        <v>301.32850059341166</v>
      </c>
      <c r="AY134" s="111">
        <v>301.32850059341166</v>
      </c>
      <c r="AZ134" s="111">
        <v>301.32850059341166</v>
      </c>
      <c r="BA134" s="111">
        <v>301.32850059341166</v>
      </c>
      <c r="BB134" s="111">
        <v>301.32850059341166</v>
      </c>
      <c r="BC134" s="111">
        <f>BB134</f>
        <v>301.32850059341166</v>
      </c>
      <c r="BD134" s="111">
        <f t="shared" si="71"/>
        <v>301.32850059341166</v>
      </c>
      <c r="BE134" s="111">
        <f t="shared" si="71"/>
        <v>301.32850059341166</v>
      </c>
      <c r="BF134" s="111">
        <f t="shared" si="71"/>
        <v>301.32850059341166</v>
      </c>
      <c r="BG134" s="111">
        <f t="shared" si="71"/>
        <v>301.32850059341166</v>
      </c>
    </row>
    <row r="135" spans="1:59" ht="13.75" customHeight="1" outlineLevel="1">
      <c r="A135" s="171"/>
      <c r="B135" s="165"/>
      <c r="C135" s="165"/>
      <c r="D135" s="165"/>
      <c r="E135" s="167"/>
      <c r="F135" s="168"/>
      <c r="G135" s="168"/>
      <c r="H135" s="168"/>
      <c r="I135" s="168"/>
      <c r="X135" s="120"/>
      <c r="Y135" s="120"/>
      <c r="Z135" s="120"/>
      <c r="AA135" s="120"/>
      <c r="AB135" s="120"/>
      <c r="AC135" s="109"/>
      <c r="AD135" s="109"/>
      <c r="AE135" s="109"/>
      <c r="AF135" s="109"/>
      <c r="AG135" s="118"/>
      <c r="AH135" s="118"/>
    </row>
    <row r="136" spans="1:59" ht="13.75" customHeight="1" outlineLevel="1">
      <c r="A136" s="171"/>
      <c r="B136" s="165"/>
      <c r="C136" s="165"/>
      <c r="D136" s="165"/>
      <c r="E136" s="167"/>
      <c r="F136" s="168"/>
      <c r="G136" s="168"/>
      <c r="H136" s="168"/>
      <c r="I136" s="168"/>
      <c r="X136" s="120"/>
      <c r="Y136" s="120"/>
      <c r="Z136" s="120"/>
      <c r="AA136" s="120"/>
      <c r="AB136" s="120"/>
      <c r="AC136" s="109"/>
      <c r="AD136" s="109"/>
      <c r="AE136" s="109"/>
      <c r="AF136" s="109"/>
      <c r="AG136" s="118"/>
      <c r="AH136" s="118"/>
    </row>
    <row r="137" spans="1:59" ht="13.75" customHeight="1" outlineLevel="1">
      <c r="A137" s="171"/>
      <c r="B137" s="165"/>
      <c r="C137" s="165"/>
      <c r="D137" s="165"/>
      <c r="E137" s="167"/>
      <c r="F137" s="168"/>
      <c r="G137" s="168"/>
      <c r="H137" s="168"/>
      <c r="I137" s="168"/>
      <c r="X137" s="120"/>
      <c r="Y137" s="120"/>
      <c r="Z137" s="120"/>
      <c r="AA137" s="120"/>
      <c r="AB137" s="120"/>
      <c r="AC137" s="109"/>
      <c r="AD137" s="109"/>
      <c r="AE137" s="109"/>
      <c r="AF137" s="109"/>
      <c r="AG137" s="118"/>
      <c r="AH137" s="118"/>
    </row>
    <row r="138" spans="1:59" ht="13.75" customHeight="1" outlineLevel="1">
      <c r="A138" s="171"/>
      <c r="B138" s="165"/>
      <c r="C138" s="165"/>
      <c r="D138" s="165"/>
      <c r="E138" s="167"/>
      <c r="F138" s="168"/>
      <c r="G138" s="168"/>
      <c r="H138" s="168"/>
      <c r="I138" s="168"/>
      <c r="X138" s="120"/>
      <c r="Y138" s="120"/>
      <c r="Z138" s="120"/>
      <c r="AA138" s="120"/>
      <c r="AB138" s="120"/>
      <c r="AC138" s="109"/>
      <c r="AD138" s="109"/>
      <c r="AE138" s="109"/>
      <c r="AF138" s="109"/>
      <c r="AG138" s="118"/>
      <c r="AH138" s="118"/>
    </row>
    <row r="139" spans="1:59" ht="13.75" customHeight="1" outlineLevel="1">
      <c r="A139" s="171"/>
      <c r="B139" s="165"/>
      <c r="C139" s="165"/>
      <c r="D139" s="165"/>
      <c r="E139" s="167"/>
      <c r="F139" s="168"/>
      <c r="G139" s="168"/>
      <c r="H139" s="168"/>
      <c r="I139" s="168"/>
      <c r="X139" s="120"/>
      <c r="Y139" s="120"/>
      <c r="Z139" s="120"/>
      <c r="AA139" s="120"/>
      <c r="AB139" s="120"/>
      <c r="AC139" s="109"/>
      <c r="AD139" s="109"/>
      <c r="AE139" s="109"/>
      <c r="AF139" s="109"/>
      <c r="AG139" s="118"/>
      <c r="AH139" s="118"/>
    </row>
    <row r="140" spans="1:59" ht="13.75" customHeight="1" outlineLevel="1">
      <c r="A140" s="171"/>
      <c r="B140" s="165"/>
      <c r="C140" s="165"/>
      <c r="D140" s="165"/>
      <c r="E140" s="167"/>
      <c r="F140" s="168"/>
      <c r="G140" s="168"/>
      <c r="H140" s="168"/>
      <c r="I140" s="168"/>
      <c r="X140" s="120"/>
      <c r="Y140" s="120"/>
      <c r="Z140" s="120"/>
      <c r="AA140" s="120"/>
      <c r="AB140" s="120"/>
      <c r="AC140" s="109"/>
      <c r="AD140" s="109"/>
      <c r="AE140" s="109"/>
      <c r="AF140" s="109"/>
      <c r="AG140" s="118"/>
      <c r="AH140" s="118"/>
    </row>
    <row r="141" spans="1:59" ht="13.75" customHeight="1" outlineLevel="1">
      <c r="A141" s="171"/>
      <c r="B141" s="165"/>
      <c r="C141" s="165"/>
      <c r="D141" s="165"/>
      <c r="E141" s="167"/>
      <c r="F141" s="168"/>
      <c r="G141" s="168"/>
      <c r="H141" s="168"/>
      <c r="I141" s="168"/>
      <c r="X141" s="120"/>
      <c r="Y141" s="120"/>
      <c r="Z141" s="120"/>
      <c r="AA141" s="120"/>
      <c r="AB141" s="120"/>
      <c r="AC141" s="109"/>
      <c r="AD141" s="109"/>
      <c r="AE141" s="109"/>
      <c r="AF141" s="109"/>
      <c r="AG141" s="118"/>
      <c r="AH141" s="118"/>
    </row>
    <row r="142" spans="1:59" ht="13.75" customHeight="1" outlineLevel="1">
      <c r="A142" s="171"/>
      <c r="B142" s="165"/>
      <c r="C142" s="165"/>
      <c r="D142" s="165"/>
      <c r="E142" s="167"/>
      <c r="F142" s="168"/>
      <c r="G142" s="168"/>
      <c r="H142" s="168"/>
      <c r="I142" s="168"/>
      <c r="X142" s="120"/>
      <c r="Y142" s="120"/>
      <c r="Z142" s="120"/>
      <c r="AA142" s="120"/>
      <c r="AB142" s="120"/>
      <c r="AC142" s="109"/>
      <c r="AD142" s="109"/>
      <c r="AE142" s="109"/>
      <c r="AF142" s="109"/>
      <c r="AG142" s="118"/>
      <c r="AH142" s="118"/>
    </row>
    <row r="143" spans="1:59" ht="13.75" customHeight="1" outlineLevel="1">
      <c r="A143" s="171"/>
      <c r="B143" s="165"/>
      <c r="C143" s="165"/>
      <c r="D143" s="165"/>
      <c r="E143" s="167"/>
      <c r="F143" s="168"/>
      <c r="G143" s="168"/>
      <c r="H143" s="168"/>
      <c r="I143" s="168"/>
      <c r="X143" s="120"/>
      <c r="Y143" s="120"/>
      <c r="Z143" s="120"/>
      <c r="AA143" s="120"/>
      <c r="AB143" s="120"/>
      <c r="AC143" s="109"/>
      <c r="AD143" s="109"/>
      <c r="AE143" s="109"/>
      <c r="AF143" s="109"/>
      <c r="AG143" s="118"/>
      <c r="AH143" s="118"/>
    </row>
    <row r="144" spans="1:59" ht="13.75" customHeight="1" outlineLevel="1">
      <c r="A144" s="171"/>
      <c r="B144" s="165"/>
      <c r="C144" s="165"/>
      <c r="D144" s="165"/>
      <c r="E144" s="167"/>
      <c r="F144" s="168"/>
      <c r="G144" s="168"/>
      <c r="H144" s="168"/>
      <c r="I144" s="168"/>
      <c r="X144" s="120"/>
      <c r="Y144" s="120"/>
      <c r="Z144" s="120"/>
      <c r="AA144" s="120"/>
      <c r="AB144" s="120"/>
      <c r="AC144" s="109"/>
      <c r="AD144" s="109"/>
      <c r="AE144" s="109"/>
      <c r="AF144" s="109"/>
      <c r="AG144" s="118"/>
      <c r="AH144" s="118"/>
    </row>
    <row r="145" spans="1:59" ht="13.75" customHeight="1" outlineLevel="1">
      <c r="A145" s="171"/>
      <c r="B145" s="165"/>
      <c r="C145" s="165"/>
      <c r="D145" s="165"/>
      <c r="E145" s="167"/>
      <c r="F145" s="168"/>
      <c r="G145" s="168"/>
      <c r="H145" s="168"/>
      <c r="I145" s="168"/>
      <c r="X145" s="120"/>
      <c r="Y145" s="120"/>
      <c r="Z145" s="120"/>
      <c r="AA145" s="120"/>
      <c r="AB145" s="120"/>
      <c r="AG145" s="118"/>
      <c r="AH145" s="118"/>
    </row>
    <row r="146" spans="1:59" ht="13.75" customHeight="1" outlineLevel="1">
      <c r="A146" s="171"/>
      <c r="B146" s="165"/>
      <c r="C146" s="165"/>
      <c r="D146" s="165"/>
      <c r="E146" s="167"/>
      <c r="F146" s="168"/>
      <c r="G146" s="168"/>
      <c r="H146" s="168"/>
      <c r="I146" s="168"/>
      <c r="X146" s="120"/>
      <c r="Y146" s="120"/>
      <c r="Z146" s="120"/>
      <c r="AA146" s="120"/>
      <c r="AB146" s="120"/>
      <c r="AG146" s="118"/>
      <c r="AH146" s="118"/>
    </row>
    <row r="147" spans="1:59" ht="13.75" customHeight="1" outlineLevel="1">
      <c r="A147" s="171"/>
      <c r="B147" s="165"/>
      <c r="C147" s="165"/>
      <c r="D147" s="165"/>
      <c r="E147" s="167"/>
      <c r="F147" s="168"/>
      <c r="G147" s="168"/>
      <c r="H147" s="168"/>
      <c r="I147" s="168"/>
      <c r="X147" s="120"/>
      <c r="Y147" s="120"/>
      <c r="Z147" s="120"/>
      <c r="AA147" s="120"/>
      <c r="AB147" s="120"/>
      <c r="AG147" s="118"/>
      <c r="AH147" s="118"/>
    </row>
    <row r="148" spans="1:59" ht="13.75" customHeight="1" outlineLevel="1">
      <c r="A148" s="171"/>
      <c r="B148" s="165"/>
      <c r="C148" s="165"/>
      <c r="D148" s="165"/>
      <c r="E148" s="167"/>
      <c r="F148" s="168"/>
      <c r="G148" s="168"/>
      <c r="H148" s="168"/>
      <c r="I148" s="168"/>
      <c r="X148" s="120"/>
      <c r="Y148" s="120"/>
      <c r="Z148" s="120"/>
      <c r="AA148" s="120"/>
      <c r="AB148" s="120"/>
      <c r="AG148" s="118"/>
      <c r="AH148" s="118"/>
    </row>
    <row r="149" spans="1:59" ht="13.75" customHeight="1" outlineLevel="1">
      <c r="A149" s="171"/>
      <c r="B149" s="165"/>
      <c r="C149" s="165"/>
      <c r="D149" s="165"/>
      <c r="E149" s="167"/>
      <c r="F149" s="168"/>
      <c r="G149" s="168"/>
      <c r="H149" s="168"/>
      <c r="I149" s="168"/>
      <c r="X149" s="120"/>
      <c r="Y149" s="120"/>
      <c r="Z149" s="120"/>
      <c r="AA149" s="120"/>
      <c r="AB149" s="120"/>
      <c r="AG149" s="118"/>
      <c r="AH149" s="118"/>
    </row>
    <row r="150" spans="1:59" ht="13.75" customHeight="1" outlineLevel="1">
      <c r="A150" s="171"/>
      <c r="B150" s="165"/>
      <c r="C150" s="165"/>
      <c r="D150" s="165"/>
      <c r="E150" s="167"/>
      <c r="F150" s="168"/>
      <c r="G150" s="168"/>
      <c r="H150" s="168"/>
      <c r="I150" s="168"/>
      <c r="X150" s="120"/>
      <c r="Y150" s="120"/>
      <c r="Z150" s="120"/>
      <c r="AA150" s="120"/>
      <c r="AB150" s="120"/>
      <c r="AG150" s="118"/>
      <c r="AH150" s="118"/>
    </row>
    <row r="151" spans="1:59" ht="13.75" customHeight="1" outlineLevel="1">
      <c r="A151" s="171"/>
      <c r="B151" s="165"/>
      <c r="C151" s="165"/>
      <c r="D151" s="165"/>
      <c r="E151" s="167"/>
      <c r="F151" s="168"/>
      <c r="G151" s="168"/>
      <c r="H151" s="168"/>
      <c r="I151" s="168"/>
      <c r="X151" s="120"/>
      <c r="Y151" s="120"/>
      <c r="Z151" s="120"/>
      <c r="AA151" s="120"/>
      <c r="AB151" s="120"/>
      <c r="AG151" s="118"/>
      <c r="AH151" s="118"/>
    </row>
    <row r="152" spans="1:59" ht="13.75" customHeight="1">
      <c r="A152" s="171" t="s">
        <v>166</v>
      </c>
      <c r="B152" s="165" t="s">
        <v>245</v>
      </c>
      <c r="C152" s="165"/>
      <c r="D152" s="165" t="s">
        <v>168</v>
      </c>
      <c r="E152" s="167"/>
      <c r="F152" s="168" t="s">
        <v>246</v>
      </c>
      <c r="G152" s="168" t="s">
        <v>247</v>
      </c>
      <c r="H152" s="168"/>
      <c r="I152" s="168" t="s">
        <v>248</v>
      </c>
      <c r="U152" s="112">
        <v>6.7510000000000003</v>
      </c>
      <c r="V152" s="112">
        <v>6.5810000000000004</v>
      </c>
      <c r="W152" s="125">
        <v>6.2181566666666654</v>
      </c>
      <c r="X152" s="125">
        <v>7.8529999999999998</v>
      </c>
      <c r="Y152" s="125">
        <v>8.7779441666666678</v>
      </c>
      <c r="Z152" s="125">
        <v>7.0304200000000003</v>
      </c>
      <c r="AA152" s="125">
        <v>7.845482500000001</v>
      </c>
      <c r="AB152" s="125">
        <v>10.406464166666668</v>
      </c>
      <c r="AC152" s="125">
        <v>10.975932499999999</v>
      </c>
      <c r="AD152" s="125">
        <v>13.644059166666667</v>
      </c>
      <c r="AE152" s="125">
        <v>13.225660833333333</v>
      </c>
      <c r="AF152" s="125">
        <v>10.451969187145393</v>
      </c>
      <c r="AG152" s="125">
        <v>11.089878491426559</v>
      </c>
      <c r="AH152" s="125">
        <v>11.361586086432686</v>
      </c>
      <c r="AI152" s="125">
        <v>11.276752910320647</v>
      </c>
      <c r="AJ152" s="125">
        <v>11.615055497630268</v>
      </c>
      <c r="AK152" s="125">
        <v>11.963507162559177</v>
      </c>
      <c r="AL152" s="125">
        <v>12.322412377435953</v>
      </c>
      <c r="AM152" s="125">
        <v>12.692084748759031</v>
      </c>
      <c r="AN152" s="125">
        <v>13.072847291221802</v>
      </c>
      <c r="AO152" s="125">
        <v>13.465032709958455</v>
      </c>
      <c r="AP152" s="125">
        <v>13.86898369125721</v>
      </c>
      <c r="AQ152" s="125">
        <v>14.285053201994927</v>
      </c>
      <c r="AR152" s="125">
        <v>14.713604798054774</v>
      </c>
      <c r="AS152" s="125">
        <v>15.155012941996418</v>
      </c>
      <c r="AT152" s="125">
        <v>15.609663330256311</v>
      </c>
      <c r="AU152" s="125">
        <v>16.077953230163999</v>
      </c>
      <c r="AV152" s="125">
        <v>16.560291827068919</v>
      </c>
      <c r="AW152" s="125">
        <v>17.057100581880988</v>
      </c>
      <c r="AX152" s="125">
        <v>17.568813599337417</v>
      </c>
      <c r="AY152" s="125">
        <v>18.095878007317541</v>
      </c>
      <c r="AZ152" s="125">
        <v>18.638754347537066</v>
      </c>
      <c r="BA152" s="125">
        <v>19.197916977963178</v>
      </c>
      <c r="BB152" s="125">
        <v>19.773854487302074</v>
      </c>
      <c r="BC152" s="125">
        <f>BB152*(1+((BB152-BA152)/BA152))</f>
        <v>20.367070121921138</v>
      </c>
      <c r="BD152" s="125">
        <f t="shared" ref="BD152:BG167" si="73">BC152*(1+((BC152-BB152)/BB152))</f>
        <v>20.978082225578774</v>
      </c>
      <c r="BE152" s="125">
        <f t="shared" si="73"/>
        <v>21.607424692346139</v>
      </c>
      <c r="BF152" s="125">
        <f t="shared" si="73"/>
        <v>22.255647433116525</v>
      </c>
      <c r="BG152" s="125">
        <f t="shared" si="73"/>
        <v>22.923316856110024</v>
      </c>
    </row>
    <row r="153" spans="1:59" ht="13.75" customHeight="1">
      <c r="A153" s="171" t="s">
        <v>166</v>
      </c>
      <c r="B153" s="165" t="s">
        <v>245</v>
      </c>
      <c r="C153" s="165"/>
      <c r="D153" s="165" t="s">
        <v>168</v>
      </c>
      <c r="E153" s="167"/>
      <c r="F153" s="168" t="s">
        <v>249</v>
      </c>
      <c r="G153" s="168" t="s">
        <v>250</v>
      </c>
      <c r="H153" s="168"/>
      <c r="I153" s="168" t="s">
        <v>251</v>
      </c>
      <c r="U153" s="112">
        <v>13.603999999999999</v>
      </c>
      <c r="V153" s="112">
        <v>15.875</v>
      </c>
      <c r="W153" s="125">
        <v>19.614000000000001</v>
      </c>
      <c r="X153" s="125">
        <v>20.648</v>
      </c>
      <c r="Y153" s="125">
        <v>21.814</v>
      </c>
      <c r="Z153" s="125">
        <v>24.5</v>
      </c>
      <c r="AA153" s="125">
        <v>22.9</v>
      </c>
      <c r="AB153" s="125">
        <v>24.903728333333333</v>
      </c>
      <c r="AC153" s="125">
        <v>25.885917499999998</v>
      </c>
      <c r="AD153" s="125">
        <v>27.481773333333336</v>
      </c>
      <c r="AE153" s="125">
        <v>32.981347499999998</v>
      </c>
      <c r="AF153" s="125">
        <v>31.783900440154444</v>
      </c>
      <c r="AG153" s="125">
        <v>27.564023999081666</v>
      </c>
      <c r="AH153" s="125">
        <v>28.76176413663309</v>
      </c>
      <c r="AI153" s="125">
        <v>29.923491792691316</v>
      </c>
      <c r="AJ153" s="125">
        <v>31.120431464398969</v>
      </c>
      <c r="AK153" s="125">
        <v>32.365248722974925</v>
      </c>
      <c r="AL153" s="125">
        <v>33.659858671893922</v>
      </c>
      <c r="AM153" s="125">
        <v>35.006253018769677</v>
      </c>
      <c r="AN153" s="125">
        <v>36.406503139520467</v>
      </c>
      <c r="AO153" s="125">
        <v>37.862763265101286</v>
      </c>
      <c r="AP153" s="125">
        <v>39.377273795705342</v>
      </c>
      <c r="AQ153" s="125">
        <v>40.952364747533558</v>
      </c>
      <c r="AR153" s="125">
        <v>42.590459337434901</v>
      </c>
      <c r="AS153" s="125">
        <v>44.294077710932299</v>
      </c>
      <c r="AT153" s="125">
        <v>46.065840819369591</v>
      </c>
      <c r="AU153" s="125">
        <v>47.908474452144375</v>
      </c>
      <c r="AV153" s="125">
        <v>49.824813430230151</v>
      </c>
      <c r="AW153" s="125">
        <v>51.817805967439355</v>
      </c>
      <c r="AX153" s="125">
        <v>53.890518206136932</v>
      </c>
      <c r="AY153" s="125">
        <v>56.046138934382412</v>
      </c>
      <c r="AZ153" s="125">
        <v>58.287984491757712</v>
      </c>
      <c r="BA153" s="125">
        <v>60.619503871428023</v>
      </c>
      <c r="BB153" s="125">
        <v>63.044284026285148</v>
      </c>
      <c r="BC153" s="125">
        <f t="shared" ref="BC153:BG194" si="74">BB153*(1+((BB153-BA153)/BA153))</f>
        <v>65.566055387336561</v>
      </c>
      <c r="BD153" s="125">
        <f t="shared" si="73"/>
        <v>68.188697602830032</v>
      </c>
      <c r="BE153" s="125">
        <f t="shared" si="73"/>
        <v>70.916245506943241</v>
      </c>
      <c r="BF153" s="125">
        <f t="shared" si="73"/>
        <v>73.752895327220969</v>
      </c>
      <c r="BG153" s="125">
        <f t="shared" si="73"/>
        <v>76.703011140309812</v>
      </c>
    </row>
    <row r="154" spans="1:59" ht="13.75" customHeight="1">
      <c r="A154" s="171" t="s">
        <v>166</v>
      </c>
      <c r="B154" s="165" t="s">
        <v>245</v>
      </c>
      <c r="C154" s="165"/>
      <c r="D154" s="165" t="s">
        <v>168</v>
      </c>
      <c r="E154" s="167"/>
      <c r="F154" s="168" t="s">
        <v>252</v>
      </c>
      <c r="G154" s="168" t="s">
        <v>247</v>
      </c>
      <c r="H154" s="168"/>
      <c r="I154" s="168" t="s">
        <v>253</v>
      </c>
      <c r="U154" s="112">
        <v>79.428640000000001</v>
      </c>
      <c r="V154" s="112">
        <v>73.473369999999989</v>
      </c>
      <c r="W154" s="125">
        <v>87.441000000000003</v>
      </c>
      <c r="X154" s="125">
        <v>93.071969696969688</v>
      </c>
      <c r="Y154" s="125">
        <v>91.719696969696983</v>
      </c>
      <c r="Z154" s="125">
        <v>80.234090909090909</v>
      </c>
      <c r="AA154" s="125">
        <v>94.245482954545437</v>
      </c>
      <c r="AB154" s="125">
        <v>99.187499999999986</v>
      </c>
      <c r="AC154" s="125">
        <v>93.625189393939394</v>
      </c>
      <c r="AD154" s="125">
        <v>126.94772727272726</v>
      </c>
      <c r="AE154" s="125">
        <v>127.97489898989897</v>
      </c>
      <c r="AF154" s="125">
        <v>153.07484848484847</v>
      </c>
      <c r="AG154" s="125">
        <v>129.45615113744347</v>
      </c>
      <c r="AH154" s="125">
        <v>138.22131196068221</v>
      </c>
      <c r="AI154" s="125">
        <v>141.8500743621492</v>
      </c>
      <c r="AJ154" s="125">
        <v>145.87861647403423</v>
      </c>
      <c r="AK154" s="125">
        <v>150.02156918189681</v>
      </c>
      <c r="AL154" s="125">
        <v>154.28218174666267</v>
      </c>
      <c r="AM154" s="125">
        <v>158.66379570826788</v>
      </c>
      <c r="AN154" s="125">
        <v>163.16984750638269</v>
      </c>
      <c r="AO154" s="125">
        <v>167.80387117556396</v>
      </c>
      <c r="AP154" s="125">
        <v>172.56950111694997</v>
      </c>
      <c r="AQ154" s="125">
        <v>177.47047494867135</v>
      </c>
      <c r="AR154" s="125">
        <v>182.51063643721361</v>
      </c>
      <c r="AS154" s="125">
        <v>187.69393851203046</v>
      </c>
      <c r="AT154" s="125">
        <v>193.02444636577212</v>
      </c>
      <c r="AU154" s="125">
        <v>198.50634064256005</v>
      </c>
      <c r="AV154" s="125">
        <v>204.14392071680874</v>
      </c>
      <c r="AW154" s="125">
        <v>209.94160806516609</v>
      </c>
      <c r="AX154" s="125">
        <v>215.90394973421681</v>
      </c>
      <c r="AY154" s="125">
        <v>222.03562190666855</v>
      </c>
      <c r="AZ154" s="125">
        <v>228.34143356881793</v>
      </c>
      <c r="BA154" s="125">
        <v>234.82633028217236</v>
      </c>
      <c r="BB154" s="125">
        <v>241.49539806218604</v>
      </c>
      <c r="BC154" s="125">
        <f t="shared" si="74"/>
        <v>248.35386736715213</v>
      </c>
      <c r="BD154" s="125">
        <f t="shared" si="73"/>
        <v>255.40711720037925</v>
      </c>
      <c r="BE154" s="125">
        <f t="shared" si="73"/>
        <v>262.66067932887</v>
      </c>
      <c r="BF154" s="125">
        <f t="shared" si="73"/>
        <v>270.12024262180989</v>
      </c>
      <c r="BG154" s="125">
        <f t="shared" si="73"/>
        <v>277.7916575122693</v>
      </c>
    </row>
    <row r="155" spans="1:59" ht="13.75" customHeight="1">
      <c r="A155" s="171" t="s">
        <v>166</v>
      </c>
      <c r="B155" s="165" t="s">
        <v>245</v>
      </c>
      <c r="C155" s="165"/>
      <c r="D155" s="165" t="s">
        <v>168</v>
      </c>
      <c r="E155" s="167"/>
      <c r="F155" s="168" t="s">
        <v>254</v>
      </c>
      <c r="G155" s="168" t="s">
        <v>247</v>
      </c>
      <c r="H155" s="168"/>
      <c r="I155" s="168" t="s">
        <v>255</v>
      </c>
      <c r="U155" s="112">
        <v>55.173000000000002</v>
      </c>
      <c r="V155" s="112">
        <v>54.357999999999997</v>
      </c>
      <c r="W155" s="125">
        <v>63.654000000000003</v>
      </c>
      <c r="X155" s="125">
        <v>69.732961666666668</v>
      </c>
      <c r="Y155" s="125">
        <v>72.344999999999999</v>
      </c>
      <c r="Z155" s="125">
        <v>68.057460000000006</v>
      </c>
      <c r="AA155" s="125">
        <v>70.844999999999999</v>
      </c>
      <c r="AB155" s="125">
        <v>75.598796666666658</v>
      </c>
      <c r="AC155" s="125">
        <v>73.967506363636375</v>
      </c>
      <c r="AD155" s="125">
        <v>91.302810000000008</v>
      </c>
      <c r="AE155" s="125">
        <v>101.553</v>
      </c>
      <c r="AF155" s="125">
        <v>118.38002385599893</v>
      </c>
      <c r="AG155" s="125">
        <v>100.44926046568409</v>
      </c>
      <c r="AH155" s="125">
        <v>107.25043534089215</v>
      </c>
      <c r="AI155" s="125">
        <v>110.06611073700401</v>
      </c>
      <c r="AJ155" s="125">
        <v>113.19198828193493</v>
      </c>
      <c r="AK155" s="125">
        <v>116.40664074914189</v>
      </c>
      <c r="AL155" s="125">
        <v>119.71258934641752</v>
      </c>
      <c r="AM155" s="125">
        <v>123.11242688385578</v>
      </c>
      <c r="AN155" s="125">
        <v>126.60881980735728</v>
      </c>
      <c r="AO155" s="125">
        <v>130.20451028988623</v>
      </c>
      <c r="AP155" s="125">
        <v>133.90231838211898</v>
      </c>
      <c r="AQ155" s="125">
        <v>137.70514422417116</v>
      </c>
      <c r="AR155" s="125">
        <v>141.61597032013762</v>
      </c>
      <c r="AS155" s="125">
        <v>145.63786387722953</v>
      </c>
      <c r="AT155" s="125">
        <v>149.77397921134283</v>
      </c>
      <c r="AU155" s="125">
        <v>154.02756022094496</v>
      </c>
      <c r="AV155" s="125">
        <v>158.40194293121979</v>
      </c>
      <c r="AW155" s="125">
        <v>162.90055811046642</v>
      </c>
      <c r="AX155" s="125">
        <v>167.52693396080366</v>
      </c>
      <c r="AY155" s="125">
        <v>172.28469888529048</v>
      </c>
      <c r="AZ155" s="125">
        <v>177.17758433363272</v>
      </c>
      <c r="BA155" s="125">
        <v>182.20942772870788</v>
      </c>
      <c r="BB155" s="125">
        <v>187.38417547620315</v>
      </c>
      <c r="BC155" s="125">
        <f t="shared" si="74"/>
        <v>192.70588605972728</v>
      </c>
      <c r="BD155" s="125">
        <f t="shared" si="73"/>
        <v>198.17873322382349</v>
      </c>
      <c r="BE155" s="125">
        <f t="shared" si="73"/>
        <v>203.80700924738002</v>
      </c>
      <c r="BF155" s="125">
        <f t="shared" si="73"/>
        <v>209.59512831000558</v>
      </c>
      <c r="BG155" s="125">
        <f t="shared" si="73"/>
        <v>215.54762995400969</v>
      </c>
    </row>
    <row r="156" spans="1:59" ht="13.75" customHeight="1">
      <c r="A156" s="171" t="s">
        <v>166</v>
      </c>
      <c r="B156" s="165" t="s">
        <v>245</v>
      </c>
      <c r="C156" s="165"/>
      <c r="D156" s="165" t="s">
        <v>168</v>
      </c>
      <c r="E156" s="167"/>
      <c r="F156" s="168" t="s">
        <v>256</v>
      </c>
      <c r="G156" s="168" t="s">
        <v>247</v>
      </c>
      <c r="H156" s="168"/>
      <c r="I156" s="168" t="s">
        <v>257</v>
      </c>
      <c r="U156" s="112">
        <v>174.53289999999998</v>
      </c>
      <c r="V156" s="112">
        <v>174.41897</v>
      </c>
      <c r="W156" s="125">
        <v>154.70701166666669</v>
      </c>
      <c r="X156" s="125">
        <v>182.8590909090909</v>
      </c>
      <c r="Y156" s="125">
        <v>183.94772727272724</v>
      </c>
      <c r="Z156" s="125">
        <v>194</v>
      </c>
      <c r="AA156" s="125">
        <v>204</v>
      </c>
      <c r="AB156" s="125">
        <v>216.56287878787876</v>
      </c>
      <c r="AC156" s="125">
        <v>220.78757575757575</v>
      </c>
      <c r="AD156" s="125">
        <v>247.73757575757571</v>
      </c>
      <c r="AE156" s="125">
        <v>300.83247474747475</v>
      </c>
      <c r="AF156" s="125">
        <v>316.78786403689207</v>
      </c>
      <c r="AG156" s="125">
        <v>298.3225743275994</v>
      </c>
      <c r="AH156" s="125">
        <v>311.28559167302535</v>
      </c>
      <c r="AI156" s="125">
        <v>323.85884966447117</v>
      </c>
      <c r="AJ156" s="125">
        <v>336.81320365105</v>
      </c>
      <c r="AK156" s="125">
        <v>350.28573179709201</v>
      </c>
      <c r="AL156" s="125">
        <v>364.2971610689757</v>
      </c>
      <c r="AM156" s="125">
        <v>378.86904751173472</v>
      </c>
      <c r="AN156" s="125">
        <v>394.02380941220412</v>
      </c>
      <c r="AO156" s="125">
        <v>409.78476178869232</v>
      </c>
      <c r="AP156" s="125">
        <v>426.17615226024003</v>
      </c>
      <c r="AQ156" s="125">
        <v>443.22319835064962</v>
      </c>
      <c r="AR156" s="125">
        <v>460.95212628467561</v>
      </c>
      <c r="AS156" s="125">
        <v>479.39021133606263</v>
      </c>
      <c r="AT156" s="125">
        <v>498.56581978950516</v>
      </c>
      <c r="AU156" s="125">
        <v>518.50845258108541</v>
      </c>
      <c r="AV156" s="125">
        <v>539.24879068432881</v>
      </c>
      <c r="AW156" s="125">
        <v>560.81874231170195</v>
      </c>
      <c r="AX156" s="125">
        <v>583.25149200417002</v>
      </c>
      <c r="AY156" s="125">
        <v>606.58155168433689</v>
      </c>
      <c r="AZ156" s="125">
        <v>630.84481375171038</v>
      </c>
      <c r="BA156" s="125">
        <v>656.07860630177879</v>
      </c>
      <c r="BB156" s="125">
        <v>682.32175055384994</v>
      </c>
      <c r="BC156" s="125">
        <f t="shared" si="74"/>
        <v>709.61462057600397</v>
      </c>
      <c r="BD156" s="125">
        <f t="shared" si="73"/>
        <v>737.99920539904417</v>
      </c>
      <c r="BE156" s="125">
        <f t="shared" si="73"/>
        <v>767.51917361500591</v>
      </c>
      <c r="BF156" s="125">
        <f t="shared" si="73"/>
        <v>798.21994055960613</v>
      </c>
      <c r="BG156" s="125">
        <f t="shared" si="73"/>
        <v>830.14873818199044</v>
      </c>
    </row>
    <row r="157" spans="1:59" ht="13.75" customHeight="1">
      <c r="A157" s="171" t="s">
        <v>166</v>
      </c>
      <c r="B157" s="165" t="s">
        <v>245</v>
      </c>
      <c r="C157" s="165"/>
      <c r="D157" s="165" t="s">
        <v>168</v>
      </c>
      <c r="E157" s="167"/>
      <c r="F157" s="168" t="s">
        <v>258</v>
      </c>
      <c r="G157" s="168" t="s">
        <v>247</v>
      </c>
      <c r="H157" s="168"/>
      <c r="I157" s="168" t="s">
        <v>259</v>
      </c>
      <c r="U157" s="112">
        <v>73.096999999999994</v>
      </c>
      <c r="V157" s="112">
        <v>72.128</v>
      </c>
      <c r="W157" s="125">
        <v>74.36041583333332</v>
      </c>
      <c r="X157" s="125">
        <v>93.52411166666667</v>
      </c>
      <c r="Y157" s="125">
        <v>96.641687499999989</v>
      </c>
      <c r="Z157" s="125">
        <v>97.56</v>
      </c>
      <c r="AA157" s="125">
        <v>99.522999999999996</v>
      </c>
      <c r="AB157" s="125">
        <v>105.08408166666666</v>
      </c>
      <c r="AC157" s="125">
        <v>111.74640250000002</v>
      </c>
      <c r="AD157" s="125">
        <v>121.45051333333333</v>
      </c>
      <c r="AE157" s="125">
        <v>142.69550000000001</v>
      </c>
      <c r="AF157" s="125">
        <v>152.42764330769543</v>
      </c>
      <c r="AG157" s="125">
        <v>143.4904346077856</v>
      </c>
      <c r="AH157" s="125">
        <v>149.72552760038232</v>
      </c>
      <c r="AI157" s="125">
        <v>155.77314990216354</v>
      </c>
      <c r="AJ157" s="125">
        <v>162.00407589825008</v>
      </c>
      <c r="AK157" s="125">
        <v>168.4842389341801</v>
      </c>
      <c r="AL157" s="125">
        <v>175.22360849154731</v>
      </c>
      <c r="AM157" s="125">
        <v>182.2325528312092</v>
      </c>
      <c r="AN157" s="125">
        <v>189.52185494445757</v>
      </c>
      <c r="AO157" s="125">
        <v>197.10272914223592</v>
      </c>
      <c r="AP157" s="125">
        <v>204.98683830792535</v>
      </c>
      <c r="AQ157" s="125">
        <v>213.18631184024238</v>
      </c>
      <c r="AR157" s="125">
        <v>221.7137643138521</v>
      </c>
      <c r="AS157" s="125">
        <v>230.58231488640618</v>
      </c>
      <c r="AT157" s="125">
        <v>239.80560748186244</v>
      </c>
      <c r="AU157" s="125">
        <v>249.39783178113694</v>
      </c>
      <c r="AV157" s="125">
        <v>259.37374505238239</v>
      </c>
      <c r="AW157" s="125">
        <v>269.74869485447766</v>
      </c>
      <c r="AX157" s="125">
        <v>280.53864264865678</v>
      </c>
      <c r="AY157" s="125">
        <v>291.76018835460309</v>
      </c>
      <c r="AZ157" s="125">
        <v>303.4305958887872</v>
      </c>
      <c r="BA157" s="125">
        <v>315.56781972433868</v>
      </c>
      <c r="BB157" s="125">
        <v>328.19053251331223</v>
      </c>
      <c r="BC157" s="125">
        <f t="shared" si="74"/>
        <v>341.31815381384473</v>
      </c>
      <c r="BD157" s="125">
        <f t="shared" si="73"/>
        <v>354.97087996639851</v>
      </c>
      <c r="BE157" s="125">
        <f t="shared" si="73"/>
        <v>369.16971516505447</v>
      </c>
      <c r="BF157" s="125">
        <f t="shared" si="73"/>
        <v>383.93650377165665</v>
      </c>
      <c r="BG157" s="125">
        <f t="shared" si="73"/>
        <v>399.29396392252295</v>
      </c>
    </row>
    <row r="158" spans="1:59" ht="13.75" customHeight="1">
      <c r="A158" s="171" t="s">
        <v>166</v>
      </c>
      <c r="B158" s="165" t="s">
        <v>245</v>
      </c>
      <c r="C158" s="165"/>
      <c r="D158" s="165" t="s">
        <v>168</v>
      </c>
      <c r="E158" s="167"/>
      <c r="F158" s="168" t="s">
        <v>260</v>
      </c>
      <c r="G158" s="168" t="s">
        <v>247</v>
      </c>
      <c r="H158" s="168"/>
      <c r="I158" s="168" t="s">
        <v>261</v>
      </c>
      <c r="U158" s="112">
        <v>14</v>
      </c>
      <c r="V158" s="112">
        <v>14</v>
      </c>
      <c r="W158" s="125">
        <v>11.534000000000001</v>
      </c>
      <c r="X158" s="125">
        <v>20.283999999999999</v>
      </c>
      <c r="Y158" s="125">
        <v>22.922998333333332</v>
      </c>
      <c r="Z158" s="125">
        <v>17.03256</v>
      </c>
      <c r="AA158" s="125">
        <v>18.5513075</v>
      </c>
      <c r="AB158" s="125">
        <v>18.283107323232326</v>
      </c>
      <c r="AC158" s="125">
        <v>25.990277777777777</v>
      </c>
      <c r="AD158" s="125">
        <v>42.026452020202022</v>
      </c>
      <c r="AE158" s="125">
        <v>32.784217171717167</v>
      </c>
      <c r="AF158" s="125">
        <v>26.651581092552419</v>
      </c>
      <c r="AG158" s="125">
        <v>26.643176067202489</v>
      </c>
      <c r="AH158" s="125">
        <v>24.679265881542996</v>
      </c>
      <c r="AI158" s="125">
        <v>24.49499402962746</v>
      </c>
      <c r="AJ158" s="125">
        <v>25.229843850516282</v>
      </c>
      <c r="AK158" s="125">
        <v>25.986739166031771</v>
      </c>
      <c r="AL158" s="125">
        <v>26.766341341012726</v>
      </c>
      <c r="AM158" s="125">
        <v>27.569331581243109</v>
      </c>
      <c r="AN158" s="125">
        <v>28.396411528680403</v>
      </c>
      <c r="AO158" s="125">
        <v>29.248303874540817</v>
      </c>
      <c r="AP158" s="125">
        <v>30.125752990777041</v>
      </c>
      <c r="AQ158" s="125">
        <v>31.029525580500358</v>
      </c>
      <c r="AR158" s="125">
        <v>31.960411347915368</v>
      </c>
      <c r="AS158" s="125">
        <v>32.91922368835283</v>
      </c>
      <c r="AT158" s="125">
        <v>33.906800399003416</v>
      </c>
      <c r="AU158" s="125">
        <v>34.924004410973517</v>
      </c>
      <c r="AV158" s="125">
        <v>35.97172454330272</v>
      </c>
      <c r="AW158" s="125">
        <v>37.050876279601802</v>
      </c>
      <c r="AX158" s="125">
        <v>38.162402567989851</v>
      </c>
      <c r="AY158" s="125">
        <v>39.307274645029551</v>
      </c>
      <c r="AZ158" s="125">
        <v>40.486492884380439</v>
      </c>
      <c r="BA158" s="125">
        <v>41.701087670911853</v>
      </c>
      <c r="BB158" s="125">
        <v>42.952120301039209</v>
      </c>
      <c r="BC158" s="125">
        <f t="shared" si="74"/>
        <v>44.240683910070388</v>
      </c>
      <c r="BD158" s="125">
        <f t="shared" si="73"/>
        <v>45.567904427372504</v>
      </c>
      <c r="BE158" s="125">
        <f t="shared" si="73"/>
        <v>46.934941560193678</v>
      </c>
      <c r="BF158" s="125">
        <f t="shared" si="73"/>
        <v>48.342989806999491</v>
      </c>
      <c r="BG158" s="125">
        <f t="shared" si="73"/>
        <v>49.793279501209476</v>
      </c>
    </row>
    <row r="159" spans="1:59" ht="13.75" customHeight="1">
      <c r="A159" s="171" t="s">
        <v>166</v>
      </c>
      <c r="B159" s="165" t="s">
        <v>245</v>
      </c>
      <c r="C159" s="165"/>
      <c r="D159" s="165" t="s">
        <v>168</v>
      </c>
      <c r="E159" s="167"/>
      <c r="F159" s="168" t="s">
        <v>262</v>
      </c>
      <c r="G159" s="168" t="s">
        <v>247</v>
      </c>
      <c r="H159" s="168"/>
      <c r="I159" s="168" t="s">
        <v>263</v>
      </c>
      <c r="U159" s="112">
        <v>6.4089999999999998</v>
      </c>
      <c r="V159" s="112">
        <v>6.7149999999999999</v>
      </c>
      <c r="W159" s="125">
        <v>7.5384633333333326</v>
      </c>
      <c r="X159" s="125">
        <v>8.5952708333333341</v>
      </c>
      <c r="Y159" s="125">
        <v>9.4826116666666671</v>
      </c>
      <c r="Z159" s="125">
        <v>7.6686931602969999</v>
      </c>
      <c r="AA159" s="125">
        <v>8.1663085024709989</v>
      </c>
      <c r="AB159" s="125">
        <v>9.7845073960606044</v>
      </c>
      <c r="AC159" s="125">
        <v>12.941790822811946</v>
      </c>
      <c r="AD159" s="125">
        <v>14.160467135280747</v>
      </c>
      <c r="AE159" s="125">
        <v>13.662216776552903</v>
      </c>
      <c r="AF159" s="125">
        <v>10.438509863825693</v>
      </c>
      <c r="AG159" s="125">
        <v>11.283376429901804</v>
      </c>
      <c r="AH159" s="125">
        <v>11.611586086432686</v>
      </c>
      <c r="AI159" s="125">
        <v>11.524886243653979</v>
      </c>
      <c r="AJ159" s="125">
        <v>11.870632830963599</v>
      </c>
      <c r="AK159" s="125">
        <v>12.226751815892507</v>
      </c>
      <c r="AL159" s="125">
        <v>12.593554370369283</v>
      </c>
      <c r="AM159" s="125">
        <v>12.971361001480362</v>
      </c>
      <c r="AN159" s="125">
        <v>13.360501831524774</v>
      </c>
      <c r="AO159" s="125">
        <v>13.761316886470517</v>
      </c>
      <c r="AP159" s="125">
        <v>14.174156393064633</v>
      </c>
      <c r="AQ159" s="125">
        <v>14.599381084856573</v>
      </c>
      <c r="AR159" s="125">
        <v>15.03736251740227</v>
      </c>
      <c r="AS159" s="125">
        <v>15.488483392924339</v>
      </c>
      <c r="AT159" s="125">
        <v>15.95313789471207</v>
      </c>
      <c r="AU159" s="125">
        <v>16.431732031553434</v>
      </c>
      <c r="AV159" s="125">
        <v>16.924683992500036</v>
      </c>
      <c r="AW159" s="125">
        <v>17.432424512275038</v>
      </c>
      <c r="AX159" s="125">
        <v>17.95539724764329</v>
      </c>
      <c r="AY159" s="125">
        <v>18.494059165072589</v>
      </c>
      <c r="AZ159" s="125">
        <v>19.048880940024766</v>
      </c>
      <c r="BA159" s="125">
        <v>19.620347368225509</v>
      </c>
      <c r="BB159" s="125">
        <v>20.208957789272276</v>
      </c>
      <c r="BC159" s="125">
        <f t="shared" si="74"/>
        <v>20.815226522950443</v>
      </c>
      <c r="BD159" s="125">
        <f t="shared" si="73"/>
        <v>21.439683318638956</v>
      </c>
      <c r="BE159" s="125">
        <f t="shared" si="73"/>
        <v>22.082873818198124</v>
      </c>
      <c r="BF159" s="125">
        <f t="shared" si="73"/>
        <v>22.745360032744067</v>
      </c>
      <c r="BG159" s="125">
        <f t="shared" si="73"/>
        <v>23.42772083372639</v>
      </c>
    </row>
    <row r="160" spans="1:59" ht="13.75" customHeight="1">
      <c r="A160" s="171" t="s">
        <v>166</v>
      </c>
      <c r="B160" s="165" t="s">
        <v>245</v>
      </c>
      <c r="C160" s="165"/>
      <c r="D160" s="165" t="s">
        <v>168</v>
      </c>
      <c r="E160" s="167"/>
      <c r="F160" s="168" t="s">
        <v>264</v>
      </c>
      <c r="G160" s="168" t="s">
        <v>247</v>
      </c>
      <c r="H160" s="168"/>
      <c r="I160" s="168"/>
      <c r="U160" s="112"/>
      <c r="V160" s="112"/>
      <c r="W160" s="125">
        <v>7.3559975000000009</v>
      </c>
      <c r="X160" s="125">
        <v>9.2856191666666668</v>
      </c>
      <c r="Y160" s="125">
        <v>9.5692200000000014</v>
      </c>
      <c r="Z160" s="125">
        <v>8.1502513599749982</v>
      </c>
      <c r="AA160" s="125">
        <v>8.9087159764249986</v>
      </c>
      <c r="AB160" s="125">
        <v>11.851128787878789</v>
      </c>
      <c r="AC160" s="125">
        <v>13.556967424242423</v>
      </c>
      <c r="AD160" s="125">
        <v>14.765418939393937</v>
      </c>
      <c r="AE160" s="125">
        <v>14.653615909090906</v>
      </c>
      <c r="AF160" s="125">
        <v>12.195669371807586</v>
      </c>
      <c r="AG160" s="125">
        <v>12.213659441459352</v>
      </c>
      <c r="AH160" s="125">
        <v>12.111586086432686</v>
      </c>
      <c r="AI160" s="125">
        <v>12.021152910320646</v>
      </c>
      <c r="AJ160" s="125">
        <v>12.381787497630265</v>
      </c>
      <c r="AK160" s="125">
        <v>12.753241122559173</v>
      </c>
      <c r="AL160" s="125">
        <v>13.135838356235949</v>
      </c>
      <c r="AM160" s="125">
        <v>13.529913506923029</v>
      </c>
      <c r="AN160" s="125">
        <v>13.935810912130719</v>
      </c>
      <c r="AO160" s="125">
        <v>14.353885239494641</v>
      </c>
      <c r="AP160" s="125">
        <v>14.78450179667948</v>
      </c>
      <c r="AQ160" s="125">
        <v>15.228036850579866</v>
      </c>
      <c r="AR160" s="125">
        <v>15.684877956097262</v>
      </c>
      <c r="AS160" s="125">
        <v>16.155424294780179</v>
      </c>
      <c r="AT160" s="125">
        <v>16.640087023623586</v>
      </c>
      <c r="AU160" s="125">
        <v>17.139289634332293</v>
      </c>
      <c r="AV160" s="125">
        <v>17.653468323362262</v>
      </c>
      <c r="AW160" s="125">
        <v>18.18307237306313</v>
      </c>
      <c r="AX160" s="125">
        <v>18.728564544255025</v>
      </c>
      <c r="AY160" s="125">
        <v>19.290421480582676</v>
      </c>
      <c r="AZ160" s="125">
        <v>19.869134125000159</v>
      </c>
      <c r="BA160" s="125">
        <v>20.465208148750165</v>
      </c>
      <c r="BB160" s="125">
        <v>21.079164393212672</v>
      </c>
      <c r="BC160" s="125">
        <f t="shared" si="74"/>
        <v>21.711539325009053</v>
      </c>
      <c r="BD160" s="125">
        <f t="shared" si="73"/>
        <v>22.362885504759326</v>
      </c>
      <c r="BE160" s="125">
        <f t="shared" si="73"/>
        <v>23.033772069902106</v>
      </c>
      <c r="BF160" s="125">
        <f t="shared" si="73"/>
        <v>23.724785231999171</v>
      </c>
      <c r="BG160" s="125">
        <f t="shared" si="73"/>
        <v>24.436528788959148</v>
      </c>
    </row>
    <row r="161" spans="1:59" ht="13.75" customHeight="1">
      <c r="A161" s="171" t="s">
        <v>166</v>
      </c>
      <c r="B161" s="165" t="s">
        <v>245</v>
      </c>
      <c r="C161" s="165"/>
      <c r="D161" s="142" t="s">
        <v>168</v>
      </c>
      <c r="F161" s="168" t="s">
        <v>265</v>
      </c>
      <c r="G161" s="168" t="s">
        <v>247</v>
      </c>
      <c r="U161" s="112"/>
      <c r="V161" s="112"/>
      <c r="W161" s="125">
        <v>6.4186300000000003</v>
      </c>
      <c r="X161" s="125">
        <v>7.7966258333333336</v>
      </c>
      <c r="Y161" s="125">
        <v>8.2774549999999998</v>
      </c>
      <c r="Z161" s="125">
        <v>6.7077049396397488</v>
      </c>
      <c r="AA161" s="125">
        <v>7.3783596834842502</v>
      </c>
      <c r="AB161" s="125">
        <v>10.954974999999999</v>
      </c>
      <c r="AC161" s="125">
        <v>12.761625</v>
      </c>
      <c r="AD161" s="125">
        <v>14.138906818181816</v>
      </c>
      <c r="AE161" s="125">
        <v>13.035415151515149</v>
      </c>
      <c r="AF161" s="125">
        <v>9.0051438316927559</v>
      </c>
      <c r="AG161" s="125">
        <v>9.9237272420409646</v>
      </c>
      <c r="AH161" s="125">
        <v>11.111586086432686</v>
      </c>
      <c r="AI161" s="125">
        <v>11.028619576987314</v>
      </c>
      <c r="AJ161" s="125">
        <v>11.359478164296934</v>
      </c>
      <c r="AK161" s="125">
        <v>11.700262509225842</v>
      </c>
      <c r="AL161" s="125">
        <v>12.051270384502619</v>
      </c>
      <c r="AM161" s="125">
        <v>12.412808496037698</v>
      </c>
      <c r="AN161" s="125">
        <v>12.78519275091883</v>
      </c>
      <c r="AO161" s="125">
        <v>13.168748533446395</v>
      </c>
      <c r="AP161" s="125">
        <v>13.563810989449788</v>
      </c>
      <c r="AQ161" s="125">
        <v>13.970725319133281</v>
      </c>
      <c r="AR161" s="125">
        <v>14.38984707870728</v>
      </c>
      <c r="AS161" s="125">
        <v>14.821542491068499</v>
      </c>
      <c r="AT161" s="125">
        <v>15.266188765800553</v>
      </c>
      <c r="AU161" s="125">
        <v>15.724174428774571</v>
      </c>
      <c r="AV161" s="125">
        <v>16.19589966163781</v>
      </c>
      <c r="AW161" s="125">
        <v>16.681776651486945</v>
      </c>
      <c r="AX161" s="125">
        <v>17.182229951031555</v>
      </c>
      <c r="AY161" s="125">
        <v>17.697696849562501</v>
      </c>
      <c r="AZ161" s="125">
        <v>18.228627755049377</v>
      </c>
      <c r="BA161" s="125">
        <v>18.775486587700858</v>
      </c>
      <c r="BB161" s="125">
        <v>19.338751185331883</v>
      </c>
      <c r="BC161" s="125">
        <f t="shared" si="74"/>
        <v>19.91891372089184</v>
      </c>
      <c r="BD161" s="125">
        <f t="shared" si="73"/>
        <v>20.516481132518596</v>
      </c>
      <c r="BE161" s="125">
        <f t="shared" si="73"/>
        <v>21.131975566494155</v>
      </c>
      <c r="BF161" s="125">
        <f t="shared" si="73"/>
        <v>21.765934833488981</v>
      </c>
      <c r="BG161" s="125">
        <f t="shared" si="73"/>
        <v>22.41891287849365</v>
      </c>
    </row>
    <row r="162" spans="1:59" ht="13.75" customHeight="1">
      <c r="A162" s="171" t="s">
        <v>166</v>
      </c>
      <c r="B162" s="165" t="s">
        <v>245</v>
      </c>
      <c r="C162" s="165"/>
      <c r="D162" s="165" t="s">
        <v>168</v>
      </c>
      <c r="E162" s="167"/>
      <c r="F162" s="168" t="s">
        <v>266</v>
      </c>
      <c r="G162" s="168" t="s">
        <v>247</v>
      </c>
      <c r="H162" s="168"/>
      <c r="I162" s="168" t="s">
        <v>267</v>
      </c>
      <c r="U162" s="112">
        <v>20.409880000000001</v>
      </c>
      <c r="V162" s="112">
        <v>20.632380000000001</v>
      </c>
      <c r="W162" s="125">
        <v>24.426339166666665</v>
      </c>
      <c r="X162" s="125">
        <v>35.392682499999992</v>
      </c>
      <c r="Y162" s="125">
        <v>37.044029166666661</v>
      </c>
      <c r="Z162" s="125">
        <v>28.015037695378787</v>
      </c>
      <c r="AA162" s="125">
        <v>28.902376855075751</v>
      </c>
      <c r="AB162" s="125">
        <v>24.807816350454541</v>
      </c>
      <c r="AC162" s="125">
        <v>27.428288228484845</v>
      </c>
      <c r="AD162" s="125">
        <v>40.038148932045445</v>
      </c>
      <c r="AE162" s="125">
        <v>49.593850912515506</v>
      </c>
      <c r="AF162" s="125">
        <v>52.182273943056266</v>
      </c>
      <c r="AG162" s="125">
        <v>47.296999999999997</v>
      </c>
      <c r="AH162" s="125">
        <v>40.117614664562332</v>
      </c>
      <c r="AI162" s="125">
        <v>39.852790186601808</v>
      </c>
      <c r="AJ162" s="125">
        <v>40.90751044309863</v>
      </c>
      <c r="AK162" s="125">
        <v>41.990144298975977</v>
      </c>
      <c r="AL162" s="125">
        <v>43.101430498963069</v>
      </c>
      <c r="AM162" s="125">
        <v>44.242127338968182</v>
      </c>
      <c r="AN162" s="125">
        <v>45.413013183508284</v>
      </c>
      <c r="AO162" s="125">
        <v>46.614886996832986</v>
      </c>
      <c r="AP162" s="125">
        <v>47.848568888104836</v>
      </c>
      <c r="AQ162" s="125">
        <v>49.114900671007987</v>
      </c>
      <c r="AR162" s="125">
        <v>50.414746438167192</v>
      </c>
      <c r="AS162" s="125">
        <v>51.748993150768989</v>
      </c>
      <c r="AT162" s="125">
        <v>53.118551243787472</v>
      </c>
      <c r="AU162" s="125">
        <v>54.524355247227582</v>
      </c>
      <c r="AV162" s="125">
        <v>55.967364423809904</v>
      </c>
      <c r="AW162" s="125">
        <v>57.448563423531979</v>
      </c>
      <c r="AX162" s="125">
        <v>58.968962955552911</v>
      </c>
      <c r="AY162" s="125">
        <v>60.529600477859653</v>
      </c>
      <c r="AZ162" s="125">
        <v>62.131540905185553</v>
      </c>
      <c r="BA162" s="125">
        <v>63.775877335664319</v>
      </c>
      <c r="BB162" s="125">
        <v>65.463731796715123</v>
      </c>
      <c r="BC162" s="125">
        <f t="shared" si="74"/>
        <v>67.196256010667881</v>
      </c>
      <c r="BD162" s="125">
        <f t="shared" si="73"/>
        <v>68.974632180651085</v>
      </c>
      <c r="BE162" s="125">
        <f t="shared" si="73"/>
        <v>70.800073797278557</v>
      </c>
      <c r="BF162" s="125">
        <f t="shared" si="73"/>
        <v>72.673826466685369</v>
      </c>
      <c r="BG162" s="125">
        <f t="shared" si="73"/>
        <v>74.597168760478198</v>
      </c>
    </row>
    <row r="163" spans="1:59" ht="13.75" customHeight="1">
      <c r="A163" s="171" t="s">
        <v>166</v>
      </c>
      <c r="B163" s="165" t="s">
        <v>245</v>
      </c>
      <c r="C163" s="165"/>
      <c r="D163" s="165" t="s">
        <v>168</v>
      </c>
      <c r="E163" s="167"/>
      <c r="F163" s="168" t="s">
        <v>268</v>
      </c>
      <c r="G163" s="168" t="s">
        <v>247</v>
      </c>
      <c r="H163" s="168"/>
      <c r="I163" s="168" t="s">
        <v>259</v>
      </c>
      <c r="U163" s="112">
        <v>83.242999999999995</v>
      </c>
      <c r="V163" s="112">
        <v>71.674999999999997</v>
      </c>
      <c r="W163" s="125">
        <v>92.597161666666665</v>
      </c>
      <c r="X163" s="125">
        <v>100.45788666666667</v>
      </c>
      <c r="Y163" s="125">
        <v>91.767039999999994</v>
      </c>
      <c r="Z163" s="125">
        <v>96.8</v>
      </c>
      <c r="AA163" s="125">
        <v>99.54</v>
      </c>
      <c r="AB163" s="125">
        <v>94.852255</v>
      </c>
      <c r="AC163" s="125">
        <v>92.129968333333338</v>
      </c>
      <c r="AD163" s="125">
        <v>111.96629666666668</v>
      </c>
      <c r="AE163" s="125">
        <v>104.67612262626261</v>
      </c>
      <c r="AF163" s="125">
        <v>111.86227560606061</v>
      </c>
      <c r="AG163" s="125">
        <v>100.11792395752241</v>
      </c>
      <c r="AH163" s="125">
        <v>105.94191260683337</v>
      </c>
      <c r="AI163" s="125">
        <v>108.33149944568748</v>
      </c>
      <c r="AJ163" s="125">
        <v>110.97478803216227</v>
      </c>
      <c r="AK163" s="125">
        <v>113.68257286014702</v>
      </c>
      <c r="AL163" s="125">
        <v>116.45642763793461</v>
      </c>
      <c r="AM163" s="125">
        <v>119.29796447230021</v>
      </c>
      <c r="AN163" s="125">
        <v>122.20883480542433</v>
      </c>
      <c r="AO163" s="125">
        <v>125.19073037467668</v>
      </c>
      <c r="AP163" s="125">
        <v>128.24538419581879</v>
      </c>
      <c r="AQ163" s="125">
        <v>131.37457157019676</v>
      </c>
      <c r="AR163" s="125">
        <v>134.58011111650956</v>
      </c>
      <c r="AS163" s="125">
        <v>137.86386582775239</v>
      </c>
      <c r="AT163" s="125">
        <v>141.22774415394954</v>
      </c>
      <c r="AU163" s="125">
        <v>144.67370111130592</v>
      </c>
      <c r="AV163" s="125">
        <v>148.20373941842178</v>
      </c>
      <c r="AW163" s="125">
        <v>151.81991066023124</v>
      </c>
      <c r="AX163" s="125">
        <v>155.5243164803409</v>
      </c>
      <c r="AY163" s="125">
        <v>159.31910980246121</v>
      </c>
      <c r="AZ163" s="125">
        <v>163.20649608164126</v>
      </c>
      <c r="BA163" s="125">
        <v>167.18873458603332</v>
      </c>
      <c r="BB163" s="125">
        <v>171.26813970993254</v>
      </c>
      <c r="BC163" s="125">
        <f t="shared" si="74"/>
        <v>175.44708231885488</v>
      </c>
      <c r="BD163" s="125">
        <f t="shared" si="73"/>
        <v>179.72799112743493</v>
      </c>
      <c r="BE163" s="125">
        <f t="shared" si="73"/>
        <v>184.11335411094433</v>
      </c>
      <c r="BF163" s="125">
        <f t="shared" si="73"/>
        <v>188.60571995125136</v>
      </c>
      <c r="BG163" s="125">
        <f t="shared" si="73"/>
        <v>193.2076995180619</v>
      </c>
    </row>
    <row r="164" spans="1:59" ht="13.75" customHeight="1">
      <c r="A164" s="171" t="s">
        <v>166</v>
      </c>
      <c r="B164" s="165" t="s">
        <v>245</v>
      </c>
      <c r="C164" s="165"/>
      <c r="D164" s="165" t="s">
        <v>168</v>
      </c>
      <c r="E164" s="167"/>
      <c r="F164" s="168" t="s">
        <v>269</v>
      </c>
      <c r="G164" s="168" t="s">
        <v>247</v>
      </c>
      <c r="H164" s="168"/>
      <c r="I164" s="168" t="s">
        <v>270</v>
      </c>
      <c r="U164" s="112">
        <v>131.42721</v>
      </c>
      <c r="V164" s="112">
        <v>120.97136</v>
      </c>
      <c r="W164" s="125">
        <v>133.72499999999999</v>
      </c>
      <c r="X164" s="125">
        <v>145.58484848484849</v>
      </c>
      <c r="Y164" s="125">
        <v>135.05151515151513</v>
      </c>
      <c r="Z164" s="125">
        <v>135.28939393939393</v>
      </c>
      <c r="AA164" s="125">
        <v>143.50757575757578</v>
      </c>
      <c r="AB164" s="125">
        <v>135.38404634581104</v>
      </c>
      <c r="AC164" s="125">
        <v>135.79090909090908</v>
      </c>
      <c r="AD164" s="125">
        <v>164.1360606060606</v>
      </c>
      <c r="AE164" s="125">
        <v>152.64517676767676</v>
      </c>
      <c r="AF164" s="125">
        <v>164.48755050505048</v>
      </c>
      <c r="AG164" s="125">
        <v>146.71697128910262</v>
      </c>
      <c r="AH164" s="125">
        <v>155.25168656957078</v>
      </c>
      <c r="AI164" s="125">
        <v>158.7534865447453</v>
      </c>
      <c r="AJ164" s="125">
        <v>162.62707161643709</v>
      </c>
      <c r="AK164" s="125">
        <v>166.59517216387815</v>
      </c>
      <c r="AL164" s="125">
        <v>170.66009436467678</v>
      </c>
      <c r="AM164" s="125">
        <v>174.82420066717489</v>
      </c>
      <c r="AN164" s="125">
        <v>179.08991116345396</v>
      </c>
      <c r="AO164" s="125">
        <v>183.45970499584223</v>
      </c>
      <c r="AP164" s="125">
        <v>187.93612179774078</v>
      </c>
      <c r="AQ164" s="125">
        <v>192.52176316960566</v>
      </c>
      <c r="AR164" s="125">
        <v>197.21929419094403</v>
      </c>
      <c r="AS164" s="125">
        <v>202.03144496920305</v>
      </c>
      <c r="AT164" s="125">
        <v>206.9610122264516</v>
      </c>
      <c r="AU164" s="125">
        <v>212.01086092477701</v>
      </c>
      <c r="AV164" s="125">
        <v>217.18392593134155</v>
      </c>
      <c r="AW164" s="125">
        <v>222.48321372406627</v>
      </c>
      <c r="AX164" s="125">
        <v>227.91180413893349</v>
      </c>
      <c r="AY164" s="125">
        <v>233.47285215992346</v>
      </c>
      <c r="AZ164" s="125">
        <v>239.1695897526256</v>
      </c>
      <c r="BA164" s="125">
        <v>245.00532774258966</v>
      </c>
      <c r="BB164" s="125">
        <v>250.98345773950885</v>
      </c>
      <c r="BC164" s="125">
        <f>BB164*(1+((BB164-BA164)/BA164))</f>
        <v>257.10745410835284</v>
      </c>
      <c r="BD164" s="125">
        <f t="shared" si="73"/>
        <v>263.38087598859664</v>
      </c>
      <c r="BE164" s="125">
        <f t="shared" si="73"/>
        <v>269.80736936271842</v>
      </c>
      <c r="BF164" s="125">
        <f t="shared" si="73"/>
        <v>276.39066917516874</v>
      </c>
      <c r="BG164" s="125">
        <f t="shared" si="73"/>
        <v>283.13460150304286</v>
      </c>
    </row>
    <row r="165" spans="1:59" ht="13.75" customHeight="1">
      <c r="A165" s="171" t="s">
        <v>166</v>
      </c>
      <c r="B165" s="165" t="s">
        <v>245</v>
      </c>
      <c r="C165" s="165"/>
      <c r="D165" s="165" t="s">
        <v>168</v>
      </c>
      <c r="E165" s="167"/>
      <c r="F165" s="168" t="s">
        <v>271</v>
      </c>
      <c r="G165" s="168" t="s">
        <v>4</v>
      </c>
      <c r="H165" s="168"/>
      <c r="I165" s="168" t="s">
        <v>272</v>
      </c>
      <c r="U165" s="112">
        <v>1173.0613252305516</v>
      </c>
      <c r="V165" s="112">
        <v>1024.5275006342308</v>
      </c>
      <c r="W165" s="126">
        <v>812.64130383333338</v>
      </c>
      <c r="X165" s="126">
        <v>672.17026616666658</v>
      </c>
      <c r="Y165" s="126">
        <v>721.18631749999997</v>
      </c>
      <c r="Z165" s="126">
        <v>735.930505090873</v>
      </c>
      <c r="AA165" s="126">
        <v>659.10197216970641</v>
      </c>
      <c r="AB165" s="126">
        <v>572.15331226761839</v>
      </c>
      <c r="AC165" s="126">
        <v>687.79318089474691</v>
      </c>
      <c r="AD165" s="126">
        <v>1148.8004242657116</v>
      </c>
      <c r="AE165" s="126">
        <v>1129.3519427725464</v>
      </c>
      <c r="AF165" s="126">
        <v>749.61428422807739</v>
      </c>
      <c r="AG165" s="126">
        <v>590.65410630340125</v>
      </c>
      <c r="AH165" s="126">
        <v>553.31395158492307</v>
      </c>
      <c r="AI165" s="126">
        <v>553.31395158492307</v>
      </c>
      <c r="AJ165" s="126">
        <v>553.31395158492307</v>
      </c>
      <c r="AK165" s="126">
        <v>553.31395158492307</v>
      </c>
      <c r="AL165" s="126">
        <v>553.31395158492307</v>
      </c>
      <c r="AM165" s="126">
        <v>553.31395158492307</v>
      </c>
      <c r="AN165" s="126">
        <v>553.31395158492307</v>
      </c>
      <c r="AO165" s="126">
        <v>553.31395158492307</v>
      </c>
      <c r="AP165" s="126">
        <v>553.31395158492307</v>
      </c>
      <c r="AQ165" s="126">
        <v>553.31395158492307</v>
      </c>
      <c r="AR165" s="126">
        <v>553.31395158492307</v>
      </c>
      <c r="AS165" s="126">
        <v>553.31395158492307</v>
      </c>
      <c r="AT165" s="126">
        <v>553.31395158492307</v>
      </c>
      <c r="AU165" s="126">
        <v>553.31395158492307</v>
      </c>
      <c r="AV165" s="126">
        <v>553.31395158492307</v>
      </c>
      <c r="AW165" s="126">
        <v>553.31395158492307</v>
      </c>
      <c r="AX165" s="126">
        <v>553.31395158492307</v>
      </c>
      <c r="AY165" s="126">
        <v>553.31395158492307</v>
      </c>
      <c r="AZ165" s="126">
        <v>553.31395158492307</v>
      </c>
      <c r="BA165" s="126">
        <v>553.31395158492307</v>
      </c>
      <c r="BB165" s="126">
        <v>553.31395158492307</v>
      </c>
      <c r="BC165" s="126">
        <f>BB165*(1+((BB165-BA165)/BA165))</f>
        <v>553.31395158492307</v>
      </c>
      <c r="BD165" s="126">
        <f t="shared" si="73"/>
        <v>553.31395158492307</v>
      </c>
      <c r="BE165" s="126">
        <f t="shared" si="73"/>
        <v>553.31395158492307</v>
      </c>
      <c r="BF165" s="126">
        <f t="shared" si="73"/>
        <v>553.31395158492307</v>
      </c>
      <c r="BG165" s="126">
        <f t="shared" si="73"/>
        <v>553.31395158492307</v>
      </c>
    </row>
    <row r="166" spans="1:59" ht="13.75" customHeight="1">
      <c r="A166" s="171" t="s">
        <v>166</v>
      </c>
      <c r="B166" s="165" t="s">
        <v>245</v>
      </c>
      <c r="C166" s="165"/>
      <c r="D166" s="165" t="s">
        <v>168</v>
      </c>
      <c r="E166" s="167"/>
      <c r="F166" s="168" t="s">
        <v>273</v>
      </c>
      <c r="G166" s="168" t="s">
        <v>4</v>
      </c>
      <c r="H166" s="168"/>
      <c r="I166" s="168" t="s">
        <v>272</v>
      </c>
      <c r="U166" s="112">
        <v>129.02069087500004</v>
      </c>
      <c r="V166" s="112">
        <v>131.98453686666664</v>
      </c>
      <c r="W166" s="126">
        <v>556.94720481489435</v>
      </c>
      <c r="X166" s="126">
        <v>442.77075054518463</v>
      </c>
      <c r="Y166" s="126">
        <v>440.16745941199065</v>
      </c>
      <c r="Z166" s="126">
        <v>469.2187800294746</v>
      </c>
      <c r="AA166" s="126">
        <v>525.02049987495423</v>
      </c>
      <c r="AB166" s="126">
        <v>456.40623765205379</v>
      </c>
      <c r="AC166" s="126">
        <v>498.50449765343967</v>
      </c>
      <c r="AD166" s="126">
        <v>665.86946281127769</v>
      </c>
      <c r="AE166" s="126">
        <v>674.78767498593038</v>
      </c>
      <c r="AF166" s="126">
        <v>548.58130888590949</v>
      </c>
      <c r="AG166" s="126">
        <v>423.66749891146793</v>
      </c>
      <c r="AH166" s="126">
        <v>398.65448794195919</v>
      </c>
      <c r="AI166" s="126">
        <v>398.65448794195919</v>
      </c>
      <c r="AJ166" s="126">
        <v>398.65448794195919</v>
      </c>
      <c r="AK166" s="126">
        <v>398.65448794195919</v>
      </c>
      <c r="AL166" s="126">
        <v>398.65448794195919</v>
      </c>
      <c r="AM166" s="126">
        <v>398.65448794195919</v>
      </c>
      <c r="AN166" s="126">
        <v>398.65448794195919</v>
      </c>
      <c r="AO166" s="126">
        <v>398.65448794195919</v>
      </c>
      <c r="AP166" s="126">
        <v>398.65448794195919</v>
      </c>
      <c r="AQ166" s="126">
        <v>398.65448794195919</v>
      </c>
      <c r="AR166" s="126">
        <v>398.65448794195919</v>
      </c>
      <c r="AS166" s="126">
        <v>398.65448794195919</v>
      </c>
      <c r="AT166" s="126">
        <v>398.65448794195919</v>
      </c>
      <c r="AU166" s="126">
        <v>398.65448794195919</v>
      </c>
      <c r="AV166" s="126">
        <v>398.65448794195919</v>
      </c>
      <c r="AW166" s="126">
        <v>398.65448794195919</v>
      </c>
      <c r="AX166" s="126">
        <v>398.65448794195919</v>
      </c>
      <c r="AY166" s="126">
        <v>398.65448794195919</v>
      </c>
      <c r="AZ166" s="126">
        <v>398.65448794195919</v>
      </c>
      <c r="BA166" s="126">
        <v>398.65448794195919</v>
      </c>
      <c r="BB166" s="126">
        <v>398.65448794195919</v>
      </c>
      <c r="BC166" s="126">
        <f t="shared" si="74"/>
        <v>398.65448794195919</v>
      </c>
      <c r="BD166" s="126">
        <f t="shared" si="73"/>
        <v>398.65448794195919</v>
      </c>
      <c r="BE166" s="126">
        <f t="shared" si="73"/>
        <v>398.65448794195919</v>
      </c>
      <c r="BF166" s="126">
        <f t="shared" si="73"/>
        <v>398.65448794195919</v>
      </c>
      <c r="BG166" s="126">
        <f t="shared" si="73"/>
        <v>398.65448794195919</v>
      </c>
    </row>
    <row r="167" spans="1:59" ht="13.75" customHeight="1">
      <c r="A167" s="171" t="s">
        <v>166</v>
      </c>
      <c r="B167" s="165" t="s">
        <v>245</v>
      </c>
      <c r="C167" s="165"/>
      <c r="D167" s="165" t="s">
        <v>168</v>
      </c>
      <c r="E167" s="167"/>
      <c r="F167" s="168" t="s">
        <v>274</v>
      </c>
      <c r="G167" s="168" t="s">
        <v>4</v>
      </c>
      <c r="H167" s="168"/>
      <c r="I167" s="168" t="s">
        <v>272</v>
      </c>
      <c r="U167" s="112">
        <v>447.45807141666666</v>
      </c>
      <c r="V167" s="112">
        <v>434.78368204166662</v>
      </c>
      <c r="W167" s="126">
        <v>472.25501426105797</v>
      </c>
      <c r="X167" s="126">
        <v>348.53181687657968</v>
      </c>
      <c r="Y167" s="126">
        <v>355.8973554399517</v>
      </c>
      <c r="Z167" s="126">
        <v>374.51990404133363</v>
      </c>
      <c r="AA167" s="126">
        <v>371.25466540399742</v>
      </c>
      <c r="AB167" s="126">
        <v>375.93841238718528</v>
      </c>
      <c r="AC167" s="126">
        <v>419.49423270181006</v>
      </c>
      <c r="AD167" s="126">
        <v>645.3039703152142</v>
      </c>
      <c r="AE167" s="126">
        <v>591.22470916830036</v>
      </c>
      <c r="AF167" s="126">
        <v>430.71855232703871</v>
      </c>
      <c r="AG167" s="126">
        <v>348.27368704683522</v>
      </c>
      <c r="AH167" s="126">
        <v>326.10913651464415</v>
      </c>
      <c r="AI167" s="126">
        <v>326.10913651464415</v>
      </c>
      <c r="AJ167" s="126">
        <v>326.10913651464415</v>
      </c>
      <c r="AK167" s="126">
        <v>326.10913651464415</v>
      </c>
      <c r="AL167" s="126">
        <v>326.10913651464415</v>
      </c>
      <c r="AM167" s="126">
        <v>326.10913651464415</v>
      </c>
      <c r="AN167" s="126">
        <v>326.10913651464415</v>
      </c>
      <c r="AO167" s="126">
        <v>326.10913651464415</v>
      </c>
      <c r="AP167" s="126">
        <v>326.10913651464415</v>
      </c>
      <c r="AQ167" s="126">
        <v>326.10913651464415</v>
      </c>
      <c r="AR167" s="126">
        <v>326.10913651464415</v>
      </c>
      <c r="AS167" s="126">
        <v>326.10913651464415</v>
      </c>
      <c r="AT167" s="126">
        <v>326.10913651464415</v>
      </c>
      <c r="AU167" s="126">
        <v>326.10913651464415</v>
      </c>
      <c r="AV167" s="126">
        <v>326.10913651464415</v>
      </c>
      <c r="AW167" s="126">
        <v>326.10913651464415</v>
      </c>
      <c r="AX167" s="126">
        <v>326.10913651464415</v>
      </c>
      <c r="AY167" s="126">
        <v>326.10913651464415</v>
      </c>
      <c r="AZ167" s="126">
        <v>326.10913651464415</v>
      </c>
      <c r="BA167" s="126">
        <v>326.10913651464415</v>
      </c>
      <c r="BB167" s="126">
        <v>326.10913651464415</v>
      </c>
      <c r="BC167" s="126">
        <f t="shared" si="74"/>
        <v>326.10913651464415</v>
      </c>
      <c r="BD167" s="126">
        <f t="shared" si="73"/>
        <v>326.10913651464415</v>
      </c>
      <c r="BE167" s="126">
        <f t="shared" si="73"/>
        <v>326.10913651464415</v>
      </c>
      <c r="BF167" s="126">
        <f t="shared" si="73"/>
        <v>326.10913651464415</v>
      </c>
      <c r="BG167" s="126">
        <f t="shared" si="73"/>
        <v>326.10913651464415</v>
      </c>
    </row>
    <row r="168" spans="1:59" ht="13.75" customHeight="1">
      <c r="A168" s="171" t="s">
        <v>166</v>
      </c>
      <c r="B168" s="165" t="s">
        <v>245</v>
      </c>
      <c r="C168" s="165"/>
      <c r="D168" s="165" t="s">
        <v>168</v>
      </c>
      <c r="E168" s="167"/>
      <c r="F168" s="168" t="s">
        <v>275</v>
      </c>
      <c r="G168" s="168" t="s">
        <v>276</v>
      </c>
      <c r="H168" s="168"/>
      <c r="I168" s="168" t="s">
        <v>277</v>
      </c>
      <c r="U168" s="112">
        <v>27.040000000000003</v>
      </c>
      <c r="V168" s="112">
        <v>31.97</v>
      </c>
      <c r="W168" s="125">
        <v>34.07</v>
      </c>
      <c r="X168" s="125">
        <v>41.71</v>
      </c>
      <c r="Y168" s="125">
        <v>41.84</v>
      </c>
      <c r="Z168" s="125">
        <v>35.645900000000005</v>
      </c>
      <c r="AA168" s="125">
        <v>38.979999999999997</v>
      </c>
      <c r="AB168" s="125">
        <v>41.64651666666667</v>
      </c>
      <c r="AC168" s="125">
        <v>43.524141666666665</v>
      </c>
      <c r="AD168" s="125">
        <v>55.998224999999998</v>
      </c>
      <c r="AE168" s="125">
        <v>55.313483333333338</v>
      </c>
      <c r="AF168" s="125">
        <v>58.217150000000004</v>
      </c>
      <c r="AG168" s="125">
        <v>53.958824734969198</v>
      </c>
      <c r="AH168" s="125">
        <v>57.612245391148129</v>
      </c>
      <c r="AI168" s="125">
        <v>59.124755632687126</v>
      </c>
      <c r="AJ168" s="125">
        <v>60.803898692655437</v>
      </c>
      <c r="AK168" s="125">
        <v>62.530729415526849</v>
      </c>
      <c r="AL168" s="125">
        <v>64.306602130927814</v>
      </c>
      <c r="AM168" s="125">
        <v>66.132909631446168</v>
      </c>
      <c r="AN168" s="125">
        <v>68.011084264979232</v>
      </c>
      <c r="AO168" s="125">
        <v>69.942599058104648</v>
      </c>
      <c r="AP168" s="125">
        <v>71.928968871354812</v>
      </c>
      <c r="AQ168" s="125">
        <v>73.971751587301284</v>
      </c>
      <c r="AR168" s="125">
        <v>76.072549332380646</v>
      </c>
      <c r="AS168" s="125">
        <v>78.233009733420261</v>
      </c>
      <c r="AT168" s="125">
        <v>80.454827209849398</v>
      </c>
      <c r="AU168" s="125">
        <v>82.739744302609125</v>
      </c>
      <c r="AV168" s="125">
        <v>85.089553040803224</v>
      </c>
      <c r="AW168" s="125">
        <v>87.506096347162028</v>
      </c>
      <c r="AX168" s="125">
        <v>89.991269483421434</v>
      </c>
      <c r="AY168" s="125">
        <v>92.547021536750606</v>
      </c>
      <c r="AZ168" s="125">
        <v>95.175356948394324</v>
      </c>
      <c r="BA168" s="125">
        <v>97.878337085728717</v>
      </c>
      <c r="BB168" s="125">
        <v>100.65808185896341</v>
      </c>
      <c r="BC168" s="125">
        <f t="shared" si="74"/>
        <v>103.51677138375797</v>
      </c>
      <c r="BD168" s="125">
        <f t="shared" si="74"/>
        <v>106.45664769105669</v>
      </c>
      <c r="BE168" s="125">
        <f t="shared" si="74"/>
        <v>109.48001648548269</v>
      </c>
      <c r="BF168" s="125">
        <f t="shared" si="74"/>
        <v>112.58924895367041</v>
      </c>
      <c r="BG168" s="125">
        <f t="shared" si="74"/>
        <v>115.78678362395465</v>
      </c>
    </row>
    <row r="169" spans="1:59" ht="13.75" customHeight="1">
      <c r="A169" s="171" t="s">
        <v>166</v>
      </c>
      <c r="B169" s="165" t="s">
        <v>245</v>
      </c>
      <c r="C169" s="165"/>
      <c r="D169" s="165" t="s">
        <v>168</v>
      </c>
      <c r="E169" s="167"/>
      <c r="F169" s="168" t="s">
        <v>278</v>
      </c>
      <c r="G169" s="168" t="s">
        <v>4</v>
      </c>
      <c r="H169" s="168"/>
      <c r="I169" s="168" t="s">
        <v>272</v>
      </c>
      <c r="T169" s="112"/>
      <c r="U169" s="112">
        <v>1161.25</v>
      </c>
      <c r="V169" s="112">
        <v>1028.3333333333333</v>
      </c>
      <c r="W169" s="126">
        <v>806</v>
      </c>
      <c r="X169" s="126">
        <v>765</v>
      </c>
      <c r="Y169" s="126">
        <v>773</v>
      </c>
      <c r="Z169" s="126">
        <v>735</v>
      </c>
      <c r="AA169" s="126">
        <v>705</v>
      </c>
      <c r="AB169" s="126">
        <v>673.36250000000007</v>
      </c>
      <c r="AC169" s="126">
        <v>820.75278333333335</v>
      </c>
      <c r="AD169" s="126">
        <v>1339.09</v>
      </c>
      <c r="AE169" s="126">
        <v>1424.8333333333335</v>
      </c>
      <c r="AF169" s="126">
        <v>899.89703840843526</v>
      </c>
      <c r="AG169" s="126">
        <v>744.83670811488105</v>
      </c>
      <c r="AH169" s="126">
        <v>741.08070892913054</v>
      </c>
      <c r="AI169" s="126">
        <v>741.08070892913054</v>
      </c>
      <c r="AJ169" s="126">
        <v>741.08070892913054</v>
      </c>
      <c r="AK169" s="126">
        <v>741.08070892913054</v>
      </c>
      <c r="AL169" s="126">
        <v>741.08070892913054</v>
      </c>
      <c r="AM169" s="126">
        <v>741.08070892913054</v>
      </c>
      <c r="AN169" s="126">
        <v>741.08070892913054</v>
      </c>
      <c r="AO169" s="126">
        <v>741.08070892913054</v>
      </c>
      <c r="AP169" s="126">
        <v>741.08070892913054</v>
      </c>
      <c r="AQ169" s="126">
        <v>741.08070892913054</v>
      </c>
      <c r="AR169" s="126">
        <v>741.08070892913054</v>
      </c>
      <c r="AS169" s="126">
        <v>741.08070892913054</v>
      </c>
      <c r="AT169" s="126">
        <v>741.08070892913054</v>
      </c>
      <c r="AU169" s="126">
        <v>741.08070892913054</v>
      </c>
      <c r="AV169" s="126">
        <v>741.08070892913054</v>
      </c>
      <c r="AW169" s="126">
        <v>741.08070892913054</v>
      </c>
      <c r="AX169" s="126">
        <v>741.08070892913054</v>
      </c>
      <c r="AY169" s="126">
        <v>741.08070892913054</v>
      </c>
      <c r="AZ169" s="126">
        <v>741.08070892913054</v>
      </c>
      <c r="BA169" s="126">
        <v>741.08070892913054</v>
      </c>
      <c r="BB169" s="126">
        <v>741.08070892913054</v>
      </c>
      <c r="BC169" s="126">
        <f t="shared" si="74"/>
        <v>741.08070892913054</v>
      </c>
      <c r="BD169" s="126">
        <f t="shared" si="74"/>
        <v>741.08070892913054</v>
      </c>
      <c r="BE169" s="126">
        <f t="shared" si="74"/>
        <v>741.08070892913054</v>
      </c>
      <c r="BF169" s="126">
        <f t="shared" si="74"/>
        <v>741.08070892913054</v>
      </c>
      <c r="BG169" s="126">
        <f t="shared" si="74"/>
        <v>741.08070892913054</v>
      </c>
    </row>
    <row r="170" spans="1:59" ht="13.75" customHeight="1">
      <c r="A170" s="171" t="s">
        <v>166</v>
      </c>
      <c r="B170" s="165" t="s">
        <v>245</v>
      </c>
      <c r="C170" s="165"/>
      <c r="D170" s="165" t="s">
        <v>168</v>
      </c>
      <c r="E170" s="167"/>
      <c r="F170" s="168" t="s">
        <v>279</v>
      </c>
      <c r="G170" s="168" t="s">
        <v>250</v>
      </c>
      <c r="H170" s="168" t="s">
        <v>280</v>
      </c>
      <c r="I170" s="168" t="s">
        <v>281</v>
      </c>
      <c r="S170" s="109">
        <v>31.4</v>
      </c>
      <c r="T170" s="109">
        <v>38.200000000000003</v>
      </c>
      <c r="U170" s="112">
        <v>34.4</v>
      </c>
      <c r="V170" s="112">
        <v>33.200000000000003</v>
      </c>
      <c r="W170" s="125">
        <v>34.36363636363636</v>
      </c>
      <c r="X170" s="125">
        <v>53.872179090909086</v>
      </c>
      <c r="Y170" s="125">
        <v>57.872727272727268</v>
      </c>
      <c r="Z170" s="125">
        <v>46.599999999999994</v>
      </c>
      <c r="AA170" s="125">
        <v>48.8</v>
      </c>
      <c r="AB170" s="125">
        <v>48.081818181818178</v>
      </c>
      <c r="AC170" s="125">
        <v>62.343401981381518</v>
      </c>
      <c r="AD170" s="125">
        <v>86.212121212121204</v>
      </c>
      <c r="AE170" s="125">
        <v>87.799242424242408</v>
      </c>
      <c r="AF170" s="125">
        <v>77.182625033889295</v>
      </c>
      <c r="AG170" s="125">
        <v>74.520035675338249</v>
      </c>
      <c r="AH170" s="125">
        <v>69.027047274504838</v>
      </c>
      <c r="AI170" s="125">
        <v>68.511645321521826</v>
      </c>
      <c r="AJ170" s="125">
        <v>70.566994681167472</v>
      </c>
      <c r="AK170" s="125">
        <v>72.684004521602503</v>
      </c>
      <c r="AL170" s="125">
        <v>74.864524657250584</v>
      </c>
      <c r="AM170" s="125">
        <v>77.110460396968108</v>
      </c>
      <c r="AN170" s="125">
        <v>79.423774208877148</v>
      </c>
      <c r="AO170" s="125">
        <v>81.806487435143467</v>
      </c>
      <c r="AP170" s="125">
        <v>84.260682058197773</v>
      </c>
      <c r="AQ170" s="125">
        <v>86.788502519943719</v>
      </c>
      <c r="AR170" s="125">
        <v>89.392157595542031</v>
      </c>
      <c r="AS170" s="125">
        <v>92.073922323408297</v>
      </c>
      <c r="AT170" s="125">
        <v>94.83613999311055</v>
      </c>
      <c r="AU170" s="125">
        <v>97.681224192903869</v>
      </c>
      <c r="AV170" s="125">
        <v>100.61166091869099</v>
      </c>
      <c r="AW170" s="125">
        <v>103.63001074625171</v>
      </c>
      <c r="AX170" s="125">
        <v>106.73891106863927</v>
      </c>
      <c r="AY170" s="125">
        <v>109.94107840069846</v>
      </c>
      <c r="AZ170" s="125">
        <v>113.2393107527194</v>
      </c>
      <c r="BA170" s="125">
        <v>116.63649007530098</v>
      </c>
      <c r="BB170" s="125">
        <v>120.13558477756001</v>
      </c>
      <c r="BC170" s="125">
        <f t="shared" si="74"/>
        <v>123.73965232088682</v>
      </c>
      <c r="BD170" s="125">
        <f t="shared" si="74"/>
        <v>127.45184189051342</v>
      </c>
      <c r="BE170" s="125">
        <f t="shared" si="74"/>
        <v>131.27539714722883</v>
      </c>
      <c r="BF170" s="125">
        <f t="shared" si="74"/>
        <v>135.2136590616457</v>
      </c>
      <c r="BG170" s="125">
        <f t="shared" si="74"/>
        <v>139.27006883349509</v>
      </c>
    </row>
    <row r="171" spans="1:59" ht="13.75" customHeight="1">
      <c r="A171" s="171" t="s">
        <v>166</v>
      </c>
      <c r="B171" s="165" t="s">
        <v>245</v>
      </c>
      <c r="C171" s="165"/>
      <c r="D171" s="165" t="s">
        <v>168</v>
      </c>
      <c r="E171" s="167"/>
      <c r="F171" s="168" t="s">
        <v>282</v>
      </c>
      <c r="G171" s="168" t="s">
        <v>247</v>
      </c>
      <c r="H171" s="168" t="s">
        <v>280</v>
      </c>
      <c r="I171" s="168" t="s">
        <v>283</v>
      </c>
      <c r="U171" s="112">
        <v>6.6449999999999996</v>
      </c>
      <c r="V171" s="112">
        <v>9.9760000000000009</v>
      </c>
      <c r="W171" s="125">
        <v>8.8181818181818166</v>
      </c>
      <c r="X171" s="125">
        <v>13.363636363636362</v>
      </c>
      <c r="Y171" s="125">
        <v>12.454545454545453</v>
      </c>
      <c r="Z171" s="125">
        <v>8.5709090909090904</v>
      </c>
      <c r="AA171" s="125">
        <v>12.981666666666664</v>
      </c>
      <c r="AB171" s="125">
        <v>11.529356060606061</v>
      </c>
      <c r="AC171" s="125">
        <v>15.063042929292926</v>
      </c>
      <c r="AD171" s="125">
        <v>20.881666666666664</v>
      </c>
      <c r="AE171" s="125">
        <v>13.921559343434343</v>
      </c>
      <c r="AF171" s="125">
        <v>12.721352267241814</v>
      </c>
      <c r="AG171" s="125">
        <v>12.219198139788958</v>
      </c>
      <c r="AH171" s="125">
        <v>10.704244530164736</v>
      </c>
      <c r="AI171" s="125">
        <v>10.624319504339498</v>
      </c>
      <c r="AJ171" s="125">
        <v>10.943049089469683</v>
      </c>
      <c r="AK171" s="125">
        <v>11.271340562153775</v>
      </c>
      <c r="AL171" s="125">
        <v>11.609480779018389</v>
      </c>
      <c r="AM171" s="125">
        <v>11.957765202388941</v>
      </c>
      <c r="AN171" s="125">
        <v>12.316498158460609</v>
      </c>
      <c r="AO171" s="125">
        <v>12.685993103214427</v>
      </c>
      <c r="AP171" s="125">
        <v>13.066572896310861</v>
      </c>
      <c r="AQ171" s="125">
        <v>13.458570083200188</v>
      </c>
      <c r="AR171" s="125">
        <v>13.862327185696193</v>
      </c>
      <c r="AS171" s="125">
        <v>14.278197001267079</v>
      </c>
      <c r="AT171" s="125">
        <v>14.706542911305093</v>
      </c>
      <c r="AU171" s="125">
        <v>15.147739198644246</v>
      </c>
      <c r="AV171" s="125">
        <v>15.602171374603573</v>
      </c>
      <c r="AW171" s="125">
        <v>16.070236515841682</v>
      </c>
      <c r="AX171" s="125">
        <v>16.552343611316932</v>
      </c>
      <c r="AY171" s="125">
        <v>17.048913919656439</v>
      </c>
      <c r="AZ171" s="125">
        <v>17.560381337246131</v>
      </c>
      <c r="BA171" s="125">
        <v>18.087192777363516</v>
      </c>
      <c r="BB171" s="125">
        <v>18.62980856068442</v>
      </c>
      <c r="BC171" s="125">
        <f t="shared" si="74"/>
        <v>19.188702817504954</v>
      </c>
      <c r="BD171" s="125">
        <f t="shared" si="74"/>
        <v>19.764363902030102</v>
      </c>
      <c r="BE171" s="125">
        <f t="shared" si="74"/>
        <v>20.357294819091006</v>
      </c>
      <c r="BF171" s="125">
        <f t="shared" si="74"/>
        <v>20.968013663663736</v>
      </c>
      <c r="BG171" s="125">
        <f t="shared" si="74"/>
        <v>21.597054073573648</v>
      </c>
    </row>
    <row r="172" spans="1:59" ht="13.75" customHeight="1">
      <c r="A172" s="171" t="s">
        <v>166</v>
      </c>
      <c r="B172" s="165" t="s">
        <v>245</v>
      </c>
      <c r="C172" s="165"/>
      <c r="D172" s="165" t="s">
        <v>168</v>
      </c>
      <c r="E172" s="167"/>
      <c r="F172" s="168" t="s">
        <v>284</v>
      </c>
      <c r="G172" s="168" t="s">
        <v>247</v>
      </c>
      <c r="H172" s="168"/>
      <c r="I172" s="168" t="s">
        <v>285</v>
      </c>
      <c r="W172" s="125">
        <v>1.8075524999999999</v>
      </c>
      <c r="X172" s="125">
        <v>2.8490025000000001</v>
      </c>
      <c r="Y172" s="125">
        <v>2.8644758333333331</v>
      </c>
      <c r="Z172" s="125">
        <v>2.1530208333333336</v>
      </c>
      <c r="AA172" s="125">
        <v>2.5517666666666665</v>
      </c>
      <c r="AB172" s="125">
        <v>2.0988908333333334</v>
      </c>
      <c r="AC172" s="125">
        <v>2.8948900000000002</v>
      </c>
      <c r="AD172" s="125">
        <v>3.6032348404560608</v>
      </c>
      <c r="AE172" s="125">
        <v>4.3007196642437018</v>
      </c>
      <c r="AF172" s="125">
        <v>4.8077924042073068</v>
      </c>
      <c r="AG172" s="125">
        <v>3.9010799999999999</v>
      </c>
      <c r="AH172" s="125">
        <v>3.3089207394894147</v>
      </c>
      <c r="AI172" s="125">
        <v>3.2870778853024207</v>
      </c>
      <c r="AJ172" s="125">
        <v>3.3740717347688691</v>
      </c>
      <c r="AK172" s="125">
        <v>3.4633679117459715</v>
      </c>
      <c r="AL172" s="125">
        <v>3.5550273482651087</v>
      </c>
      <c r="AM172" s="125">
        <v>3.6491125889486011</v>
      </c>
      <c r="AN172" s="125">
        <v>3.7456878336875592</v>
      </c>
      <c r="AO172" s="125">
        <v>3.8448189814492513</v>
      </c>
      <c r="AP172" s="125">
        <v>3.9465736752438425</v>
      </c>
      <c r="AQ172" s="125">
        <v>4.051021348281199</v>
      </c>
      <c r="AR172" s="125">
        <v>4.1582332713492463</v>
      </c>
      <c r="AS172" s="125">
        <v>4.268282601446221</v>
      </c>
      <c r="AT172" s="125">
        <v>4.3812444316999901</v>
      </c>
      <c r="AU172" s="125">
        <v>4.4971958426085079</v>
      </c>
      <c r="AV172" s="125">
        <v>4.6162159546363695</v>
      </c>
      <c r="AW172" s="125">
        <v>4.7383859822033569</v>
      </c>
      <c r="AX172" s="125">
        <v>4.8637892891018124</v>
      </c>
      <c r="AY172" s="125">
        <v>4.9925114453806545</v>
      </c>
      <c r="AZ172" s="125">
        <v>5.124640285734853</v>
      </c>
      <c r="BA172" s="125">
        <v>5.2602659694402067</v>
      </c>
      <c r="BB172" s="125">
        <v>5.3994810418743162</v>
      </c>
      <c r="BC172" s="125">
        <f t="shared" si="74"/>
        <v>5.5423804976657367</v>
      </c>
      <c r="BD172" s="125">
        <f t="shared" si="74"/>
        <v>5.6890618455143978</v>
      </c>
      <c r="BE172" s="125">
        <f t="shared" si="74"/>
        <v>5.8396251747275212</v>
      </c>
      <c r="BF172" s="125">
        <f t="shared" si="74"/>
        <v>5.9941732235164418</v>
      </c>
      <c r="BG172" s="125">
        <f t="shared" si="74"/>
        <v>6.152811449100926</v>
      </c>
    </row>
    <row r="173" spans="1:59" ht="13.75" customHeight="1">
      <c r="A173" s="171" t="s">
        <v>166</v>
      </c>
      <c r="B173" s="165" t="s">
        <v>245</v>
      </c>
      <c r="C173" s="165"/>
      <c r="D173" s="165" t="s">
        <v>168</v>
      </c>
      <c r="E173" s="167"/>
      <c r="F173" s="168" t="s">
        <v>286</v>
      </c>
      <c r="G173" s="168" t="s">
        <v>247</v>
      </c>
      <c r="H173" s="168"/>
      <c r="I173" s="168" t="s">
        <v>287</v>
      </c>
      <c r="U173" s="112">
        <v>291</v>
      </c>
      <c r="V173" s="112">
        <v>305</v>
      </c>
      <c r="W173" s="126">
        <v>409.62687499999998</v>
      </c>
      <c r="X173" s="126">
        <v>444.61352333333326</v>
      </c>
      <c r="Y173" s="126">
        <v>433.9866591666667</v>
      </c>
      <c r="Z173" s="126">
        <v>425.00992583333328</v>
      </c>
      <c r="AA173" s="126">
        <v>430.87200000000001</v>
      </c>
      <c r="AB173" s="126">
        <v>457.83322678604645</v>
      </c>
      <c r="AC173" s="126">
        <v>459.79512560778295</v>
      </c>
      <c r="AD173" s="126">
        <v>492.84897756082313</v>
      </c>
      <c r="AE173" s="126">
        <v>568.43906756251056</v>
      </c>
      <c r="AF173" s="126">
        <v>537.44068512599324</v>
      </c>
      <c r="AG173" s="126">
        <v>492.20355890227569</v>
      </c>
      <c r="AH173" s="126">
        <v>525.06008463171827</v>
      </c>
      <c r="AI173" s="126">
        <v>538.6504839561926</v>
      </c>
      <c r="AJ173" s="126">
        <v>553.73269750696602</v>
      </c>
      <c r="AK173" s="126">
        <v>569.23721303716104</v>
      </c>
      <c r="AL173" s="126">
        <v>585.17585500220162</v>
      </c>
      <c r="AM173" s="126">
        <v>601.56077894226325</v>
      </c>
      <c r="AN173" s="126">
        <v>618.40448075264669</v>
      </c>
      <c r="AO173" s="126">
        <v>635.71980621372086</v>
      </c>
      <c r="AP173" s="126">
        <v>653.51996078770503</v>
      </c>
      <c r="AQ173" s="126">
        <v>671.81851968976082</v>
      </c>
      <c r="AR173" s="126">
        <v>690.62943824107413</v>
      </c>
      <c r="AS173" s="126">
        <v>709.96706251182422</v>
      </c>
      <c r="AT173" s="126">
        <v>729.84614026215536</v>
      </c>
      <c r="AU173" s="126">
        <v>750.28183218949573</v>
      </c>
      <c r="AV173" s="126">
        <v>771.28972349080163</v>
      </c>
      <c r="AW173" s="126">
        <v>792.88583574854408</v>
      </c>
      <c r="AX173" s="126">
        <v>815.0866391495033</v>
      </c>
      <c r="AY173" s="126">
        <v>837.90906504568943</v>
      </c>
      <c r="AZ173" s="126">
        <v>861.37051886696872</v>
      </c>
      <c r="BA173" s="126">
        <v>885.48889339524385</v>
      </c>
      <c r="BB173" s="126">
        <v>910.28258241031074</v>
      </c>
      <c r="BC173" s="126">
        <f t="shared" si="74"/>
        <v>935.77049471779947</v>
      </c>
      <c r="BD173" s="126">
        <f t="shared" si="74"/>
        <v>961.97206856989783</v>
      </c>
      <c r="BE173" s="126">
        <f t="shared" si="74"/>
        <v>988.90728648985498</v>
      </c>
      <c r="BF173" s="126">
        <f t="shared" si="74"/>
        <v>1016.596690511571</v>
      </c>
      <c r="BG173" s="126">
        <f t="shared" si="74"/>
        <v>1045.061397845895</v>
      </c>
    </row>
    <row r="174" spans="1:59" ht="13.75" customHeight="1">
      <c r="A174" s="171" t="s">
        <v>166</v>
      </c>
      <c r="B174" s="165" t="s">
        <v>245</v>
      </c>
      <c r="C174" s="165"/>
      <c r="D174" s="165" t="s">
        <v>168</v>
      </c>
      <c r="E174" s="167"/>
      <c r="F174" s="168" t="s">
        <v>288</v>
      </c>
      <c r="G174" s="168" t="s">
        <v>247</v>
      </c>
      <c r="H174" s="168"/>
      <c r="I174" s="168"/>
      <c r="W174" s="125"/>
      <c r="X174" s="125">
        <v>159.69812185610925</v>
      </c>
      <c r="Y174" s="125">
        <v>158.83013626384013</v>
      </c>
      <c r="Z174" s="125">
        <v>174.45152803719049</v>
      </c>
      <c r="AA174" s="125">
        <v>163.19999999999999</v>
      </c>
      <c r="AB174" s="125">
        <v>169.51750000000001</v>
      </c>
      <c r="AC174" s="125">
        <v>174.57916666666668</v>
      </c>
      <c r="AD174" s="125">
        <v>193.37333333333333</v>
      </c>
      <c r="AE174" s="125">
        <v>211.28121665989445</v>
      </c>
      <c r="AF174" s="125">
        <v>223.17376713296159</v>
      </c>
      <c r="AG174" s="125">
        <v>210.57071483247893</v>
      </c>
      <c r="AH174" s="125">
        <v>224.82794528429002</v>
      </c>
      <c r="AI174" s="125">
        <v>230.7304156274943</v>
      </c>
      <c r="AJ174" s="125">
        <v>237.28315943131514</v>
      </c>
      <c r="AK174" s="125">
        <v>244.02200115916449</v>
      </c>
      <c r="AL174" s="125">
        <v>250.95222599208475</v>
      </c>
      <c r="AM174" s="125">
        <v>258.07926921025995</v>
      </c>
      <c r="AN174" s="125">
        <v>265.40872045583131</v>
      </c>
      <c r="AO174" s="125">
        <v>272.9463281167769</v>
      </c>
      <c r="AP174" s="125">
        <v>280.69800383529338</v>
      </c>
      <c r="AQ174" s="125">
        <v>288.66982714421573</v>
      </c>
      <c r="AR174" s="125">
        <v>296.86805023511147</v>
      </c>
      <c r="AS174" s="125">
        <v>305.29910286178864</v>
      </c>
      <c r="AT174" s="125">
        <v>313.96959738306344</v>
      </c>
      <c r="AU174" s="125">
        <v>322.88633394874245</v>
      </c>
      <c r="AV174" s="125">
        <v>332.05630583288672</v>
      </c>
      <c r="AW174" s="125">
        <v>341.48670491854068</v>
      </c>
      <c r="AX174" s="125">
        <v>351.18492733822723</v>
      </c>
      <c r="AY174" s="125">
        <v>361.15857927463287</v>
      </c>
      <c r="AZ174" s="125">
        <v>371.41548292603244</v>
      </c>
      <c r="BA174" s="125">
        <v>381.96368264113175</v>
      </c>
      <c r="BB174" s="125">
        <v>392.8114512281399</v>
      </c>
      <c r="BC174" s="125">
        <f>BB174*(1+((BB174-BA174)/BA174))</f>
        <v>403.96729644301905</v>
      </c>
      <c r="BD174" s="125">
        <f t="shared" si="74"/>
        <v>415.43996766200081</v>
      </c>
      <c r="BE174" s="125">
        <f t="shared" si="74"/>
        <v>427.23846274360164</v>
      </c>
      <c r="BF174" s="125">
        <f t="shared" si="74"/>
        <v>439.37203508551994</v>
      </c>
      <c r="BG174" s="125">
        <f t="shared" si="74"/>
        <v>451.85020088194869</v>
      </c>
    </row>
    <row r="175" spans="1:59" ht="13.75" customHeight="1">
      <c r="A175" s="171" t="s">
        <v>166</v>
      </c>
      <c r="B175" s="165" t="s">
        <v>245</v>
      </c>
      <c r="C175" s="165"/>
      <c r="D175" s="165" t="s">
        <v>168</v>
      </c>
      <c r="E175" s="167"/>
      <c r="F175" s="168" t="s">
        <v>289</v>
      </c>
      <c r="G175" s="168" t="s">
        <v>247</v>
      </c>
      <c r="H175" s="168"/>
      <c r="I175" s="168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</row>
    <row r="176" spans="1:59" ht="13.75" customHeight="1">
      <c r="A176" s="171" t="s">
        <v>166</v>
      </c>
      <c r="B176" s="165" t="s">
        <v>245</v>
      </c>
      <c r="C176" s="165"/>
      <c r="D176" s="165" t="s">
        <v>168</v>
      </c>
      <c r="E176" s="167"/>
      <c r="F176" s="168" t="s">
        <v>290</v>
      </c>
      <c r="G176" s="168" t="s">
        <v>291</v>
      </c>
      <c r="H176" s="168"/>
      <c r="I176" s="168" t="s">
        <v>292</v>
      </c>
      <c r="W176" s="125">
        <v>72.705726666666678</v>
      </c>
      <c r="X176" s="125">
        <v>82.937836666666669</v>
      </c>
      <c r="Y176" s="125">
        <v>87.611999999999995</v>
      </c>
      <c r="Z176" s="125">
        <v>89.4</v>
      </c>
      <c r="AA176" s="125">
        <v>92.840503333333331</v>
      </c>
      <c r="AB176" s="125">
        <v>102.36471916666667</v>
      </c>
      <c r="AC176" s="125">
        <v>108.48993333333334</v>
      </c>
      <c r="AD176" s="125">
        <v>105.75087749999999</v>
      </c>
      <c r="AE176" s="125">
        <v>114.55738166666666</v>
      </c>
      <c r="AF176" s="125">
        <v>129.47461384176671</v>
      </c>
      <c r="AG176" s="125">
        <v>121.91780854402954</v>
      </c>
      <c r="AH176" s="125">
        <v>127.21550574456742</v>
      </c>
      <c r="AI176" s="125">
        <v>132.35391695609189</v>
      </c>
      <c r="AJ176" s="125">
        <v>137.64807363433556</v>
      </c>
      <c r="AK176" s="125">
        <v>143.15399657970897</v>
      </c>
      <c r="AL176" s="125">
        <v>148.88015644289734</v>
      </c>
      <c r="AM176" s="125">
        <v>154.83536270061325</v>
      </c>
      <c r="AN176" s="125">
        <v>161.02877720863779</v>
      </c>
      <c r="AO176" s="125">
        <v>167.46992829698331</v>
      </c>
      <c r="AP176" s="125">
        <v>174.16872542886264</v>
      </c>
      <c r="AQ176" s="125">
        <v>181.13547444601716</v>
      </c>
      <c r="AR176" s="125">
        <v>188.38089342385786</v>
      </c>
      <c r="AS176" s="125">
        <v>195.91612916081218</v>
      </c>
      <c r="AT176" s="125">
        <v>203.75277432724468</v>
      </c>
      <c r="AU176" s="125">
        <v>211.90288530033448</v>
      </c>
      <c r="AV176" s="125">
        <v>220.37900071234787</v>
      </c>
      <c r="AW176" s="125">
        <v>229.1941607408418</v>
      </c>
      <c r="AX176" s="125">
        <v>238.36192717047547</v>
      </c>
      <c r="AY176" s="125">
        <v>247.89640425729451</v>
      </c>
      <c r="AZ176" s="125">
        <v>257.8122604275863</v>
      </c>
      <c r="BA176" s="125">
        <v>268.12475084468974</v>
      </c>
      <c r="BB176" s="125">
        <v>278.84974087847735</v>
      </c>
      <c r="BC176" s="125">
        <f t="shared" si="74"/>
        <v>290.00373051361646</v>
      </c>
      <c r="BD176" s="125">
        <f t="shared" si="74"/>
        <v>301.60387973416113</v>
      </c>
      <c r="BE176" s="125">
        <f t="shared" si="74"/>
        <v>313.66803492352756</v>
      </c>
      <c r="BF176" s="125">
        <f t="shared" si="74"/>
        <v>326.21475632046867</v>
      </c>
      <c r="BG176" s="125">
        <f t="shared" si="74"/>
        <v>339.26334657328744</v>
      </c>
    </row>
    <row r="177" spans="1:59" ht="13.75" customHeight="1">
      <c r="A177" s="171" t="s">
        <v>166</v>
      </c>
      <c r="B177" s="165" t="s">
        <v>245</v>
      </c>
      <c r="C177" s="165"/>
      <c r="D177" s="165" t="s">
        <v>168</v>
      </c>
      <c r="E177" s="167"/>
      <c r="F177" s="168" t="s">
        <v>293</v>
      </c>
      <c r="G177" s="168" t="s">
        <v>291</v>
      </c>
      <c r="H177" s="168"/>
      <c r="I177" s="168" t="s">
        <v>292</v>
      </c>
      <c r="W177" s="125">
        <v>160.11000000000001</v>
      </c>
      <c r="X177" s="125">
        <v>164.14869583333333</v>
      </c>
      <c r="Y177" s="125">
        <v>157.62048583333336</v>
      </c>
      <c r="Z177" s="125">
        <v>156.45000000000002</v>
      </c>
      <c r="AA177" s="125">
        <v>162.47088083333333</v>
      </c>
      <c r="AB177" s="125">
        <v>179.13825854166669</v>
      </c>
      <c r="AC177" s="125">
        <v>189.85738333333333</v>
      </c>
      <c r="AD177" s="125">
        <v>185.06403562499997</v>
      </c>
      <c r="AE177" s="125">
        <v>200.47541791666666</v>
      </c>
      <c r="AF177" s="125">
        <v>226.58057422309173</v>
      </c>
      <c r="AG177" s="125">
        <v>213.3561649520517</v>
      </c>
      <c r="AH177" s="125">
        <v>222.627135052993</v>
      </c>
      <c r="AI177" s="125">
        <v>231.61935467316081</v>
      </c>
      <c r="AJ177" s="125">
        <v>240.88412886008723</v>
      </c>
      <c r="AK177" s="125">
        <v>250.5194940144907</v>
      </c>
      <c r="AL177" s="125">
        <v>260.54027377507037</v>
      </c>
      <c r="AM177" s="125">
        <v>270.96188472607321</v>
      </c>
      <c r="AN177" s="125">
        <v>281.80036011511612</v>
      </c>
      <c r="AO177" s="125">
        <v>293.07237451972082</v>
      </c>
      <c r="AP177" s="125">
        <v>304.79526950050962</v>
      </c>
      <c r="AQ177" s="125">
        <v>316.98708028052999</v>
      </c>
      <c r="AR177" s="125">
        <v>329.66656349175128</v>
      </c>
      <c r="AS177" s="125">
        <v>342.85322603142129</v>
      </c>
      <c r="AT177" s="125">
        <v>356.5673550726782</v>
      </c>
      <c r="AU177" s="125">
        <v>370.83004927558534</v>
      </c>
      <c r="AV177" s="125">
        <v>385.66325124660875</v>
      </c>
      <c r="AW177" s="125">
        <v>401.08978129647312</v>
      </c>
      <c r="AX177" s="125">
        <v>417.13337254833209</v>
      </c>
      <c r="AY177" s="125">
        <v>433.81870745026538</v>
      </c>
      <c r="AZ177" s="125">
        <v>451.171455748276</v>
      </c>
      <c r="BA177" s="125">
        <v>469.21831397820705</v>
      </c>
      <c r="BB177" s="125">
        <v>487.98704653733535</v>
      </c>
      <c r="BC177" s="125">
        <f>BB177*(1+((BB177-BA177)/BA177))</f>
        <v>507.50652839882878</v>
      </c>
      <c r="BD177" s="125">
        <f t="shared" si="74"/>
        <v>527.80678953478196</v>
      </c>
      <c r="BE177" s="125">
        <f t="shared" si="74"/>
        <v>548.91906111617322</v>
      </c>
      <c r="BF177" s="125">
        <f t="shared" si="74"/>
        <v>570.87582356082021</v>
      </c>
      <c r="BG177" s="125">
        <f t="shared" si="74"/>
        <v>593.71085650325301</v>
      </c>
    </row>
    <row r="178" spans="1:59" ht="13.75" customHeight="1">
      <c r="A178" s="171" t="s">
        <v>166</v>
      </c>
      <c r="B178" s="165" t="s">
        <v>245</v>
      </c>
      <c r="C178" s="165"/>
      <c r="D178" s="165" t="s">
        <v>168</v>
      </c>
      <c r="E178" s="167"/>
      <c r="F178" s="168" t="s">
        <v>294</v>
      </c>
      <c r="G178" s="168" t="s">
        <v>4</v>
      </c>
      <c r="H178" s="168"/>
      <c r="I178" s="168" t="s">
        <v>295</v>
      </c>
      <c r="U178" s="112">
        <v>2400</v>
      </c>
      <c r="V178" s="112">
        <v>2500</v>
      </c>
      <c r="W178" s="127">
        <v>3008.19</v>
      </c>
      <c r="X178" s="127">
        <v>3092.69</v>
      </c>
      <c r="Y178" s="127">
        <v>2851.0533955111755</v>
      </c>
      <c r="Z178" s="127">
        <v>2008.6695034688171</v>
      </c>
      <c r="AA178" s="127">
        <v>2307.2487056120212</v>
      </c>
      <c r="AB178" s="127">
        <v>2386.0315252475725</v>
      </c>
      <c r="AC178" s="127">
        <v>2519.9916495784919</v>
      </c>
      <c r="AD178" s="127">
        <v>2493.1796528954137</v>
      </c>
      <c r="AE178" s="127">
        <v>2471.6005263157895</v>
      </c>
      <c r="AF178" s="127">
        <v>3216.9100147024342</v>
      </c>
      <c r="AG178" s="127">
        <v>2884.2666666666664</v>
      </c>
      <c r="AH178" s="127">
        <v>2768.166666666667</v>
      </c>
      <c r="AI178" s="127">
        <v>2768.166666666667</v>
      </c>
      <c r="AJ178" s="127">
        <v>2768.166666666667</v>
      </c>
      <c r="AK178" s="127">
        <v>2768.166666666667</v>
      </c>
      <c r="AL178" s="127">
        <v>2768.166666666667</v>
      </c>
      <c r="AM178" s="127">
        <v>2768.166666666667</v>
      </c>
      <c r="AN178" s="127">
        <v>2768.166666666667</v>
      </c>
      <c r="AO178" s="127">
        <v>2768.166666666667</v>
      </c>
      <c r="AP178" s="127">
        <v>2768.166666666667</v>
      </c>
      <c r="AQ178" s="127">
        <v>2768.166666666667</v>
      </c>
      <c r="AR178" s="127">
        <v>2768.166666666667</v>
      </c>
      <c r="AS178" s="127">
        <v>2768.166666666667</v>
      </c>
      <c r="AT178" s="127">
        <v>2768.166666666667</v>
      </c>
      <c r="AU178" s="127">
        <v>2768.166666666667</v>
      </c>
      <c r="AV178" s="127">
        <v>2768.166666666667</v>
      </c>
      <c r="AW178" s="127">
        <v>2768.166666666667</v>
      </c>
      <c r="AX178" s="127">
        <v>2768.166666666667</v>
      </c>
      <c r="AY178" s="127">
        <v>2768.166666666667</v>
      </c>
      <c r="AZ178" s="127">
        <v>2768.166666666667</v>
      </c>
      <c r="BA178" s="127">
        <v>2768.166666666667</v>
      </c>
      <c r="BB178" s="127">
        <v>2768.166666666667</v>
      </c>
      <c r="BC178" s="127">
        <f>BB178*(1+((BB178-BA178)/BA178))</f>
        <v>2768.166666666667</v>
      </c>
      <c r="BD178" s="127">
        <f t="shared" si="74"/>
        <v>2768.166666666667</v>
      </c>
      <c r="BE178" s="127">
        <f t="shared" si="74"/>
        <v>2768.166666666667</v>
      </c>
      <c r="BF178" s="127">
        <f t="shared" si="74"/>
        <v>2768.166666666667</v>
      </c>
      <c r="BG178" s="127">
        <f>BF178*(1+((BF178-BE178)/BE178))</f>
        <v>2768.166666666667</v>
      </c>
    </row>
    <row r="179" spans="1:59" ht="13.75" customHeight="1">
      <c r="A179" s="171" t="s">
        <v>166</v>
      </c>
      <c r="B179" s="165" t="s">
        <v>245</v>
      </c>
      <c r="C179" s="165"/>
      <c r="D179" s="165" t="s">
        <v>168</v>
      </c>
      <c r="E179" s="167"/>
      <c r="F179" s="168" t="s">
        <v>296</v>
      </c>
      <c r="G179" s="168" t="s">
        <v>297</v>
      </c>
      <c r="H179" s="168"/>
      <c r="I179" s="168" t="s">
        <v>298</v>
      </c>
      <c r="U179" s="112">
        <v>74568</v>
      </c>
      <c r="V179" s="112">
        <v>79550</v>
      </c>
      <c r="W179" s="127">
        <v>115454.3322</v>
      </c>
      <c r="X179" s="127">
        <v>188468.52859999999</v>
      </c>
      <c r="Y179" s="127">
        <v>191163.13016902431</v>
      </c>
      <c r="Z179" s="127">
        <v>117101.7855445181</v>
      </c>
      <c r="AA179" s="127">
        <v>145186.83066199592</v>
      </c>
      <c r="AB179" s="127">
        <v>154253.5816147484</v>
      </c>
      <c r="AC179" s="127">
        <v>181836.55732445544</v>
      </c>
      <c r="AD179" s="127">
        <v>183726.33154162459</v>
      </c>
      <c r="AE179" s="127">
        <v>170492.05879749698</v>
      </c>
      <c r="AF179" s="127">
        <v>276752.38969881803</v>
      </c>
      <c r="AG179" s="127">
        <v>290471.75555555557</v>
      </c>
      <c r="AH179" s="127">
        <v>259515.62500000006</v>
      </c>
      <c r="AI179" s="127">
        <v>257577.90833333321</v>
      </c>
      <c r="AJ179" s="127">
        <v>265305.24558333319</v>
      </c>
      <c r="AK179" s="127">
        <v>273264.4029508332</v>
      </c>
      <c r="AL179" s="127">
        <v>281462.33503935824</v>
      </c>
      <c r="AM179" s="127">
        <v>289906.20509053901</v>
      </c>
      <c r="AN179" s="127">
        <v>298603.39124325517</v>
      </c>
      <c r="AO179" s="127">
        <v>307561.49298055284</v>
      </c>
      <c r="AP179" s="127">
        <v>316788.33776996942</v>
      </c>
      <c r="AQ179" s="127">
        <v>326291.98790306854</v>
      </c>
      <c r="AR179" s="127">
        <v>336080.74754016061</v>
      </c>
      <c r="AS179" s="127">
        <v>346163.16996636539</v>
      </c>
      <c r="AT179" s="127">
        <v>356548.06506535638</v>
      </c>
      <c r="AU179" s="127">
        <v>367244.50701731711</v>
      </c>
      <c r="AV179" s="127">
        <v>378261.84222783666</v>
      </c>
      <c r="AW179" s="127">
        <v>389609.69749467174</v>
      </c>
      <c r="AX179" s="127">
        <v>401297.98841951194</v>
      </c>
      <c r="AY179" s="127">
        <v>413336.9280720973</v>
      </c>
      <c r="AZ179" s="127">
        <v>425737.03591426025</v>
      </c>
      <c r="BA179" s="127">
        <v>438509.14699168806</v>
      </c>
      <c r="BB179" s="127">
        <v>451664.42140143865</v>
      </c>
      <c r="BC179" s="127">
        <f t="shared" si="74"/>
        <v>465214.3540434817</v>
      </c>
      <c r="BD179" s="127">
        <f t="shared" si="74"/>
        <v>479170.78466478607</v>
      </c>
      <c r="BE179" s="127">
        <f t="shared" si="74"/>
        <v>493545.90820472955</v>
      </c>
      <c r="BF179" s="127">
        <f t="shared" si="74"/>
        <v>508352.28545087134</v>
      </c>
      <c r="BG179" s="127">
        <f t="shared" si="74"/>
        <v>523602.85401439737</v>
      </c>
    </row>
    <row r="180" spans="1:59" ht="13.75" customHeight="1">
      <c r="A180" s="171" t="s">
        <v>166</v>
      </c>
      <c r="B180" s="165" t="s">
        <v>245</v>
      </c>
      <c r="C180" s="165"/>
      <c r="D180" s="165" t="s">
        <v>168</v>
      </c>
      <c r="E180" s="167"/>
      <c r="F180" s="168" t="s">
        <v>299</v>
      </c>
      <c r="G180" s="168" t="s">
        <v>247</v>
      </c>
      <c r="H180" s="168" t="s">
        <v>280</v>
      </c>
      <c r="I180" s="168" t="s">
        <v>248</v>
      </c>
      <c r="T180" s="109">
        <v>34.200000000000003</v>
      </c>
      <c r="U180" s="112">
        <v>30.4</v>
      </c>
      <c r="V180" s="112">
        <v>27.8</v>
      </c>
      <c r="W180" s="125">
        <v>28.036363636363635</v>
      </c>
      <c r="X180" s="125">
        <v>44.893482575757574</v>
      </c>
      <c r="Y180" s="125">
        <v>48.563636363636363</v>
      </c>
      <c r="Z180" s="125">
        <v>39.118181818181817</v>
      </c>
      <c r="AA180" s="125">
        <v>40.590909090909086</v>
      </c>
      <c r="AB180" s="125">
        <v>39.521148992424237</v>
      </c>
      <c r="AC180" s="125">
        <v>55.926452022727275</v>
      </c>
      <c r="AD180" s="125">
        <v>88.908964643939385</v>
      </c>
      <c r="AE180" s="125">
        <v>77.95915404040403</v>
      </c>
      <c r="AF180" s="125">
        <v>68.508130084394338</v>
      </c>
      <c r="AG180" s="125">
        <v>64.520035675338249</v>
      </c>
      <c r="AH180" s="125">
        <v>59.764162917439407</v>
      </c>
      <c r="AI180" s="125">
        <v>59.317923834322485</v>
      </c>
      <c r="AJ180" s="125">
        <v>61.097461549352161</v>
      </c>
      <c r="AK180" s="125">
        <v>62.93038539583273</v>
      </c>
      <c r="AL180" s="125">
        <v>64.818296957707716</v>
      </c>
      <c r="AM180" s="125">
        <v>66.762845866438951</v>
      </c>
      <c r="AN180" s="125">
        <v>68.765731242432125</v>
      </c>
      <c r="AO180" s="125">
        <v>70.828703179705087</v>
      </c>
      <c r="AP180" s="125">
        <v>72.953564275096241</v>
      </c>
      <c r="AQ180" s="125">
        <v>75.142171203349136</v>
      </c>
      <c r="AR180" s="125">
        <v>77.396436339449608</v>
      </c>
      <c r="AS180" s="125">
        <v>79.718329429633101</v>
      </c>
      <c r="AT180" s="125">
        <v>82.109879312522096</v>
      </c>
      <c r="AU180" s="125">
        <v>84.57317569189776</v>
      </c>
      <c r="AV180" s="125">
        <v>87.110370962654699</v>
      </c>
      <c r="AW180" s="125">
        <v>89.723682091534343</v>
      </c>
      <c r="AX180" s="125">
        <v>92.415392554280373</v>
      </c>
      <c r="AY180" s="125">
        <v>95.187854330908792</v>
      </c>
      <c r="AZ180" s="125">
        <v>98.043489960836055</v>
      </c>
      <c r="BA180" s="125">
        <v>100.98479465966113</v>
      </c>
      <c r="BB180" s="125">
        <v>104.01433849945097</v>
      </c>
      <c r="BC180" s="125">
        <f t="shared" si="74"/>
        <v>107.13476865443451</v>
      </c>
      <c r="BD180" s="125">
        <f t="shared" si="74"/>
        <v>110.34881171406755</v>
      </c>
      <c r="BE180" s="125">
        <f t="shared" si="74"/>
        <v>113.65927606548958</v>
      </c>
      <c r="BF180" s="125">
        <f t="shared" si="74"/>
        <v>117.06905434745427</v>
      </c>
      <c r="BG180" s="125">
        <f t="shared" si="74"/>
        <v>120.5811259778779</v>
      </c>
    </row>
    <row r="181" spans="1:59" ht="13.75" customHeight="1">
      <c r="A181" s="171" t="s">
        <v>166</v>
      </c>
      <c r="B181" s="165" t="s">
        <v>245</v>
      </c>
      <c r="C181" s="165"/>
      <c r="D181" s="165" t="s">
        <v>168</v>
      </c>
      <c r="E181" s="167"/>
      <c r="F181" s="168" t="s">
        <v>300</v>
      </c>
      <c r="G181" s="168" t="s">
        <v>4</v>
      </c>
      <c r="H181" s="168"/>
      <c r="I181" s="168" t="s">
        <v>295</v>
      </c>
      <c r="U181" s="112">
        <v>1677.2727272727273</v>
      </c>
      <c r="V181" s="112">
        <v>1115</v>
      </c>
      <c r="W181" s="127">
        <v>1280</v>
      </c>
      <c r="X181" s="127">
        <v>1110</v>
      </c>
      <c r="Y181" s="127">
        <v>1475</v>
      </c>
      <c r="Z181" s="127">
        <v>1650.65</v>
      </c>
      <c r="AA181" s="127">
        <v>996.86500000000001</v>
      </c>
      <c r="AB181" s="127">
        <v>734.59833333333336</v>
      </c>
      <c r="AC181" s="127">
        <v>1010.4037141479876</v>
      </c>
      <c r="AD181" s="127">
        <v>1636.3133333333333</v>
      </c>
      <c r="AE181" s="127">
        <v>1634.6375</v>
      </c>
      <c r="AF181" s="127">
        <v>1058.2141666666666</v>
      </c>
      <c r="AG181" s="127">
        <v>880</v>
      </c>
      <c r="AH181" s="127">
        <v>880</v>
      </c>
      <c r="AI181" s="127">
        <v>880</v>
      </c>
      <c r="AJ181" s="127">
        <v>880</v>
      </c>
      <c r="AK181" s="127">
        <v>880</v>
      </c>
      <c r="AL181" s="127">
        <v>880</v>
      </c>
      <c r="AM181" s="127">
        <v>880</v>
      </c>
      <c r="AN181" s="127">
        <v>880</v>
      </c>
      <c r="AO181" s="127">
        <v>880</v>
      </c>
      <c r="AP181" s="127">
        <v>880</v>
      </c>
      <c r="AQ181" s="127">
        <v>880</v>
      </c>
      <c r="AR181" s="127">
        <v>880</v>
      </c>
      <c r="AS181" s="127">
        <v>880</v>
      </c>
      <c r="AT181" s="127">
        <v>880</v>
      </c>
      <c r="AU181" s="127">
        <v>880</v>
      </c>
      <c r="AV181" s="127">
        <v>880</v>
      </c>
      <c r="AW181" s="127">
        <v>880</v>
      </c>
      <c r="AX181" s="127">
        <v>880</v>
      </c>
      <c r="AY181" s="127">
        <v>880</v>
      </c>
      <c r="AZ181" s="127">
        <v>880</v>
      </c>
      <c r="BA181" s="127">
        <v>880</v>
      </c>
      <c r="BB181" s="127">
        <v>880</v>
      </c>
      <c r="BC181" s="127">
        <f t="shared" si="74"/>
        <v>880</v>
      </c>
      <c r="BD181" s="127">
        <f t="shared" si="74"/>
        <v>880</v>
      </c>
      <c r="BE181" s="127">
        <f t="shared" si="74"/>
        <v>880</v>
      </c>
      <c r="BF181" s="127">
        <f t="shared" si="74"/>
        <v>880</v>
      </c>
      <c r="BG181" s="127">
        <f t="shared" si="74"/>
        <v>880</v>
      </c>
    </row>
    <row r="182" spans="1:59" ht="13.75" customHeight="1">
      <c r="A182" s="171" t="s">
        <v>166</v>
      </c>
      <c r="B182" s="165" t="s">
        <v>245</v>
      </c>
      <c r="C182" s="165"/>
      <c r="D182" s="165" t="s">
        <v>168</v>
      </c>
      <c r="E182" s="167"/>
      <c r="F182" s="168" t="s">
        <v>301</v>
      </c>
      <c r="G182" s="168" t="s">
        <v>297</v>
      </c>
      <c r="H182" s="168"/>
      <c r="I182" s="168" t="s">
        <v>298</v>
      </c>
      <c r="W182" s="127">
        <v>49126.400000000001</v>
      </c>
      <c r="X182" s="127">
        <v>67643.399999999994</v>
      </c>
      <c r="Y182" s="127">
        <v>98898.75</v>
      </c>
      <c r="Z182" s="127">
        <v>96229.898435384661</v>
      </c>
      <c r="AA182" s="127">
        <v>62729.115242684253</v>
      </c>
      <c r="AB182" s="127">
        <v>47489.005670583334</v>
      </c>
      <c r="AC182" s="127">
        <v>73365.006158063814</v>
      </c>
      <c r="AD182" s="127">
        <v>120513.14708491668</v>
      </c>
      <c r="AE182" s="127">
        <v>116018.61214635726</v>
      </c>
      <c r="AF182" s="127">
        <v>89854.151458333334</v>
      </c>
      <c r="AG182" s="127">
        <v>88616</v>
      </c>
      <c r="AH182" s="127">
        <v>82500.000000000015</v>
      </c>
      <c r="AI182" s="127">
        <v>81883.999999999942</v>
      </c>
      <c r="AJ182" s="127">
        <v>84340.519999999946</v>
      </c>
      <c r="AK182" s="127">
        <v>86870.735599999956</v>
      </c>
      <c r="AL182" s="127">
        <v>89476.857667999953</v>
      </c>
      <c r="AM182" s="127">
        <v>92161.163398039964</v>
      </c>
      <c r="AN182" s="127">
        <v>94925.998299981162</v>
      </c>
      <c r="AO182" s="127">
        <v>97773.778248980598</v>
      </c>
      <c r="AP182" s="127">
        <v>100706.99159645003</v>
      </c>
      <c r="AQ182" s="127">
        <v>103728.20134434353</v>
      </c>
      <c r="AR182" s="127">
        <v>106840.04738467383</v>
      </c>
      <c r="AS182" s="127">
        <v>110045.24880621405</v>
      </c>
      <c r="AT182" s="127">
        <v>113346.60627040049</v>
      </c>
      <c r="AU182" s="127">
        <v>116747.00445851251</v>
      </c>
      <c r="AV182" s="127">
        <v>120249.41459226789</v>
      </c>
      <c r="AW182" s="127">
        <v>123856.89703003591</v>
      </c>
      <c r="AX182" s="127">
        <v>127572.603940937</v>
      </c>
      <c r="AY182" s="127">
        <v>131399.78205916513</v>
      </c>
      <c r="AZ182" s="127">
        <v>135341.77552094008</v>
      </c>
      <c r="BA182" s="127">
        <v>139402.02878656829</v>
      </c>
      <c r="BB182" s="127">
        <v>143584.08965016532</v>
      </c>
      <c r="BC182" s="127">
        <f t="shared" si="74"/>
        <v>147891.61233967025</v>
      </c>
      <c r="BD182" s="127">
        <f t="shared" si="74"/>
        <v>152328.36070986034</v>
      </c>
      <c r="BE182" s="127">
        <f t="shared" si="74"/>
        <v>156898.21153115612</v>
      </c>
      <c r="BF182" s="127">
        <f t="shared" si="74"/>
        <v>161605.15787709077</v>
      </c>
      <c r="BG182" s="127">
        <f t="shared" si="74"/>
        <v>166453.31261340345</v>
      </c>
    </row>
    <row r="183" spans="1:59" ht="13.75" customHeight="1">
      <c r="A183" s="171" t="s">
        <v>166</v>
      </c>
      <c r="B183" s="165" t="s">
        <v>245</v>
      </c>
      <c r="C183" s="165"/>
      <c r="D183" s="165" t="s">
        <v>168</v>
      </c>
      <c r="E183" s="167"/>
      <c r="F183" s="168" t="s">
        <v>302</v>
      </c>
      <c r="G183" s="168" t="s">
        <v>4</v>
      </c>
      <c r="H183" s="168"/>
      <c r="I183" s="168" t="s">
        <v>295</v>
      </c>
      <c r="U183" s="112">
        <v>1087.5</v>
      </c>
      <c r="V183" s="112">
        <v>995.83333333333337</v>
      </c>
      <c r="W183" s="127">
        <v>739.52080460783225</v>
      </c>
      <c r="X183" s="127">
        <v>564.93138455031135</v>
      </c>
      <c r="Y183" s="127">
        <v>640.11994086753509</v>
      </c>
      <c r="Z183" s="127">
        <v>651.21444855267828</v>
      </c>
      <c r="AA183" s="127">
        <v>560.24543430363997</v>
      </c>
      <c r="AB183" s="127">
        <v>524.06742032293937</v>
      </c>
      <c r="AC183" s="127">
        <v>666.09517934025689</v>
      </c>
      <c r="AD183" s="127">
        <v>1073.1305688456789</v>
      </c>
      <c r="AE183" s="127">
        <v>1178.2859323886794</v>
      </c>
      <c r="AF183" s="127">
        <v>861.83470451480332</v>
      </c>
      <c r="AG183" s="127">
        <v>704.83670811488105</v>
      </c>
      <c r="AH183" s="127">
        <v>701.28241752618715</v>
      </c>
      <c r="AI183" s="127">
        <v>701.28241752618715</v>
      </c>
      <c r="AJ183" s="127">
        <v>701.28241752618715</v>
      </c>
      <c r="AK183" s="127">
        <v>701.28241752618715</v>
      </c>
      <c r="AL183" s="127">
        <v>701.28241752618715</v>
      </c>
      <c r="AM183" s="127">
        <v>701.28241752618715</v>
      </c>
      <c r="AN183" s="127">
        <v>701.28241752618715</v>
      </c>
      <c r="AO183" s="127">
        <v>701.28241752618715</v>
      </c>
      <c r="AP183" s="127">
        <v>701.28241752618715</v>
      </c>
      <c r="AQ183" s="127">
        <v>701.28241752618715</v>
      </c>
      <c r="AR183" s="127">
        <v>701.28241752618715</v>
      </c>
      <c r="AS183" s="127">
        <v>701.28241752618715</v>
      </c>
      <c r="AT183" s="127">
        <v>701.28241752618715</v>
      </c>
      <c r="AU183" s="127">
        <v>701.28241752618715</v>
      </c>
      <c r="AV183" s="127">
        <v>701.28241752618715</v>
      </c>
      <c r="AW183" s="127">
        <v>701.28241752618715</v>
      </c>
      <c r="AX183" s="127">
        <v>701.28241752618715</v>
      </c>
      <c r="AY183" s="127">
        <v>701.28241752618715</v>
      </c>
      <c r="AZ183" s="127">
        <v>701.28241752618715</v>
      </c>
      <c r="BA183" s="127">
        <v>701.28241752618715</v>
      </c>
      <c r="BB183" s="127">
        <v>701.28241752618715</v>
      </c>
      <c r="BC183" s="127">
        <f t="shared" si="74"/>
        <v>701.28241752618715</v>
      </c>
      <c r="BD183" s="127">
        <f t="shared" si="74"/>
        <v>701.28241752618715</v>
      </c>
      <c r="BE183" s="127">
        <f t="shared" si="74"/>
        <v>701.28241752618715</v>
      </c>
      <c r="BF183" s="127">
        <f t="shared" si="74"/>
        <v>701.28241752618715</v>
      </c>
      <c r="BG183" s="127">
        <f t="shared" si="74"/>
        <v>701.28241752618715</v>
      </c>
    </row>
    <row r="184" spans="1:59" ht="13.75" customHeight="1">
      <c r="A184" s="171" t="s">
        <v>166</v>
      </c>
      <c r="B184" s="165" t="s">
        <v>245</v>
      </c>
      <c r="C184" s="165"/>
      <c r="D184" s="165" t="s">
        <v>168</v>
      </c>
      <c r="E184" s="167"/>
      <c r="F184" s="168" t="s">
        <v>303</v>
      </c>
      <c r="G184" s="168" t="s">
        <v>297</v>
      </c>
      <c r="H184" s="168"/>
      <c r="I184" s="168" t="s">
        <v>298</v>
      </c>
      <c r="W184" s="127">
        <v>28382.808480848602</v>
      </c>
      <c r="X184" s="127">
        <v>34426.918574495976</v>
      </c>
      <c r="Y184" s="127">
        <v>42920.042035168226</v>
      </c>
      <c r="Z184" s="127">
        <v>37964.620145929941</v>
      </c>
      <c r="AA184" s="127">
        <v>35254.222399844235</v>
      </c>
      <c r="AB184" s="127">
        <v>33879.614025396615</v>
      </c>
      <c r="AC184" s="127">
        <v>48227.750908078793</v>
      </c>
      <c r="AD184" s="127">
        <v>79035.333625003288</v>
      </c>
      <c r="AE184" s="127">
        <v>83708.104862421547</v>
      </c>
      <c r="AF184" s="127">
        <v>73094.675187878893</v>
      </c>
      <c r="AG184" s="127">
        <v>70981.888063765626</v>
      </c>
      <c r="AH184" s="127">
        <v>65745.226643080052</v>
      </c>
      <c r="AI184" s="127">
        <v>65254.328950811672</v>
      </c>
      <c r="AJ184" s="127">
        <v>67211.958819336025</v>
      </c>
      <c r="AK184" s="127">
        <v>69228.317583916112</v>
      </c>
      <c r="AL184" s="127">
        <v>71305.167111433591</v>
      </c>
      <c r="AM184" s="127">
        <v>73444.322124776605</v>
      </c>
      <c r="AN184" s="127">
        <v>75647.651788519914</v>
      </c>
      <c r="AO184" s="127">
        <v>77917.081342175516</v>
      </c>
      <c r="AP184" s="127">
        <v>80254.593782440774</v>
      </c>
      <c r="AQ184" s="127">
        <v>82662.231595914011</v>
      </c>
      <c r="AR184" s="127">
        <v>85142.098543791421</v>
      </c>
      <c r="AS184" s="127">
        <v>87696.361500105166</v>
      </c>
      <c r="AT184" s="127">
        <v>90327.25234510834</v>
      </c>
      <c r="AU184" s="127">
        <v>93037.069915461587</v>
      </c>
      <c r="AV184" s="127">
        <v>95828.182012925434</v>
      </c>
      <c r="AW184" s="127">
        <v>98703.027473313196</v>
      </c>
      <c r="AX184" s="127">
        <v>101664.1182975126</v>
      </c>
      <c r="AY184" s="127">
        <v>104714.04184643799</v>
      </c>
      <c r="AZ184" s="127">
        <v>107855.46310183113</v>
      </c>
      <c r="BA184" s="127">
        <v>111091.12699488606</v>
      </c>
      <c r="BB184" s="127">
        <v>114423.86080473264</v>
      </c>
      <c r="BC184" s="127">
        <f t="shared" si="74"/>
        <v>117856.57662887462</v>
      </c>
      <c r="BD184" s="127">
        <f t="shared" si="74"/>
        <v>121392.27392774087</v>
      </c>
      <c r="BE184" s="127">
        <f t="shared" si="74"/>
        <v>125034.0421455731</v>
      </c>
      <c r="BF184" s="127">
        <f t="shared" si="74"/>
        <v>128785.0634099403</v>
      </c>
      <c r="BG184" s="127">
        <f t="shared" si="74"/>
        <v>132648.61531223851</v>
      </c>
    </row>
    <row r="185" spans="1:59" ht="13.75" customHeight="1">
      <c r="A185" s="171" t="s">
        <v>166</v>
      </c>
      <c r="B185" s="165" t="s">
        <v>245</v>
      </c>
      <c r="C185" s="165"/>
      <c r="D185" s="165" t="s">
        <v>168</v>
      </c>
      <c r="E185" s="167"/>
      <c r="F185" s="168" t="s">
        <v>304</v>
      </c>
      <c r="G185" s="168" t="s">
        <v>4</v>
      </c>
      <c r="H185" s="168"/>
      <c r="I185" s="168" t="s">
        <v>295</v>
      </c>
      <c r="V185" s="112">
        <v>4589</v>
      </c>
      <c r="W185" s="127">
        <v>4991</v>
      </c>
      <c r="X185" s="127">
        <v>4908</v>
      </c>
      <c r="Y185" s="127">
        <v>4806</v>
      </c>
      <c r="Z185" s="127">
        <v>4679</v>
      </c>
      <c r="AA185" s="127">
        <v>4863</v>
      </c>
      <c r="AB185" s="127">
        <v>4577.8868055555549</v>
      </c>
      <c r="AC185" s="127">
        <v>4332.1555555555542</v>
      </c>
      <c r="AD185" s="127">
        <v>4154.7399629094825</v>
      </c>
      <c r="AE185" s="127">
        <v>4269.864526285387</v>
      </c>
      <c r="AF185" s="127">
        <v>4336.4153579789618</v>
      </c>
      <c r="AG185" s="127">
        <v>3296</v>
      </c>
      <c r="AH185" s="127">
        <v>3309.5741310436633</v>
      </c>
      <c r="AI185" s="127">
        <v>3322.8124275678379</v>
      </c>
      <c r="AJ185" s="127">
        <v>3336.1036772781094</v>
      </c>
      <c r="AK185" s="127">
        <v>3349.4480919872217</v>
      </c>
      <c r="AL185" s="127">
        <v>3362.8458843551707</v>
      </c>
      <c r="AM185" s="127">
        <v>3376.2972678925912</v>
      </c>
      <c r="AN185" s="127">
        <v>3389.8024569641616</v>
      </c>
      <c r="AO185" s="127">
        <v>3403.3616667920182</v>
      </c>
      <c r="AP185" s="127">
        <v>3416.9751134591861</v>
      </c>
      <c r="AQ185" s="127">
        <v>3430.643013913023</v>
      </c>
      <c r="AR185" s="127">
        <v>3444.3655859686751</v>
      </c>
      <c r="AS185" s="127">
        <v>3458.1430483125496</v>
      </c>
      <c r="AT185" s="127">
        <v>3471.9756205057997</v>
      </c>
      <c r="AU185" s="127">
        <v>3485.8635229878228</v>
      </c>
      <c r="AV185" s="127">
        <v>3499.8069770797742</v>
      </c>
      <c r="AW185" s="127">
        <v>3513.8062049880932</v>
      </c>
      <c r="AX185" s="127">
        <v>3527.8614298080456</v>
      </c>
      <c r="AY185" s="127">
        <v>3541.9728755272777</v>
      </c>
      <c r="AZ185" s="127">
        <v>3556.140767029387</v>
      </c>
      <c r="BA185" s="127">
        <v>3570.3653300975047</v>
      </c>
      <c r="BB185" s="127">
        <v>3584.6467914178947</v>
      </c>
      <c r="BC185" s="127">
        <f t="shared" si="74"/>
        <v>3598.9853785835662</v>
      </c>
      <c r="BD185" s="127">
        <f t="shared" si="74"/>
        <v>3613.3813200979007</v>
      </c>
      <c r="BE185" s="127">
        <f t="shared" si="74"/>
        <v>3627.8348453782924</v>
      </c>
      <c r="BF185" s="127">
        <f t="shared" si="74"/>
        <v>3642.3461847598055</v>
      </c>
      <c r="BG185" s="127">
        <f t="shared" si="74"/>
        <v>3656.9155694988449</v>
      </c>
    </row>
    <row r="186" spans="1:59" ht="13.75" customHeight="1">
      <c r="A186" s="171" t="s">
        <v>166</v>
      </c>
      <c r="B186" s="165" t="s">
        <v>245</v>
      </c>
      <c r="C186" s="165"/>
      <c r="D186" s="165" t="s">
        <v>168</v>
      </c>
      <c r="E186" s="167"/>
      <c r="F186" s="168" t="s">
        <v>305</v>
      </c>
      <c r="G186" s="168" t="s">
        <v>297</v>
      </c>
      <c r="H186" s="168"/>
      <c r="I186" s="168" t="s">
        <v>298</v>
      </c>
      <c r="V186" s="112"/>
      <c r="W186" s="127">
        <v>191554.58000000002</v>
      </c>
      <c r="X186" s="127">
        <v>299093.51999999996</v>
      </c>
      <c r="Y186" s="127">
        <v>322242.3</v>
      </c>
      <c r="Z186" s="127">
        <v>272777.20581538475</v>
      </c>
      <c r="AA186" s="127">
        <v>306011.03201052651</v>
      </c>
      <c r="AB186" s="127">
        <v>296298.73582881945</v>
      </c>
      <c r="AC186" s="127">
        <v>312883.82082590269</v>
      </c>
      <c r="AD186" s="127">
        <v>306229.48506420822</v>
      </c>
      <c r="AE186" s="127">
        <v>292727.20492481248</v>
      </c>
      <c r="AF186" s="127">
        <v>367292.60251634225</v>
      </c>
      <c r="AG186" s="127">
        <v>331907.20000000001</v>
      </c>
      <c r="AH186" s="127">
        <v>310272.57478534349</v>
      </c>
      <c r="AI186" s="127">
        <v>309187.6963851871</v>
      </c>
      <c r="AJ186" s="127">
        <v>319737.18058584974</v>
      </c>
      <c r="AK186" s="127">
        <v>330646.61318743892</v>
      </c>
      <c r="AL186" s="127">
        <v>341928.2756293944</v>
      </c>
      <c r="AM186" s="127">
        <v>353594.86839386931</v>
      </c>
      <c r="AN186" s="127">
        <v>365659.52530346817</v>
      </c>
      <c r="AO186" s="127">
        <v>378135.82830682251</v>
      </c>
      <c r="AP186" s="127">
        <v>391037.82276865124</v>
      </c>
      <c r="AQ186" s="127">
        <v>404380.03328151768</v>
      </c>
      <c r="AR186" s="127">
        <v>418177.48001708306</v>
      </c>
      <c r="AS186" s="127">
        <v>432445.6956352659</v>
      </c>
      <c r="AT186" s="127">
        <v>447200.74277034122</v>
      </c>
      <c r="AU186" s="127">
        <v>462459.23211366532</v>
      </c>
      <c r="AV186" s="127">
        <v>478238.34111338359</v>
      </c>
      <c r="AW186" s="127">
        <v>494555.83331217221</v>
      </c>
      <c r="AX186" s="127">
        <v>511430.07834478357</v>
      </c>
      <c r="AY186" s="127">
        <v>528880.07261790754</v>
      </c>
      <c r="AZ186" s="127">
        <v>546925.46069563064</v>
      </c>
      <c r="BA186" s="127">
        <v>565586.55741456558</v>
      </c>
      <c r="BB186" s="127">
        <v>584884.37075355055</v>
      </c>
      <c r="BC186" s="127">
        <f t="shared" si="74"/>
        <v>604840.62548366166</v>
      </c>
      <c r="BD186" s="127">
        <f t="shared" si="74"/>
        <v>625477.78762516414</v>
      </c>
      <c r="BE186" s="127">
        <f t="shared" si="74"/>
        <v>646819.08973893465</v>
      </c>
      <c r="BF186" s="127">
        <f t="shared" si="74"/>
        <v>668888.55708082707</v>
      </c>
      <c r="BG186" s="127">
        <f t="shared" si="74"/>
        <v>691711.03464842483</v>
      </c>
    </row>
    <row r="187" spans="1:59" ht="13.75" customHeight="1" outlineLevel="1">
      <c r="A187" s="171" t="s">
        <v>166</v>
      </c>
      <c r="B187" s="165" t="s">
        <v>245</v>
      </c>
      <c r="C187" s="165"/>
      <c r="D187" s="165" t="s">
        <v>168</v>
      </c>
      <c r="E187" s="167"/>
      <c r="F187" s="168" t="s">
        <v>306</v>
      </c>
      <c r="G187" s="168" t="s">
        <v>247</v>
      </c>
      <c r="H187" s="168"/>
      <c r="I187" s="168"/>
      <c r="W187" s="125">
        <v>7.3541283333333327</v>
      </c>
      <c r="X187" s="125">
        <v>8.9003099999999993</v>
      </c>
      <c r="Y187" s="125">
        <v>9.4220333333333333</v>
      </c>
      <c r="Z187" s="125">
        <v>7.9033519174999984</v>
      </c>
      <c r="AA187" s="125">
        <v>8.6852742024999987</v>
      </c>
      <c r="AB187" s="125">
        <v>11.228012878787878</v>
      </c>
      <c r="AC187" s="125">
        <v>13.020615151515152</v>
      </c>
      <c r="AD187" s="125">
        <v>14.348793181818181</v>
      </c>
      <c r="AE187" s="125">
        <v>13.737011113636363</v>
      </c>
      <c r="AF187" s="125">
        <v>10.438509863825693</v>
      </c>
      <c r="AG187" s="125">
        <v>11.283376429901804</v>
      </c>
      <c r="AH187" s="125">
        <v>11.611586086432686</v>
      </c>
      <c r="AI187" s="125">
        <v>11.524886243653979</v>
      </c>
      <c r="AJ187" s="125">
        <v>11.870632830963599</v>
      </c>
      <c r="AK187" s="125">
        <v>12.226751815892507</v>
      </c>
      <c r="AL187" s="125">
        <v>12.593554370369283</v>
      </c>
      <c r="AM187" s="125">
        <v>12.971361001480362</v>
      </c>
      <c r="AN187" s="125">
        <v>13.360501831524774</v>
      </c>
      <c r="AO187" s="125">
        <v>13.761316886470517</v>
      </c>
      <c r="AP187" s="125">
        <v>14.174156393064633</v>
      </c>
      <c r="AQ187" s="125">
        <v>14.599381084856573</v>
      </c>
      <c r="AR187" s="125">
        <v>15.03736251740227</v>
      </c>
      <c r="AS187" s="125">
        <v>15.488483392924339</v>
      </c>
      <c r="AT187" s="125">
        <v>15.95313789471207</v>
      </c>
      <c r="AU187" s="125">
        <v>16.431732031553434</v>
      </c>
      <c r="AV187" s="125">
        <v>16.924683992500036</v>
      </c>
      <c r="AW187" s="125">
        <v>17.432424512275038</v>
      </c>
      <c r="AX187" s="125">
        <v>17.95539724764329</v>
      </c>
      <c r="AY187" s="125">
        <v>18.494059165072589</v>
      </c>
      <c r="AZ187" s="125">
        <v>19.048880940024766</v>
      </c>
      <c r="BA187" s="125">
        <v>19.620347368225509</v>
      </c>
      <c r="BB187" s="125">
        <v>20.208957789272276</v>
      </c>
      <c r="BC187" s="125">
        <f t="shared" si="74"/>
        <v>20.815226522950443</v>
      </c>
      <c r="BD187" s="125">
        <f t="shared" si="74"/>
        <v>21.439683318638956</v>
      </c>
      <c r="BE187" s="125">
        <f t="shared" si="74"/>
        <v>22.082873818198124</v>
      </c>
      <c r="BF187" s="125">
        <f t="shared" si="74"/>
        <v>22.745360032744067</v>
      </c>
      <c r="BG187" s="125">
        <f t="shared" si="74"/>
        <v>23.42772083372639</v>
      </c>
    </row>
    <row r="188" spans="1:59" ht="13.75" customHeight="1" outlineLevel="1">
      <c r="A188" s="171" t="s">
        <v>166</v>
      </c>
      <c r="B188" s="165" t="s">
        <v>245</v>
      </c>
      <c r="C188" s="165"/>
      <c r="D188" s="165" t="s">
        <v>168</v>
      </c>
      <c r="E188" s="167"/>
      <c r="F188" s="168" t="s">
        <v>307</v>
      </c>
      <c r="G188" s="168" t="s">
        <v>247</v>
      </c>
      <c r="H188" s="168"/>
      <c r="I188" s="168"/>
      <c r="W188" s="125">
        <v>52.876262626262623</v>
      </c>
      <c r="X188" s="125">
        <v>72.011363636363626</v>
      </c>
      <c r="Y188" s="125">
        <v>68.712121212121204</v>
      </c>
      <c r="Z188" s="125">
        <v>59.318181818181813</v>
      </c>
      <c r="AA188" s="125">
        <v>70.454545454545453</v>
      </c>
      <c r="AB188" s="125">
        <v>98.333333333333329</v>
      </c>
      <c r="AC188" s="125">
        <v>79.25</v>
      </c>
      <c r="AD188" s="125">
        <v>67.272727272727266</v>
      </c>
      <c r="AE188" s="125">
        <v>83.443181818181813</v>
      </c>
      <c r="AF188" s="125">
        <v>91.81283333333333</v>
      </c>
      <c r="AG188" s="125">
        <v>85.785791666666654</v>
      </c>
      <c r="AH188" s="125">
        <v>82.718209514941051</v>
      </c>
      <c r="AI188" s="125">
        <v>83.868588198307194</v>
      </c>
      <c r="AJ188" s="125">
        <v>87.599063001367895</v>
      </c>
      <c r="AK188" s="125">
        <v>91.495469323668743</v>
      </c>
      <c r="AL188" s="125">
        <v>95.565187799185537</v>
      </c>
      <c r="AM188" s="125">
        <v>99.815927352493304</v>
      </c>
      <c r="AN188" s="125">
        <v>104.25573980113221</v>
      </c>
      <c r="AO188" s="125">
        <v>108.89303510748658</v>
      </c>
      <c r="AP188" s="125">
        <v>113.73659730906761</v>
      </c>
      <c r="AQ188" s="125">
        <v>118.79560115737493</v>
      </c>
      <c r="AR188" s="125">
        <v>124.07962949685498</v>
      </c>
      <c r="AS188" s="125">
        <v>129.59869141687508</v>
      </c>
      <c r="AT188" s="125">
        <v>135.36324121109769</v>
      </c>
      <c r="AU188" s="125">
        <v>141.38419818016732</v>
      </c>
      <c r="AV188" s="125">
        <v>147.67296731522114</v>
      </c>
      <c r="AW188" s="125">
        <v>154.24146090140218</v>
      </c>
      <c r="AX188" s="125">
        <v>161.10212108229655</v>
      </c>
      <c r="AY188" s="125">
        <v>168.26794342803711</v>
      </c>
      <c r="AZ188" s="125">
        <v>175.75250155171622</v>
      </c>
      <c r="BA188" s="125">
        <v>183.56997282073655</v>
      </c>
      <c r="BB188" s="125">
        <v>191.73516521180289</v>
      </c>
      <c r="BC188" s="125">
        <f t="shared" si="74"/>
        <v>200.26354536042385</v>
      </c>
      <c r="BD188" s="125">
        <f t="shared" si="74"/>
        <v>209.17126785805547</v>
      </c>
      <c r="BE188" s="125">
        <f t="shared" si="74"/>
        <v>218.47520585238175</v>
      </c>
      <c r="BF188" s="125">
        <f t="shared" si="74"/>
        <v>228.19298300869565</v>
      </c>
      <c r="BG188" s="125">
        <f t="shared" si="74"/>
        <v>238.3430068929224</v>
      </c>
    </row>
    <row r="189" spans="1:59" ht="13.75" customHeight="1" outlineLevel="1">
      <c r="A189" s="171" t="s">
        <v>166</v>
      </c>
      <c r="B189" s="165" t="s">
        <v>245</v>
      </c>
      <c r="C189" s="165"/>
      <c r="D189" s="165" t="s">
        <v>168</v>
      </c>
      <c r="E189" s="167"/>
      <c r="F189" s="168" t="s">
        <v>308</v>
      </c>
      <c r="G189" s="168" t="s">
        <v>4</v>
      </c>
      <c r="H189" s="168"/>
      <c r="I189" s="168"/>
      <c r="W189" s="127">
        <v>1492.0833333333333</v>
      </c>
      <c r="X189" s="127">
        <v>1342.5</v>
      </c>
      <c r="Y189" s="127">
        <v>1165</v>
      </c>
      <c r="Z189" s="127">
        <v>1061.6666666666667</v>
      </c>
      <c r="AA189" s="127">
        <v>1300</v>
      </c>
      <c r="AB189" s="127">
        <v>1584.5833333333333</v>
      </c>
      <c r="AC189" s="127">
        <v>1267.9166666666665</v>
      </c>
      <c r="AD189" s="127">
        <v>1314.5833333333333</v>
      </c>
      <c r="AE189" s="127">
        <v>1508.3333333333333</v>
      </c>
      <c r="AF189" s="127">
        <v>1277.0833333333333</v>
      </c>
      <c r="AG189" s="127">
        <v>1000</v>
      </c>
      <c r="AH189" s="127">
        <v>1020.5918250055572</v>
      </c>
      <c r="AI189" s="127">
        <v>1041.0036615056683</v>
      </c>
      <c r="AJ189" s="127">
        <v>1061.8237347357817</v>
      </c>
      <c r="AK189" s="127">
        <v>1083.0602094304975</v>
      </c>
      <c r="AL189" s="127">
        <v>1104.7214136191074</v>
      </c>
      <c r="AM189" s="127">
        <v>1126.8158418914895</v>
      </c>
      <c r="AN189" s="127">
        <v>1149.3521587293194</v>
      </c>
      <c r="AO189" s="127">
        <v>1172.3392019039059</v>
      </c>
      <c r="AP189" s="127">
        <v>1195.7859859419841</v>
      </c>
      <c r="AQ189" s="127">
        <v>1219.7017056608238</v>
      </c>
      <c r="AR189" s="127">
        <v>1244.0957397740403</v>
      </c>
      <c r="AS189" s="127">
        <v>1268.9776545695211</v>
      </c>
      <c r="AT189" s="127">
        <v>1294.3572076609114</v>
      </c>
      <c r="AU189" s="127">
        <v>1320.2443518141297</v>
      </c>
      <c r="AV189" s="127">
        <v>1346.6492388504123</v>
      </c>
      <c r="AW189" s="127">
        <v>1373.5822236274205</v>
      </c>
      <c r="AX189" s="127">
        <v>1401.0538680999689</v>
      </c>
      <c r="AY189" s="127">
        <v>1429.0749454619684</v>
      </c>
      <c r="AZ189" s="127">
        <v>1457.6564443712077</v>
      </c>
      <c r="BA189" s="127">
        <v>1486.8095732586319</v>
      </c>
      <c r="BB189" s="127">
        <v>1516.5457647238045</v>
      </c>
      <c r="BC189" s="127">
        <f t="shared" si="74"/>
        <v>1546.8766800182807</v>
      </c>
      <c r="BD189" s="127">
        <f t="shared" si="74"/>
        <v>1577.8142136186464</v>
      </c>
      <c r="BE189" s="127">
        <f t="shared" si="74"/>
        <v>1609.3704978910193</v>
      </c>
      <c r="BF189" s="127">
        <f t="shared" si="74"/>
        <v>1641.5579078488397</v>
      </c>
      <c r="BG189" s="127">
        <f t="shared" si="74"/>
        <v>1674.3890660058166</v>
      </c>
    </row>
    <row r="190" spans="1:59" ht="13.75" customHeight="1" outlineLevel="1">
      <c r="A190" s="171" t="s">
        <v>166</v>
      </c>
      <c r="B190" s="165" t="s">
        <v>245</v>
      </c>
      <c r="C190" s="165"/>
      <c r="D190" s="165" t="s">
        <v>168</v>
      </c>
      <c r="E190" s="167"/>
      <c r="F190" s="168" t="s">
        <v>309</v>
      </c>
      <c r="G190" s="168" t="s">
        <v>247</v>
      </c>
      <c r="H190" s="168"/>
      <c r="I190" s="168"/>
      <c r="W190" s="125">
        <v>28.143939393939391</v>
      </c>
      <c r="X190" s="125">
        <v>60.275252525252519</v>
      </c>
      <c r="Y190" s="125">
        <v>61.36363636363636</v>
      </c>
      <c r="Z190" s="125">
        <v>46.13636363636364</v>
      </c>
      <c r="AA190" s="125">
        <v>39.318181818181813</v>
      </c>
      <c r="AB190" s="125">
        <v>53.939393939393938</v>
      </c>
      <c r="AC190" s="125">
        <v>50.830303030303028</v>
      </c>
      <c r="AD190" s="125">
        <v>61.666666666666671</v>
      </c>
      <c r="AE190" s="125">
        <v>70.291666666666657</v>
      </c>
      <c r="AF190" s="125">
        <v>59.582575757575754</v>
      </c>
      <c r="AG190" s="125">
        <v>58.536694427365752</v>
      </c>
      <c r="AH190" s="125">
        <v>55.618860286200828</v>
      </c>
      <c r="AI190" s="125">
        <v>56.307644251985096</v>
      </c>
      <c r="AJ190" s="125">
        <v>59.156811051135541</v>
      </c>
      <c r="AK190" s="125">
        <v>62.150145690323008</v>
      </c>
      <c r="AL190" s="125">
        <v>65.294943062253353</v>
      </c>
      <c r="AM190" s="125">
        <v>68.598867181203374</v>
      </c>
      <c r="AN190" s="125">
        <v>72.069969860572272</v>
      </c>
      <c r="AO190" s="125">
        <v>75.71671033551722</v>
      </c>
      <c r="AP190" s="125">
        <v>79.547975878494398</v>
      </c>
      <c r="AQ190" s="125">
        <v>83.573103457946218</v>
      </c>
      <c r="AR190" s="125">
        <v>87.801902492918288</v>
      </c>
      <c r="AS190" s="125">
        <v>92.244678759059951</v>
      </c>
      <c r="AT190" s="125">
        <v>96.912259504268391</v>
      </c>
      <c r="AU190" s="125">
        <v>101.81601983518438</v>
      </c>
      <c r="AV190" s="125">
        <v>106.96791043884471</v>
      </c>
      <c r="AW190" s="125">
        <v>112.38048670705027</v>
      </c>
      <c r="AX190" s="125">
        <v>118.06693933442702</v>
      </c>
      <c r="AY190" s="125">
        <v>124.04112646474904</v>
      </c>
      <c r="AZ190" s="125">
        <v>130.31760746386536</v>
      </c>
      <c r="BA190" s="125">
        <v>136.91167840153696</v>
      </c>
      <c r="BB190" s="125">
        <v>143.83940932865474</v>
      </c>
      <c r="BC190" s="125">
        <f t="shared" si="74"/>
        <v>151.11768344068466</v>
      </c>
      <c r="BD190" s="125">
        <f t="shared" si="74"/>
        <v>158.76423822278329</v>
      </c>
      <c r="BE190" s="125">
        <f t="shared" si="74"/>
        <v>166.79770867685613</v>
      </c>
      <c r="BF190" s="125">
        <f t="shared" si="74"/>
        <v>175.23767273590505</v>
      </c>
      <c r="BG190" s="125">
        <f t="shared" si="74"/>
        <v>184.10469897634184</v>
      </c>
    </row>
    <row r="191" spans="1:59" ht="13.75" customHeight="1" outlineLevel="1">
      <c r="A191" s="171" t="s">
        <v>166</v>
      </c>
      <c r="B191" s="165" t="s">
        <v>245</v>
      </c>
      <c r="C191" s="165"/>
      <c r="D191" s="165" t="s">
        <v>168</v>
      </c>
      <c r="E191" s="167"/>
      <c r="F191" s="168" t="s">
        <v>310</v>
      </c>
      <c r="G191" s="168" t="s">
        <v>247</v>
      </c>
      <c r="H191" s="168"/>
      <c r="I191" s="168"/>
      <c r="W191" s="125">
        <v>72.48</v>
      </c>
      <c r="X191" s="125">
        <v>79.290000000000006</v>
      </c>
      <c r="Y191" s="125">
        <v>79.849999999999994</v>
      </c>
      <c r="Z191" s="125">
        <v>81.2589775</v>
      </c>
      <c r="AA191" s="125">
        <v>74.271000000000001</v>
      </c>
      <c r="AB191" s="125">
        <v>80.172308333333348</v>
      </c>
      <c r="AC191" s="125">
        <v>73.506501666666651</v>
      </c>
      <c r="AD191" s="125">
        <v>83.566870833333326</v>
      </c>
      <c r="AE191" s="125">
        <v>89.763695000000013</v>
      </c>
      <c r="AF191" s="125">
        <v>103.08108686680769</v>
      </c>
      <c r="AG191" s="125">
        <v>96.47219808495322</v>
      </c>
      <c r="AH191" s="125">
        <v>103.95</v>
      </c>
      <c r="AI191" s="125">
        <v>107.7</v>
      </c>
      <c r="AJ191" s="125">
        <v>111.59</v>
      </c>
      <c r="AK191" s="125">
        <v>115.61</v>
      </c>
      <c r="AL191" s="125">
        <v>119.78</v>
      </c>
      <c r="AM191" s="125">
        <v>124.1</v>
      </c>
      <c r="AN191" s="125">
        <v>127.82299999999999</v>
      </c>
      <c r="AO191" s="125">
        <v>132.42462799999998</v>
      </c>
      <c r="AP191" s="125">
        <v>137.19191460799999</v>
      </c>
      <c r="AQ191" s="125">
        <v>142.13082353388799</v>
      </c>
      <c r="AR191" s="125">
        <v>147.24753318110797</v>
      </c>
      <c r="AS191" s="125">
        <v>152.54844437562787</v>
      </c>
      <c r="AT191" s="125">
        <v>158.04018837315047</v>
      </c>
      <c r="AU191" s="125">
        <v>163.72963515458389</v>
      </c>
      <c r="AV191" s="125">
        <v>169.6239020201489</v>
      </c>
      <c r="AW191" s="125">
        <v>175.73036249287426</v>
      </c>
      <c r="AX191" s="125">
        <v>182.05665554261773</v>
      </c>
      <c r="AY191" s="125">
        <v>188.61069514215197</v>
      </c>
      <c r="AZ191" s="125">
        <v>195.40068016726946</v>
      </c>
      <c r="BA191" s="125">
        <v>202.43510465329118</v>
      </c>
      <c r="BB191" s="125">
        <v>209.72276842080967</v>
      </c>
      <c r="BC191" s="125">
        <f t="shared" si="74"/>
        <v>217.27278808395883</v>
      </c>
      <c r="BD191" s="125">
        <f t="shared" si="74"/>
        <v>225.09460845498134</v>
      </c>
      <c r="BE191" s="125">
        <f t="shared" si="74"/>
        <v>233.19801435936068</v>
      </c>
      <c r="BF191" s="125">
        <f t="shared" si="74"/>
        <v>241.59314287629766</v>
      </c>
      <c r="BG191" s="125">
        <f t="shared" si="74"/>
        <v>250.2904960198444</v>
      </c>
    </row>
    <row r="192" spans="1:59" ht="13.75" customHeight="1" outlineLevel="1">
      <c r="A192" s="171" t="s">
        <v>166</v>
      </c>
      <c r="B192" s="165" t="s">
        <v>245</v>
      </c>
      <c r="C192" s="165"/>
      <c r="D192" s="165" t="s">
        <v>168</v>
      </c>
      <c r="E192" s="167"/>
      <c r="F192" s="168" t="s">
        <v>311</v>
      </c>
      <c r="G192" s="168" t="s">
        <v>247</v>
      </c>
      <c r="H192" s="168"/>
      <c r="I192" s="168"/>
      <c r="W192" s="125">
        <v>71.28</v>
      </c>
      <c r="X192" s="125">
        <v>90.86</v>
      </c>
      <c r="Y192" s="125">
        <v>91.29</v>
      </c>
      <c r="Z192" s="125">
        <v>93.726542499999994</v>
      </c>
      <c r="AA192" s="125">
        <v>87.795000000000002</v>
      </c>
      <c r="AB192" s="125">
        <v>97.130935000000008</v>
      </c>
      <c r="AC192" s="125">
        <v>95.016915833333343</v>
      </c>
      <c r="AD192" s="125">
        <v>104.60346416666667</v>
      </c>
      <c r="AE192" s="125">
        <v>111.02915416666666</v>
      </c>
      <c r="AF192" s="125">
        <v>126.35298245024354</v>
      </c>
      <c r="AG192" s="125">
        <v>121.93579385197023</v>
      </c>
      <c r="AH192" s="125">
        <v>126.56</v>
      </c>
      <c r="AI192" s="125">
        <v>131.06</v>
      </c>
      <c r="AJ192" s="125">
        <v>135.72</v>
      </c>
      <c r="AK192" s="125">
        <v>140.55000000000001</v>
      </c>
      <c r="AL192" s="125">
        <v>145.55000000000001</v>
      </c>
      <c r="AM192" s="125">
        <v>150.72999999999999</v>
      </c>
      <c r="AN192" s="125">
        <v>156.15627999999998</v>
      </c>
      <c r="AO192" s="125">
        <v>161.77790607999998</v>
      </c>
      <c r="AP192" s="125">
        <v>167.60191069887998</v>
      </c>
      <c r="AQ192" s="125">
        <v>173.63557948403965</v>
      </c>
      <c r="AR192" s="125">
        <v>179.88646034546508</v>
      </c>
      <c r="AS192" s="125">
        <v>186.36237291790184</v>
      </c>
      <c r="AT192" s="125">
        <v>193.07141834294632</v>
      </c>
      <c r="AU192" s="125">
        <v>200.02198940329239</v>
      </c>
      <c r="AV192" s="125">
        <v>207.22278102181093</v>
      </c>
      <c r="AW192" s="125">
        <v>214.68280113859612</v>
      </c>
      <c r="AX192" s="125">
        <v>222.4113819795856</v>
      </c>
      <c r="AY192" s="125">
        <v>230.41819173085068</v>
      </c>
      <c r="AZ192" s="125">
        <v>238.7132466331613</v>
      </c>
      <c r="BA192" s="125">
        <v>247.30692351195512</v>
      </c>
      <c r="BB192" s="125">
        <v>256.2099727583855</v>
      </c>
      <c r="BC192" s="125">
        <f t="shared" si="74"/>
        <v>265.43353177768739</v>
      </c>
      <c r="BD192" s="125">
        <f t="shared" si="74"/>
        <v>274.98913892168417</v>
      </c>
      <c r="BE192" s="125">
        <f t="shared" si="74"/>
        <v>284.88874792286481</v>
      </c>
      <c r="BF192" s="125">
        <f t="shared" si="74"/>
        <v>295.14474284808796</v>
      </c>
      <c r="BG192" s="125">
        <f t="shared" si="74"/>
        <v>305.76995359061914</v>
      </c>
    </row>
    <row r="193" spans="1:59" ht="13.75" customHeight="1" outlineLevel="1">
      <c r="A193" s="171" t="s">
        <v>166</v>
      </c>
      <c r="B193" s="165" t="s">
        <v>245</v>
      </c>
      <c r="C193" s="165"/>
      <c r="D193" s="165" t="s">
        <v>168</v>
      </c>
      <c r="E193" s="167"/>
      <c r="F193" s="168" t="s">
        <v>312</v>
      </c>
      <c r="G193" s="168" t="s">
        <v>247</v>
      </c>
      <c r="H193" s="168"/>
      <c r="I193" s="168"/>
      <c r="W193" s="125">
        <v>202.57417249999995</v>
      </c>
      <c r="X193" s="125">
        <v>206.62042583333331</v>
      </c>
      <c r="Y193" s="125">
        <v>213.99965</v>
      </c>
      <c r="Z193" s="125">
        <v>187.41547166666669</v>
      </c>
      <c r="AA193" s="125">
        <v>208.136</v>
      </c>
      <c r="AB193" s="125">
        <v>219.69926250000003</v>
      </c>
      <c r="AC193" s="125">
        <v>218.74244916666669</v>
      </c>
      <c r="AD193" s="125">
        <v>232.925085</v>
      </c>
      <c r="AE193" s="125">
        <v>264.34417083333335</v>
      </c>
      <c r="AF193" s="125">
        <v>270.42789845246108</v>
      </c>
      <c r="AG193" s="125">
        <v>247.66560799832328</v>
      </c>
      <c r="AH193" s="125">
        <v>264.1982625765292</v>
      </c>
      <c r="AI193" s="125">
        <v>271.03664163892887</v>
      </c>
      <c r="AJ193" s="125">
        <v>278.62566760481889</v>
      </c>
      <c r="AK193" s="125">
        <v>286.42718629775385</v>
      </c>
      <c r="AL193" s="125">
        <v>294.44714751409094</v>
      </c>
      <c r="AM193" s="125">
        <v>302.69166764448551</v>
      </c>
      <c r="AN193" s="125">
        <v>311.1670343385311</v>
      </c>
      <c r="AO193" s="125">
        <v>319.87971130001</v>
      </c>
      <c r="AP193" s="125">
        <v>328.83634321641028</v>
      </c>
      <c r="AQ193" s="125">
        <v>338.04376082646979</v>
      </c>
      <c r="AR193" s="125">
        <v>347.50898612961095</v>
      </c>
      <c r="AS193" s="125">
        <v>357.23923774124006</v>
      </c>
      <c r="AT193" s="125">
        <v>367.24193639799478</v>
      </c>
      <c r="AU193" s="125">
        <v>377.52471061713862</v>
      </c>
      <c r="AV193" s="125">
        <v>388.09540251441854</v>
      </c>
      <c r="AW193" s="125">
        <v>398.96207378482228</v>
      </c>
      <c r="AX193" s="125">
        <v>410.13301185079729</v>
      </c>
      <c r="AY193" s="125">
        <v>421.6167361826196</v>
      </c>
      <c r="AZ193" s="125">
        <v>433.42200479573296</v>
      </c>
      <c r="BA193" s="125">
        <v>445.55782093001352</v>
      </c>
      <c r="BB193" s="125">
        <v>458.03343991605391</v>
      </c>
      <c r="BC193" s="125">
        <f t="shared" si="74"/>
        <v>470.85837623370344</v>
      </c>
      <c r="BD193" s="125">
        <f t="shared" si="74"/>
        <v>484.04241076824712</v>
      </c>
      <c r="BE193" s="125">
        <f t="shared" si="74"/>
        <v>497.59559826975806</v>
      </c>
      <c r="BF193" s="125">
        <f t="shared" si="74"/>
        <v>511.52827502131129</v>
      </c>
      <c r="BG193" s="125">
        <f t="shared" si="74"/>
        <v>525.85106672190807</v>
      </c>
    </row>
    <row r="194" spans="1:59" ht="13.75" customHeight="1">
      <c r="A194" s="171" t="s">
        <v>166</v>
      </c>
      <c r="B194" s="165" t="s">
        <v>313</v>
      </c>
      <c r="C194" s="165"/>
      <c r="D194" s="165" t="s">
        <v>98</v>
      </c>
      <c r="E194" s="167"/>
      <c r="F194" s="168" t="s">
        <v>314</v>
      </c>
      <c r="G194" s="168" t="s">
        <v>315</v>
      </c>
      <c r="H194" s="168"/>
      <c r="I194" s="168" t="s">
        <v>316</v>
      </c>
      <c r="J194" s="112"/>
      <c r="K194" s="112"/>
      <c r="L194" s="112"/>
      <c r="M194" s="112"/>
      <c r="N194" s="112"/>
      <c r="O194" s="112"/>
      <c r="P194" s="112"/>
      <c r="Q194" s="112"/>
      <c r="R194" s="112"/>
      <c r="S194" s="112">
        <v>79.73</v>
      </c>
      <c r="T194" s="112">
        <v>111.05</v>
      </c>
      <c r="U194" s="112">
        <v>111.94</v>
      </c>
      <c r="V194" s="112">
        <v>108.79</v>
      </c>
      <c r="W194" s="112">
        <v>98.88</v>
      </c>
      <c r="X194" s="112">
        <v>52.31</v>
      </c>
      <c r="Y194" s="112">
        <v>44.11</v>
      </c>
      <c r="Z194" s="112">
        <v>54.35</v>
      </c>
      <c r="AA194" s="112">
        <v>71.150000000000006</v>
      </c>
      <c r="AB194" s="112">
        <v>64.164900000000003</v>
      </c>
      <c r="AC194" s="112">
        <v>42.299401083819561</v>
      </c>
      <c r="AD194" s="112">
        <v>70.745833333333337</v>
      </c>
      <c r="AE194" s="112">
        <v>99.085135658914794</v>
      </c>
      <c r="AF194" s="112">
        <v>85.074139473397565</v>
      </c>
      <c r="AG194" s="112">
        <v>60.260961804399678</v>
      </c>
      <c r="AH194" s="145">
        <v>76.489248207718077</v>
      </c>
      <c r="AI194" s="112">
        <v>79.853201833016726</v>
      </c>
      <c r="AJ194" s="112">
        <v>79.853201833016726</v>
      </c>
      <c r="AK194" s="112">
        <v>79.853201833016726</v>
      </c>
      <c r="AL194" s="112">
        <v>79.853201833016726</v>
      </c>
      <c r="AM194" s="112">
        <v>79.853201833016726</v>
      </c>
      <c r="AN194" s="112">
        <v>79.853201833016726</v>
      </c>
      <c r="AO194" s="112">
        <v>79.853201833016726</v>
      </c>
      <c r="AP194" s="112">
        <v>79.853201833016726</v>
      </c>
      <c r="AQ194" s="112">
        <v>79.853201833016726</v>
      </c>
      <c r="AR194" s="112">
        <v>79.853201833016726</v>
      </c>
      <c r="AS194" s="112">
        <v>79.853201833016726</v>
      </c>
      <c r="AT194" s="112">
        <v>79.853201833016726</v>
      </c>
      <c r="AU194" s="112">
        <v>79.853201833016726</v>
      </c>
      <c r="AV194" s="112">
        <v>79.853201833016726</v>
      </c>
      <c r="AW194" s="112">
        <v>79.853201833016726</v>
      </c>
      <c r="AX194" s="112">
        <v>79.853201833016726</v>
      </c>
      <c r="AY194" s="112">
        <v>79.853201833016726</v>
      </c>
      <c r="AZ194" s="112">
        <v>79.853201833016726</v>
      </c>
      <c r="BA194" s="112">
        <v>79.853201833016726</v>
      </c>
      <c r="BB194" s="112">
        <v>79.853201833016726</v>
      </c>
      <c r="BC194" s="112">
        <f t="shared" si="74"/>
        <v>79.853201833016726</v>
      </c>
      <c r="BD194" s="112">
        <f t="shared" si="74"/>
        <v>79.853201833016726</v>
      </c>
      <c r="BE194" s="112">
        <f t="shared" si="74"/>
        <v>79.853201833016726</v>
      </c>
      <c r="BF194" s="112">
        <f t="shared" si="74"/>
        <v>79.853201833016726</v>
      </c>
      <c r="BG194" s="112">
        <f t="shared" si="74"/>
        <v>79.853201833016726</v>
      </c>
    </row>
    <row r="195" spans="1:59" ht="13.75" customHeight="1">
      <c r="A195" s="171" t="s">
        <v>166</v>
      </c>
      <c r="B195" s="165" t="s">
        <v>313</v>
      </c>
      <c r="C195" s="165"/>
      <c r="D195" s="165" t="s">
        <v>168</v>
      </c>
      <c r="E195" s="167"/>
      <c r="F195" s="168" t="s">
        <v>317</v>
      </c>
      <c r="G195" s="168" t="s">
        <v>318</v>
      </c>
      <c r="H195" s="168"/>
      <c r="I195" s="168" t="s">
        <v>319</v>
      </c>
      <c r="U195" s="112">
        <v>446</v>
      </c>
      <c r="V195" s="112">
        <v>470</v>
      </c>
      <c r="W195" s="112">
        <v>493</v>
      </c>
      <c r="X195" s="128">
        <v>766</v>
      </c>
      <c r="Y195" s="128">
        <v>857</v>
      </c>
      <c r="Z195" s="128">
        <v>919</v>
      </c>
      <c r="AA195" s="128">
        <v>919</v>
      </c>
      <c r="AB195" s="128">
        <v>919</v>
      </c>
      <c r="AC195" s="128">
        <v>919</v>
      </c>
      <c r="AD195" s="128">
        <v>919</v>
      </c>
      <c r="AE195" s="128">
        <v>919</v>
      </c>
      <c r="AF195" s="128">
        <v>919</v>
      </c>
      <c r="AG195" s="128">
        <f t="shared" ref="AG195:AX195" si="75">AF195</f>
        <v>919</v>
      </c>
      <c r="AH195" s="128">
        <f t="shared" si="75"/>
        <v>919</v>
      </c>
      <c r="AI195" s="128">
        <f t="shared" si="75"/>
        <v>919</v>
      </c>
      <c r="AJ195" s="128">
        <f t="shared" si="75"/>
        <v>919</v>
      </c>
      <c r="AK195" s="128">
        <f t="shared" si="75"/>
        <v>919</v>
      </c>
      <c r="AL195" s="128">
        <f t="shared" si="75"/>
        <v>919</v>
      </c>
      <c r="AM195" s="128">
        <f t="shared" si="75"/>
        <v>919</v>
      </c>
      <c r="AN195" s="128">
        <f t="shared" si="75"/>
        <v>919</v>
      </c>
      <c r="AO195" s="128">
        <f t="shared" si="75"/>
        <v>919</v>
      </c>
      <c r="AP195" s="128">
        <f t="shared" si="75"/>
        <v>919</v>
      </c>
      <c r="AQ195" s="128">
        <f t="shared" si="75"/>
        <v>919</v>
      </c>
      <c r="AR195" s="128">
        <f t="shared" si="75"/>
        <v>919</v>
      </c>
      <c r="AS195" s="128">
        <f t="shared" si="75"/>
        <v>919</v>
      </c>
      <c r="AT195" s="128">
        <f t="shared" si="75"/>
        <v>919</v>
      </c>
      <c r="AU195" s="128">
        <f t="shared" si="75"/>
        <v>919</v>
      </c>
      <c r="AV195" s="128">
        <f t="shared" si="75"/>
        <v>919</v>
      </c>
      <c r="AW195" s="128">
        <f t="shared" si="75"/>
        <v>919</v>
      </c>
      <c r="AX195" s="128">
        <f t="shared" si="75"/>
        <v>919</v>
      </c>
      <c r="AY195" s="128">
        <v>919</v>
      </c>
      <c r="AZ195" s="128">
        <f>AY195</f>
        <v>919</v>
      </c>
      <c r="BA195" s="128">
        <f t="shared" ref="BA195:BG195" si="76">AZ195</f>
        <v>919</v>
      </c>
      <c r="BB195" s="128">
        <f t="shared" si="76"/>
        <v>919</v>
      </c>
      <c r="BC195" s="128">
        <f t="shared" si="76"/>
        <v>919</v>
      </c>
      <c r="BD195" s="128">
        <f t="shared" si="76"/>
        <v>919</v>
      </c>
      <c r="BE195" s="128">
        <f t="shared" si="76"/>
        <v>919</v>
      </c>
      <c r="BF195" s="128">
        <f t="shared" si="76"/>
        <v>919</v>
      </c>
      <c r="BG195" s="128">
        <f t="shared" si="76"/>
        <v>919</v>
      </c>
    </row>
    <row r="196" spans="1:59" ht="13.75" customHeight="1">
      <c r="A196" s="171" t="s">
        <v>166</v>
      </c>
      <c r="B196" s="165" t="s">
        <v>313</v>
      </c>
      <c r="C196" s="165"/>
      <c r="D196" s="165" t="s">
        <v>168</v>
      </c>
      <c r="E196" s="167"/>
      <c r="F196" s="168" t="s">
        <v>320</v>
      </c>
      <c r="G196" s="168" t="s">
        <v>318</v>
      </c>
      <c r="H196" s="168"/>
      <c r="I196" s="168" t="s">
        <v>321</v>
      </c>
      <c r="U196" s="112">
        <v>7975</v>
      </c>
      <c r="V196" s="112">
        <v>10100</v>
      </c>
      <c r="W196" s="112">
        <v>11110</v>
      </c>
      <c r="X196" s="128">
        <v>7300</v>
      </c>
      <c r="Y196" s="128">
        <v>7530</v>
      </c>
      <c r="Z196" s="128">
        <v>13100</v>
      </c>
      <c r="AA196" s="128">
        <v>13100</v>
      </c>
      <c r="AB196" s="128">
        <v>13100</v>
      </c>
      <c r="AC196" s="128">
        <v>13100</v>
      </c>
      <c r="AD196" s="128">
        <v>13624</v>
      </c>
      <c r="AE196" s="128">
        <v>14169</v>
      </c>
      <c r="AF196" s="128">
        <v>14736</v>
      </c>
      <c r="AG196" s="128">
        <v>15458</v>
      </c>
      <c r="AH196" s="128">
        <v>16076</v>
      </c>
      <c r="AI196" s="128">
        <v>16719</v>
      </c>
      <c r="AJ196" s="129">
        <f t="shared" ref="AJ196:AY208" si="77">AI196*(1+AJ$3)</f>
        <v>17387.760000000002</v>
      </c>
      <c r="AK196" s="129">
        <f t="shared" si="77"/>
        <v>18083.270400000001</v>
      </c>
      <c r="AL196" s="129">
        <f t="shared" si="77"/>
        <v>18806.601216000003</v>
      </c>
      <c r="AM196" s="129">
        <f t="shared" si="77"/>
        <v>19558.865264640004</v>
      </c>
      <c r="AN196" s="129">
        <f t="shared" si="77"/>
        <v>20341.219875225604</v>
      </c>
      <c r="AO196" s="129">
        <f t="shared" si="77"/>
        <v>21154.868670234628</v>
      </c>
      <c r="AP196" s="129">
        <f t="shared" si="77"/>
        <v>22001.063417044013</v>
      </c>
      <c r="AQ196" s="129">
        <f t="shared" si="77"/>
        <v>22881.105953725775</v>
      </c>
      <c r="AR196" s="129">
        <f t="shared" si="77"/>
        <v>23796.350191874808</v>
      </c>
      <c r="AS196" s="129">
        <f t="shared" si="77"/>
        <v>24748.2041995498</v>
      </c>
      <c r="AT196" s="129">
        <f t="shared" si="77"/>
        <v>25738.132367531794</v>
      </c>
      <c r="AU196" s="129">
        <f t="shared" si="77"/>
        <v>26767.657662233069</v>
      </c>
      <c r="AV196" s="129">
        <f t="shared" si="77"/>
        <v>27838.363968722391</v>
      </c>
      <c r="AW196" s="129">
        <f t="shared" si="77"/>
        <v>28951.898527471287</v>
      </c>
      <c r="AX196" s="129">
        <f t="shared" si="77"/>
        <v>30109.974468570141</v>
      </c>
      <c r="AY196" s="129">
        <f t="shared" si="77"/>
        <v>31314.373447312948</v>
      </c>
      <c r="AZ196" s="129">
        <f t="shared" ref="AZ196:BG208" si="78">AY196*(1+AZ$3)</f>
        <v>32566.948385205465</v>
      </c>
      <c r="BA196" s="129">
        <f t="shared" si="78"/>
        <v>33869.626320613686</v>
      </c>
      <c r="BB196" s="129">
        <f t="shared" si="78"/>
        <v>35224.411373438234</v>
      </c>
      <c r="BC196" s="129">
        <f t="shared" si="78"/>
        <v>36633.387828375766</v>
      </c>
      <c r="BD196" s="129">
        <f t="shared" si="78"/>
        <v>38098.723341510798</v>
      </c>
      <c r="BE196" s="129">
        <f t="shared" si="78"/>
        <v>39622.67227517123</v>
      </c>
      <c r="BF196" s="129">
        <f t="shared" si="78"/>
        <v>41207.579166178082</v>
      </c>
      <c r="BG196" s="129">
        <f t="shared" si="78"/>
        <v>42855.882332825204</v>
      </c>
    </row>
    <row r="197" spans="1:59" ht="13.75" customHeight="1">
      <c r="A197" s="171" t="s">
        <v>166</v>
      </c>
      <c r="B197" s="165" t="s">
        <v>313</v>
      </c>
      <c r="C197" s="165"/>
      <c r="D197" s="165" t="s">
        <v>168</v>
      </c>
      <c r="E197" s="167"/>
      <c r="F197" s="168" t="s">
        <v>322</v>
      </c>
      <c r="G197" s="168" t="s">
        <v>318</v>
      </c>
      <c r="H197" s="168"/>
      <c r="I197" s="168" t="s">
        <v>321</v>
      </c>
      <c r="U197" s="112">
        <v>7632</v>
      </c>
      <c r="V197" s="112">
        <v>9750</v>
      </c>
      <c r="W197" s="112">
        <v>10725</v>
      </c>
      <c r="X197" s="128">
        <v>7300</v>
      </c>
      <c r="Y197" s="128">
        <v>7530</v>
      </c>
      <c r="Z197" s="128">
        <v>13100</v>
      </c>
      <c r="AA197" s="128">
        <v>13100</v>
      </c>
      <c r="AB197" s="128">
        <v>13100</v>
      </c>
      <c r="AC197" s="128">
        <v>13100</v>
      </c>
      <c r="AD197" s="128">
        <v>13624</v>
      </c>
      <c r="AE197" s="128">
        <v>14169</v>
      </c>
      <c r="AF197" s="128">
        <v>14736</v>
      </c>
      <c r="AG197" s="128">
        <f>AG196</f>
        <v>15458</v>
      </c>
      <c r="AH197" s="128">
        <f t="shared" ref="AH197:AI198" si="79">AH196</f>
        <v>16076</v>
      </c>
      <c r="AI197" s="128">
        <f t="shared" si="79"/>
        <v>16719</v>
      </c>
      <c r="AJ197" s="129">
        <f t="shared" si="77"/>
        <v>17387.760000000002</v>
      </c>
      <c r="AK197" s="129">
        <f t="shared" si="77"/>
        <v>18083.270400000001</v>
      </c>
      <c r="AL197" s="129">
        <f t="shared" si="77"/>
        <v>18806.601216000003</v>
      </c>
      <c r="AM197" s="129">
        <f t="shared" si="77"/>
        <v>19558.865264640004</v>
      </c>
      <c r="AN197" s="129">
        <f t="shared" si="77"/>
        <v>20341.219875225604</v>
      </c>
      <c r="AO197" s="129">
        <f t="shared" si="77"/>
        <v>21154.868670234628</v>
      </c>
      <c r="AP197" s="129">
        <f t="shared" si="77"/>
        <v>22001.063417044013</v>
      </c>
      <c r="AQ197" s="129">
        <f t="shared" si="77"/>
        <v>22881.105953725775</v>
      </c>
      <c r="AR197" s="129">
        <f t="shared" si="77"/>
        <v>23796.350191874808</v>
      </c>
      <c r="AS197" s="129">
        <f t="shared" si="77"/>
        <v>24748.2041995498</v>
      </c>
      <c r="AT197" s="129">
        <f t="shared" si="77"/>
        <v>25738.132367531794</v>
      </c>
      <c r="AU197" s="129">
        <f t="shared" si="77"/>
        <v>26767.657662233069</v>
      </c>
      <c r="AV197" s="129">
        <f t="shared" si="77"/>
        <v>27838.363968722391</v>
      </c>
      <c r="AW197" s="129">
        <f t="shared" si="77"/>
        <v>28951.898527471287</v>
      </c>
      <c r="AX197" s="129">
        <f t="shared" si="77"/>
        <v>30109.974468570141</v>
      </c>
      <c r="AY197" s="129">
        <f t="shared" si="77"/>
        <v>31314.373447312948</v>
      </c>
      <c r="AZ197" s="129">
        <f t="shared" si="78"/>
        <v>32566.948385205465</v>
      </c>
      <c r="BA197" s="129">
        <f t="shared" si="78"/>
        <v>33869.626320613686</v>
      </c>
      <c r="BB197" s="129">
        <f t="shared" si="78"/>
        <v>35224.411373438234</v>
      </c>
      <c r="BC197" s="129">
        <f t="shared" si="78"/>
        <v>36633.387828375766</v>
      </c>
      <c r="BD197" s="129">
        <f t="shared" si="78"/>
        <v>38098.723341510798</v>
      </c>
      <c r="BE197" s="129">
        <f t="shared" si="78"/>
        <v>39622.67227517123</v>
      </c>
      <c r="BF197" s="129">
        <f t="shared" si="78"/>
        <v>41207.579166178082</v>
      </c>
      <c r="BG197" s="129">
        <f t="shared" si="78"/>
        <v>42855.882332825204</v>
      </c>
    </row>
    <row r="198" spans="1:59" ht="13.75" customHeight="1">
      <c r="A198" s="171" t="s">
        <v>166</v>
      </c>
      <c r="B198" s="165" t="s">
        <v>313</v>
      </c>
      <c r="C198" s="165"/>
      <c r="D198" s="165" t="s">
        <v>168</v>
      </c>
      <c r="E198" s="167"/>
      <c r="F198" s="168" t="s">
        <v>323</v>
      </c>
      <c r="G198" s="168" t="s">
        <v>318</v>
      </c>
      <c r="H198" s="168"/>
      <c r="I198" s="168" t="s">
        <v>321</v>
      </c>
      <c r="U198" s="112">
        <v>6822</v>
      </c>
      <c r="V198" s="112">
        <v>8760</v>
      </c>
      <c r="W198" s="112">
        <v>9916</v>
      </c>
      <c r="X198" s="128">
        <v>7300</v>
      </c>
      <c r="Y198" s="128">
        <v>7530</v>
      </c>
      <c r="Z198" s="128">
        <v>13100</v>
      </c>
      <c r="AA198" s="128">
        <v>13100</v>
      </c>
      <c r="AB198" s="128">
        <v>13100</v>
      </c>
      <c r="AC198" s="128">
        <v>13100</v>
      </c>
      <c r="AD198" s="128">
        <v>13624</v>
      </c>
      <c r="AE198" s="128">
        <v>14169</v>
      </c>
      <c r="AF198" s="128">
        <v>14736</v>
      </c>
      <c r="AG198" s="128">
        <f>AG197</f>
        <v>15458</v>
      </c>
      <c r="AH198" s="128">
        <f t="shared" si="79"/>
        <v>16076</v>
      </c>
      <c r="AI198" s="128">
        <f t="shared" si="79"/>
        <v>16719</v>
      </c>
      <c r="AJ198" s="129">
        <f t="shared" si="77"/>
        <v>17387.760000000002</v>
      </c>
      <c r="AK198" s="129">
        <f t="shared" si="77"/>
        <v>18083.270400000001</v>
      </c>
      <c r="AL198" s="129">
        <f t="shared" si="77"/>
        <v>18806.601216000003</v>
      </c>
      <c r="AM198" s="129">
        <f t="shared" si="77"/>
        <v>19558.865264640004</v>
      </c>
      <c r="AN198" s="129">
        <f t="shared" si="77"/>
        <v>20341.219875225604</v>
      </c>
      <c r="AO198" s="129">
        <f t="shared" si="77"/>
        <v>21154.868670234628</v>
      </c>
      <c r="AP198" s="129">
        <f t="shared" si="77"/>
        <v>22001.063417044013</v>
      </c>
      <c r="AQ198" s="129">
        <f t="shared" si="77"/>
        <v>22881.105953725775</v>
      </c>
      <c r="AR198" s="129">
        <f t="shared" si="77"/>
        <v>23796.350191874808</v>
      </c>
      <c r="AS198" s="129">
        <f t="shared" si="77"/>
        <v>24748.2041995498</v>
      </c>
      <c r="AT198" s="129">
        <f t="shared" si="77"/>
        <v>25738.132367531794</v>
      </c>
      <c r="AU198" s="129">
        <f t="shared" si="77"/>
        <v>26767.657662233069</v>
      </c>
      <c r="AV198" s="129">
        <f t="shared" si="77"/>
        <v>27838.363968722391</v>
      </c>
      <c r="AW198" s="129">
        <f t="shared" si="77"/>
        <v>28951.898527471287</v>
      </c>
      <c r="AX198" s="129">
        <f t="shared" si="77"/>
        <v>30109.974468570141</v>
      </c>
      <c r="AY198" s="129">
        <f t="shared" si="77"/>
        <v>31314.373447312948</v>
      </c>
      <c r="AZ198" s="129">
        <f t="shared" si="78"/>
        <v>32566.948385205465</v>
      </c>
      <c r="BA198" s="129">
        <f t="shared" si="78"/>
        <v>33869.626320613686</v>
      </c>
      <c r="BB198" s="129">
        <f t="shared" si="78"/>
        <v>35224.411373438234</v>
      </c>
      <c r="BC198" s="129">
        <f t="shared" si="78"/>
        <v>36633.387828375766</v>
      </c>
      <c r="BD198" s="129">
        <f t="shared" si="78"/>
        <v>38098.723341510798</v>
      </c>
      <c r="BE198" s="129">
        <f t="shared" si="78"/>
        <v>39622.67227517123</v>
      </c>
      <c r="BF198" s="129">
        <f t="shared" si="78"/>
        <v>41207.579166178082</v>
      </c>
      <c r="BG198" s="129">
        <f t="shared" si="78"/>
        <v>42855.882332825204</v>
      </c>
    </row>
    <row r="199" spans="1:59" ht="13.75" customHeight="1">
      <c r="A199" s="171" t="s">
        <v>166</v>
      </c>
      <c r="B199" s="165" t="s">
        <v>313</v>
      </c>
      <c r="C199" s="165"/>
      <c r="D199" s="165" t="s">
        <v>168</v>
      </c>
      <c r="E199" s="167"/>
      <c r="F199" s="168" t="s">
        <v>324</v>
      </c>
      <c r="G199" s="168" t="s">
        <v>318</v>
      </c>
      <c r="H199" s="168"/>
      <c r="I199" s="168" t="s">
        <v>321</v>
      </c>
      <c r="U199" s="112">
        <v>5983</v>
      </c>
      <c r="V199" s="112">
        <v>5446</v>
      </c>
      <c r="W199" s="112">
        <v>6450</v>
      </c>
      <c r="X199" s="128">
        <v>5530</v>
      </c>
      <c r="Y199" s="128">
        <v>7530</v>
      </c>
      <c r="Z199" s="128">
        <v>10130</v>
      </c>
      <c r="AA199" s="128">
        <v>11552.5</v>
      </c>
      <c r="AB199" s="128">
        <v>12314</v>
      </c>
      <c r="AC199" s="128">
        <v>12752</v>
      </c>
      <c r="AD199" s="128">
        <v>13262</v>
      </c>
      <c r="AE199" s="128">
        <v>13793</v>
      </c>
      <c r="AF199" s="128">
        <v>14345</v>
      </c>
      <c r="AG199" s="128">
        <v>15048</v>
      </c>
      <c r="AH199" s="128">
        <v>15650</v>
      </c>
      <c r="AI199" s="128">
        <v>16276</v>
      </c>
      <c r="AJ199" s="129">
        <f t="shared" si="77"/>
        <v>16927.04</v>
      </c>
      <c r="AK199" s="129">
        <f t="shared" si="77"/>
        <v>17604.121600000002</v>
      </c>
      <c r="AL199" s="129">
        <f t="shared" si="77"/>
        <v>18308.286464000004</v>
      </c>
      <c r="AM199" s="129">
        <f t="shared" si="77"/>
        <v>19040.617922560006</v>
      </c>
      <c r="AN199" s="129">
        <f t="shared" si="77"/>
        <v>19802.242639462409</v>
      </c>
      <c r="AO199" s="129">
        <f t="shared" si="77"/>
        <v>20594.332345040904</v>
      </c>
      <c r="AP199" s="129">
        <f t="shared" si="77"/>
        <v>21418.105638842542</v>
      </c>
      <c r="AQ199" s="129">
        <f t="shared" si="77"/>
        <v>22274.829864396244</v>
      </c>
      <c r="AR199" s="129">
        <f t="shared" si="77"/>
        <v>23165.823058972095</v>
      </c>
      <c r="AS199" s="129">
        <f t="shared" si="77"/>
        <v>24092.455981330979</v>
      </c>
      <c r="AT199" s="129">
        <f t="shared" si="77"/>
        <v>25056.15422058422</v>
      </c>
      <c r="AU199" s="129">
        <f t="shared" si="77"/>
        <v>26058.40038940759</v>
      </c>
      <c r="AV199" s="129">
        <f t="shared" si="77"/>
        <v>27100.736404983894</v>
      </c>
      <c r="AW199" s="129">
        <f t="shared" si="77"/>
        <v>28184.765861183252</v>
      </c>
      <c r="AX199" s="129">
        <f t="shared" si="77"/>
        <v>29312.156495630585</v>
      </c>
      <c r="AY199" s="129">
        <f t="shared" si="77"/>
        <v>30484.64275545581</v>
      </c>
      <c r="AZ199" s="129">
        <f t="shared" si="78"/>
        <v>31704.028465674044</v>
      </c>
      <c r="BA199" s="129">
        <f t="shared" si="78"/>
        <v>32972.189604301006</v>
      </c>
      <c r="BB199" s="129">
        <f t="shared" si="78"/>
        <v>34291.077188473049</v>
      </c>
      <c r="BC199" s="129">
        <f t="shared" si="78"/>
        <v>35662.720276011969</v>
      </c>
      <c r="BD199" s="129">
        <f t="shared" si="78"/>
        <v>37089.229087052452</v>
      </c>
      <c r="BE199" s="129">
        <f t="shared" si="78"/>
        <v>38572.79825053455</v>
      </c>
      <c r="BF199" s="129">
        <f t="shared" si="78"/>
        <v>40115.710180555936</v>
      </c>
      <c r="BG199" s="129">
        <f t="shared" si="78"/>
        <v>41720.338587778177</v>
      </c>
    </row>
    <row r="200" spans="1:59" ht="13.75" customHeight="1">
      <c r="A200" s="171" t="s">
        <v>166</v>
      </c>
      <c r="B200" s="165" t="s">
        <v>313</v>
      </c>
      <c r="C200" s="165"/>
      <c r="D200" s="165" t="s">
        <v>168</v>
      </c>
      <c r="E200" s="167"/>
      <c r="F200" s="168" t="s">
        <v>325</v>
      </c>
      <c r="G200" s="168" t="s">
        <v>318</v>
      </c>
      <c r="H200" s="168"/>
      <c r="I200" s="168" t="s">
        <v>321</v>
      </c>
      <c r="U200" s="112">
        <v>7824</v>
      </c>
      <c r="V200" s="112">
        <v>10229</v>
      </c>
      <c r="W200" s="112">
        <v>11252</v>
      </c>
      <c r="X200" s="128">
        <v>11300</v>
      </c>
      <c r="Y200" s="128">
        <v>10500</v>
      </c>
      <c r="Z200" s="128">
        <v>13100</v>
      </c>
      <c r="AA200" s="128">
        <v>13100</v>
      </c>
      <c r="AB200" s="128">
        <v>13912.455</v>
      </c>
      <c r="AC200" s="128">
        <v>14720.045</v>
      </c>
      <c r="AD200" s="128">
        <v>15532.5</v>
      </c>
      <c r="AE200" s="128">
        <v>16344.955</v>
      </c>
      <c r="AF200" s="128">
        <v>17152.544999999998</v>
      </c>
      <c r="AG200" s="128">
        <v>17965</v>
      </c>
      <c r="AH200" s="128">
        <f>AG200*(1+AH$3)</f>
        <v>18745.633537825543</v>
      </c>
      <c r="AI200" s="128">
        <f t="shared" ref="AI200" si="80">AH200*(1+AI$3)</f>
        <v>19502.795748313438</v>
      </c>
      <c r="AJ200" s="129">
        <f t="shared" si="77"/>
        <v>20282.907578245977</v>
      </c>
      <c r="AK200" s="129">
        <f t="shared" si="77"/>
        <v>21094.223881375816</v>
      </c>
      <c r="AL200" s="129">
        <f t="shared" si="77"/>
        <v>21937.992836630849</v>
      </c>
      <c r="AM200" s="129">
        <f t="shared" si="77"/>
        <v>22815.512550096082</v>
      </c>
      <c r="AN200" s="129">
        <f t="shared" si="77"/>
        <v>23728.133052099925</v>
      </c>
      <c r="AO200" s="129">
        <f t="shared" si="77"/>
        <v>24677.258374183923</v>
      </c>
      <c r="AP200" s="129">
        <f t="shared" si="77"/>
        <v>25664.34870915128</v>
      </c>
      <c r="AQ200" s="129">
        <f t="shared" si="77"/>
        <v>26690.922657517331</v>
      </c>
      <c r="AR200" s="129">
        <f t="shared" si="77"/>
        <v>27758.559563818024</v>
      </c>
      <c r="AS200" s="129">
        <f t="shared" si="77"/>
        <v>28868.901946370745</v>
      </c>
      <c r="AT200" s="129">
        <f t="shared" si="77"/>
        <v>30023.658024225577</v>
      </c>
      <c r="AU200" s="129">
        <f t="shared" si="77"/>
        <v>31224.604345194603</v>
      </c>
      <c r="AV200" s="129">
        <f t="shared" si="77"/>
        <v>32473.588519002387</v>
      </c>
      <c r="AW200" s="129">
        <f t="shared" si="77"/>
        <v>33772.532059762481</v>
      </c>
      <c r="AX200" s="129">
        <f t="shared" si="77"/>
        <v>35123.433342152981</v>
      </c>
      <c r="AY200" s="129">
        <f t="shared" si="77"/>
        <v>36528.370675839098</v>
      </c>
      <c r="AZ200" s="129">
        <f t="shared" si="78"/>
        <v>37989.505502872664</v>
      </c>
      <c r="BA200" s="129">
        <f t="shared" si="78"/>
        <v>39509.085722987569</v>
      </c>
      <c r="BB200" s="129">
        <f t="shared" si="78"/>
        <v>41089.449151907073</v>
      </c>
      <c r="BC200" s="129">
        <f t="shared" si="78"/>
        <v>42733.027117983358</v>
      </c>
      <c r="BD200" s="129">
        <f t="shared" si="78"/>
        <v>44442.348202702691</v>
      </c>
      <c r="BE200" s="129">
        <f t="shared" si="78"/>
        <v>46220.042130810798</v>
      </c>
      <c r="BF200" s="129">
        <f t="shared" si="78"/>
        <v>48068.843816043234</v>
      </c>
      <c r="BG200" s="129">
        <f t="shared" si="78"/>
        <v>49991.597568684963</v>
      </c>
    </row>
    <row r="201" spans="1:59" ht="13.75" customHeight="1">
      <c r="A201" s="171" t="s">
        <v>166</v>
      </c>
      <c r="B201" s="165" t="s">
        <v>313</v>
      </c>
      <c r="C201" s="165"/>
      <c r="D201" s="165" t="s">
        <v>168</v>
      </c>
      <c r="E201" s="167"/>
      <c r="F201" s="168" t="s">
        <v>326</v>
      </c>
      <c r="G201" s="168" t="s">
        <v>318</v>
      </c>
      <c r="H201" s="168"/>
      <c r="I201" s="168" t="s">
        <v>321</v>
      </c>
      <c r="U201" s="112">
        <v>4199</v>
      </c>
      <c r="V201" s="112">
        <v>5860</v>
      </c>
      <c r="W201" s="112">
        <v>6446</v>
      </c>
      <c r="X201" s="128">
        <v>3450</v>
      </c>
      <c r="Y201" s="128">
        <v>4150</v>
      </c>
      <c r="Z201" s="128">
        <v>6800</v>
      </c>
      <c r="AA201" s="128">
        <v>7961.5</v>
      </c>
      <c r="AB201" s="128">
        <v>8541</v>
      </c>
      <c r="AC201" s="128">
        <v>8835</v>
      </c>
      <c r="AD201" s="128">
        <v>9188</v>
      </c>
      <c r="AE201" s="128">
        <v>9556</v>
      </c>
      <c r="AF201" s="128">
        <v>9938</v>
      </c>
      <c r="AG201" s="128">
        <v>10425</v>
      </c>
      <c r="AH201" s="128">
        <v>10842</v>
      </c>
      <c r="AI201" s="128">
        <v>11276</v>
      </c>
      <c r="AJ201" s="129">
        <f t="shared" si="77"/>
        <v>11727.04</v>
      </c>
      <c r="AK201" s="129">
        <f t="shared" si="77"/>
        <v>12196.121600000002</v>
      </c>
      <c r="AL201" s="129">
        <f t="shared" si="77"/>
        <v>12683.966464000003</v>
      </c>
      <c r="AM201" s="129">
        <f t="shared" si="77"/>
        <v>13191.325122560003</v>
      </c>
      <c r="AN201" s="129">
        <f t="shared" si="77"/>
        <v>13718.978127462404</v>
      </c>
      <c r="AO201" s="129">
        <f t="shared" si="77"/>
        <v>14267.737252560901</v>
      </c>
      <c r="AP201" s="129">
        <f t="shared" si="77"/>
        <v>14838.446742663336</v>
      </c>
      <c r="AQ201" s="129">
        <f t="shared" si="77"/>
        <v>15431.98461236987</v>
      </c>
      <c r="AR201" s="129">
        <f t="shared" si="77"/>
        <v>16049.263996864665</v>
      </c>
      <c r="AS201" s="129">
        <f t="shared" si="77"/>
        <v>16691.234556739251</v>
      </c>
      <c r="AT201" s="129">
        <f t="shared" si="77"/>
        <v>17358.883939008821</v>
      </c>
      <c r="AU201" s="129">
        <f t="shared" si="77"/>
        <v>18053.239296569176</v>
      </c>
      <c r="AV201" s="129">
        <f t="shared" si="77"/>
        <v>18775.368868431942</v>
      </c>
      <c r="AW201" s="129">
        <f t="shared" si="77"/>
        <v>19526.383623169222</v>
      </c>
      <c r="AX201" s="129">
        <f t="shared" si="77"/>
        <v>20307.43896809599</v>
      </c>
      <c r="AY201" s="129">
        <f t="shared" si="77"/>
        <v>21119.73652681983</v>
      </c>
      <c r="AZ201" s="129">
        <f t="shared" si="78"/>
        <v>21964.525987892623</v>
      </c>
      <c r="BA201" s="129">
        <f t="shared" si="78"/>
        <v>22843.107027408329</v>
      </c>
      <c r="BB201" s="129">
        <f t="shared" si="78"/>
        <v>23756.831308504661</v>
      </c>
      <c r="BC201" s="129">
        <f t="shared" si="78"/>
        <v>24707.104560844848</v>
      </c>
      <c r="BD201" s="129">
        <f t="shared" si="78"/>
        <v>25695.388743278643</v>
      </c>
      <c r="BE201" s="129">
        <f t="shared" si="78"/>
        <v>26723.204293009789</v>
      </c>
      <c r="BF201" s="129">
        <f t="shared" si="78"/>
        <v>27792.132464730181</v>
      </c>
      <c r="BG201" s="129">
        <f t="shared" si="78"/>
        <v>28903.817763319388</v>
      </c>
    </row>
    <row r="202" spans="1:59" ht="13.75" customHeight="1">
      <c r="A202" s="171" t="s">
        <v>166</v>
      </c>
      <c r="B202" s="165" t="s">
        <v>313</v>
      </c>
      <c r="C202" s="165"/>
      <c r="D202" s="165" t="s">
        <v>168</v>
      </c>
      <c r="E202" s="167"/>
      <c r="F202" s="168" t="s">
        <v>327</v>
      </c>
      <c r="G202" s="168" t="s">
        <v>318</v>
      </c>
      <c r="H202" s="168"/>
      <c r="I202" s="168" t="s">
        <v>321</v>
      </c>
      <c r="U202" s="112">
        <v>4057</v>
      </c>
      <c r="V202" s="112">
        <v>5860</v>
      </c>
      <c r="W202" s="112">
        <v>6446</v>
      </c>
      <c r="X202" s="128">
        <v>3450</v>
      </c>
      <c r="Y202" s="128">
        <v>4150</v>
      </c>
      <c r="Z202" s="128">
        <v>6800</v>
      </c>
      <c r="AA202" s="128">
        <v>7961.5</v>
      </c>
      <c r="AB202" s="128">
        <v>8541</v>
      </c>
      <c r="AC202" s="128">
        <v>8835</v>
      </c>
      <c r="AD202" s="128">
        <v>9188</v>
      </c>
      <c r="AE202" s="128">
        <v>9556</v>
      </c>
      <c r="AF202" s="128">
        <v>9938</v>
      </c>
      <c r="AG202" s="128">
        <f>AG201</f>
        <v>10425</v>
      </c>
      <c r="AH202" s="128">
        <f t="shared" ref="AH202:AI204" si="81">AH201</f>
        <v>10842</v>
      </c>
      <c r="AI202" s="128">
        <f t="shared" si="81"/>
        <v>11276</v>
      </c>
      <c r="AJ202" s="129">
        <f t="shared" si="77"/>
        <v>11727.04</v>
      </c>
      <c r="AK202" s="129">
        <f t="shared" si="77"/>
        <v>12196.121600000002</v>
      </c>
      <c r="AL202" s="129">
        <f t="shared" si="77"/>
        <v>12683.966464000003</v>
      </c>
      <c r="AM202" s="129">
        <f t="shared" si="77"/>
        <v>13191.325122560003</v>
      </c>
      <c r="AN202" s="129">
        <f t="shared" si="77"/>
        <v>13718.978127462404</v>
      </c>
      <c r="AO202" s="129">
        <f t="shared" si="77"/>
        <v>14267.737252560901</v>
      </c>
      <c r="AP202" s="129">
        <f t="shared" si="77"/>
        <v>14838.446742663336</v>
      </c>
      <c r="AQ202" s="129">
        <f t="shared" si="77"/>
        <v>15431.98461236987</v>
      </c>
      <c r="AR202" s="129">
        <f t="shared" si="77"/>
        <v>16049.263996864665</v>
      </c>
      <c r="AS202" s="129">
        <f t="shared" si="77"/>
        <v>16691.234556739251</v>
      </c>
      <c r="AT202" s="129">
        <f t="shared" si="77"/>
        <v>17358.883939008821</v>
      </c>
      <c r="AU202" s="129">
        <f t="shared" si="77"/>
        <v>18053.239296569176</v>
      </c>
      <c r="AV202" s="129">
        <f t="shared" si="77"/>
        <v>18775.368868431942</v>
      </c>
      <c r="AW202" s="129">
        <f t="shared" si="77"/>
        <v>19526.383623169222</v>
      </c>
      <c r="AX202" s="129">
        <f t="shared" si="77"/>
        <v>20307.43896809599</v>
      </c>
      <c r="AY202" s="129">
        <f t="shared" si="77"/>
        <v>21119.73652681983</v>
      </c>
      <c r="AZ202" s="129">
        <f t="shared" si="78"/>
        <v>21964.525987892623</v>
      </c>
      <c r="BA202" s="129">
        <f t="shared" si="78"/>
        <v>22843.107027408329</v>
      </c>
      <c r="BB202" s="129">
        <f t="shared" si="78"/>
        <v>23756.831308504661</v>
      </c>
      <c r="BC202" s="129">
        <f t="shared" si="78"/>
        <v>24707.104560844848</v>
      </c>
      <c r="BD202" s="129">
        <f t="shared" si="78"/>
        <v>25695.388743278643</v>
      </c>
      <c r="BE202" s="129">
        <f t="shared" si="78"/>
        <v>26723.204293009789</v>
      </c>
      <c r="BF202" s="129">
        <f t="shared" si="78"/>
        <v>27792.132464730181</v>
      </c>
      <c r="BG202" s="129">
        <f t="shared" si="78"/>
        <v>28903.817763319388</v>
      </c>
    </row>
    <row r="203" spans="1:59" ht="13.75" customHeight="1">
      <c r="A203" s="171" t="s">
        <v>166</v>
      </c>
      <c r="B203" s="165" t="s">
        <v>313</v>
      </c>
      <c r="C203" s="165"/>
      <c r="D203" s="165" t="s">
        <v>168</v>
      </c>
      <c r="E203" s="167"/>
      <c r="F203" s="168" t="s">
        <v>328</v>
      </c>
      <c r="G203" s="168" t="s">
        <v>318</v>
      </c>
      <c r="H203" s="168"/>
      <c r="I203" s="168" t="s">
        <v>321</v>
      </c>
      <c r="U203" s="112">
        <v>3562</v>
      </c>
      <c r="V203" s="112">
        <v>5017</v>
      </c>
      <c r="W203" s="112">
        <v>5427</v>
      </c>
      <c r="X203" s="128">
        <v>3450</v>
      </c>
      <c r="Y203" s="128">
        <v>4150</v>
      </c>
      <c r="Z203" s="128">
        <v>6800</v>
      </c>
      <c r="AA203" s="128">
        <v>7961.5</v>
      </c>
      <c r="AB203" s="128">
        <v>8541</v>
      </c>
      <c r="AC203" s="128">
        <v>8835</v>
      </c>
      <c r="AD203" s="128">
        <v>9188</v>
      </c>
      <c r="AE203" s="128">
        <v>9556</v>
      </c>
      <c r="AF203" s="128">
        <v>9938</v>
      </c>
      <c r="AG203" s="128">
        <f t="shared" ref="AG203:AG204" si="82">AG202</f>
        <v>10425</v>
      </c>
      <c r="AH203" s="128">
        <f t="shared" si="81"/>
        <v>10842</v>
      </c>
      <c r="AI203" s="128">
        <f t="shared" si="81"/>
        <v>11276</v>
      </c>
      <c r="AJ203" s="129">
        <f t="shared" si="77"/>
        <v>11727.04</v>
      </c>
      <c r="AK203" s="129">
        <f t="shared" si="77"/>
        <v>12196.121600000002</v>
      </c>
      <c r="AL203" s="129">
        <f t="shared" si="77"/>
        <v>12683.966464000003</v>
      </c>
      <c r="AM203" s="129">
        <f t="shared" si="77"/>
        <v>13191.325122560003</v>
      </c>
      <c r="AN203" s="129">
        <f t="shared" si="77"/>
        <v>13718.978127462404</v>
      </c>
      <c r="AO203" s="129">
        <f t="shared" si="77"/>
        <v>14267.737252560901</v>
      </c>
      <c r="AP203" s="129">
        <f t="shared" si="77"/>
        <v>14838.446742663336</v>
      </c>
      <c r="AQ203" s="129">
        <f t="shared" si="77"/>
        <v>15431.98461236987</v>
      </c>
      <c r="AR203" s="129">
        <f t="shared" si="77"/>
        <v>16049.263996864665</v>
      </c>
      <c r="AS203" s="129">
        <f t="shared" si="77"/>
        <v>16691.234556739251</v>
      </c>
      <c r="AT203" s="129">
        <f t="shared" si="77"/>
        <v>17358.883939008821</v>
      </c>
      <c r="AU203" s="129">
        <f t="shared" si="77"/>
        <v>18053.239296569176</v>
      </c>
      <c r="AV203" s="129">
        <f t="shared" si="77"/>
        <v>18775.368868431942</v>
      </c>
      <c r="AW203" s="129">
        <f t="shared" si="77"/>
        <v>19526.383623169222</v>
      </c>
      <c r="AX203" s="129">
        <f t="shared" si="77"/>
        <v>20307.43896809599</v>
      </c>
      <c r="AY203" s="129">
        <f t="shared" si="77"/>
        <v>21119.73652681983</v>
      </c>
      <c r="AZ203" s="129">
        <f t="shared" si="78"/>
        <v>21964.525987892623</v>
      </c>
      <c r="BA203" s="129">
        <f t="shared" si="78"/>
        <v>22843.107027408329</v>
      </c>
      <c r="BB203" s="129">
        <f t="shared" si="78"/>
        <v>23756.831308504661</v>
      </c>
      <c r="BC203" s="129">
        <f t="shared" si="78"/>
        <v>24707.104560844848</v>
      </c>
      <c r="BD203" s="129">
        <f t="shared" si="78"/>
        <v>25695.388743278643</v>
      </c>
      <c r="BE203" s="129">
        <f t="shared" si="78"/>
        <v>26723.204293009789</v>
      </c>
      <c r="BF203" s="129">
        <f t="shared" si="78"/>
        <v>27792.132464730181</v>
      </c>
      <c r="BG203" s="129">
        <f t="shared" si="78"/>
        <v>28903.817763319388</v>
      </c>
    </row>
    <row r="204" spans="1:59" ht="13.75" customHeight="1">
      <c r="A204" s="171" t="s">
        <v>166</v>
      </c>
      <c r="B204" s="165" t="s">
        <v>313</v>
      </c>
      <c r="C204" s="165"/>
      <c r="D204" s="165" t="s">
        <v>168</v>
      </c>
      <c r="E204" s="167"/>
      <c r="F204" s="168" t="s">
        <v>329</v>
      </c>
      <c r="G204" s="168" t="s">
        <v>318</v>
      </c>
      <c r="H204" s="168"/>
      <c r="I204" s="168" t="s">
        <v>321</v>
      </c>
      <c r="U204" s="112">
        <v>3262</v>
      </c>
      <c r="V204" s="112">
        <v>4417</v>
      </c>
      <c r="W204" s="112">
        <v>4767</v>
      </c>
      <c r="X204" s="128">
        <v>3450</v>
      </c>
      <c r="Y204" s="128">
        <v>4150</v>
      </c>
      <c r="Z204" s="128">
        <v>6800</v>
      </c>
      <c r="AA204" s="128">
        <v>7961.5</v>
      </c>
      <c r="AB204" s="128">
        <v>8541</v>
      </c>
      <c r="AC204" s="128">
        <v>8835</v>
      </c>
      <c r="AD204" s="128">
        <v>9188</v>
      </c>
      <c r="AE204" s="128">
        <v>9556</v>
      </c>
      <c r="AF204" s="128">
        <v>9938</v>
      </c>
      <c r="AG204" s="128">
        <f t="shared" si="82"/>
        <v>10425</v>
      </c>
      <c r="AH204" s="128">
        <f t="shared" si="81"/>
        <v>10842</v>
      </c>
      <c r="AI204" s="128">
        <f t="shared" si="81"/>
        <v>11276</v>
      </c>
      <c r="AJ204" s="129">
        <f t="shared" si="77"/>
        <v>11727.04</v>
      </c>
      <c r="AK204" s="129">
        <f t="shared" si="77"/>
        <v>12196.121600000002</v>
      </c>
      <c r="AL204" s="129">
        <f t="shared" si="77"/>
        <v>12683.966464000003</v>
      </c>
      <c r="AM204" s="129">
        <f t="shared" si="77"/>
        <v>13191.325122560003</v>
      </c>
      <c r="AN204" s="129">
        <f t="shared" si="77"/>
        <v>13718.978127462404</v>
      </c>
      <c r="AO204" s="129">
        <f t="shared" si="77"/>
        <v>14267.737252560901</v>
      </c>
      <c r="AP204" s="129">
        <f t="shared" si="77"/>
        <v>14838.446742663336</v>
      </c>
      <c r="AQ204" s="129">
        <f t="shared" si="77"/>
        <v>15431.98461236987</v>
      </c>
      <c r="AR204" s="129">
        <f t="shared" si="77"/>
        <v>16049.263996864665</v>
      </c>
      <c r="AS204" s="129">
        <f t="shared" si="77"/>
        <v>16691.234556739251</v>
      </c>
      <c r="AT204" s="129">
        <f t="shared" si="77"/>
        <v>17358.883939008821</v>
      </c>
      <c r="AU204" s="129">
        <f t="shared" si="77"/>
        <v>18053.239296569176</v>
      </c>
      <c r="AV204" s="129">
        <f t="shared" si="77"/>
        <v>18775.368868431942</v>
      </c>
      <c r="AW204" s="129">
        <f t="shared" si="77"/>
        <v>19526.383623169222</v>
      </c>
      <c r="AX204" s="129">
        <f t="shared" si="77"/>
        <v>20307.43896809599</v>
      </c>
      <c r="AY204" s="129">
        <f t="shared" si="77"/>
        <v>21119.73652681983</v>
      </c>
      <c r="AZ204" s="129">
        <f t="shared" si="78"/>
        <v>21964.525987892623</v>
      </c>
      <c r="BA204" s="129">
        <f t="shared" si="78"/>
        <v>22843.107027408329</v>
      </c>
      <c r="BB204" s="129">
        <f t="shared" si="78"/>
        <v>23756.831308504661</v>
      </c>
      <c r="BC204" s="129">
        <f t="shared" si="78"/>
        <v>24707.104560844848</v>
      </c>
      <c r="BD204" s="129">
        <f t="shared" si="78"/>
        <v>25695.388743278643</v>
      </c>
      <c r="BE204" s="129">
        <f t="shared" si="78"/>
        <v>26723.204293009789</v>
      </c>
      <c r="BF204" s="129">
        <f t="shared" si="78"/>
        <v>27792.132464730181</v>
      </c>
      <c r="BG204" s="129">
        <f t="shared" si="78"/>
        <v>28903.817763319388</v>
      </c>
    </row>
    <row r="205" spans="1:59" ht="13.75" customHeight="1">
      <c r="A205" s="171" t="s">
        <v>166</v>
      </c>
      <c r="B205" s="165" t="s">
        <v>313</v>
      </c>
      <c r="C205" s="165"/>
      <c r="D205" s="165" t="s">
        <v>168</v>
      </c>
      <c r="E205" s="167"/>
      <c r="F205" s="168" t="s">
        <v>330</v>
      </c>
      <c r="G205" s="168" t="s">
        <v>318</v>
      </c>
      <c r="H205" s="168"/>
      <c r="I205" s="168" t="s">
        <v>321</v>
      </c>
      <c r="U205" s="112">
        <v>6072</v>
      </c>
      <c r="V205" s="112">
        <v>7509</v>
      </c>
      <c r="W205" s="112">
        <v>8260</v>
      </c>
      <c r="X205" s="128">
        <v>6500</v>
      </c>
      <c r="Y205" s="128">
        <v>6000</v>
      </c>
      <c r="Z205" s="128">
        <v>5400</v>
      </c>
      <c r="AA205" s="128">
        <v>5400</v>
      </c>
      <c r="AB205" s="128">
        <v>5400</v>
      </c>
      <c r="AC205" s="128">
        <v>5616</v>
      </c>
      <c r="AD205" s="128">
        <v>5841</v>
      </c>
      <c r="AE205" s="128">
        <v>6075</v>
      </c>
      <c r="AF205" s="128">
        <v>6318</v>
      </c>
      <c r="AG205" s="128">
        <v>6628</v>
      </c>
      <c r="AH205" s="128">
        <v>6893</v>
      </c>
      <c r="AI205" s="128">
        <v>7169</v>
      </c>
      <c r="AJ205" s="129">
        <f t="shared" si="77"/>
        <v>7455.76</v>
      </c>
      <c r="AK205" s="129">
        <f t="shared" si="77"/>
        <v>7753.9904000000006</v>
      </c>
      <c r="AL205" s="129">
        <f t="shared" si="77"/>
        <v>8064.1500160000005</v>
      </c>
      <c r="AM205" s="129">
        <f t="shared" si="77"/>
        <v>8386.7160166400008</v>
      </c>
      <c r="AN205" s="129">
        <f t="shared" si="77"/>
        <v>8722.1846573056009</v>
      </c>
      <c r="AO205" s="129">
        <f t="shared" si="77"/>
        <v>9071.0720435978255</v>
      </c>
      <c r="AP205" s="129">
        <f t="shared" si="77"/>
        <v>9433.9149253417381</v>
      </c>
      <c r="AQ205" s="129">
        <f t="shared" si="77"/>
        <v>9811.2715223554078</v>
      </c>
      <c r="AR205" s="129">
        <f t="shared" si="77"/>
        <v>10203.722383249624</v>
      </c>
      <c r="AS205" s="129">
        <f t="shared" si="77"/>
        <v>10611.871278579609</v>
      </c>
      <c r="AT205" s="129">
        <f t="shared" si="77"/>
        <v>11036.346129722793</v>
      </c>
      <c r="AU205" s="129">
        <f t="shared" si="77"/>
        <v>11477.799974911706</v>
      </c>
      <c r="AV205" s="129">
        <f t="shared" si="77"/>
        <v>11936.911973908174</v>
      </c>
      <c r="AW205" s="129">
        <f t="shared" si="77"/>
        <v>12414.388452864501</v>
      </c>
      <c r="AX205" s="129">
        <f t="shared" si="77"/>
        <v>12910.963990979082</v>
      </c>
      <c r="AY205" s="129">
        <f t="shared" si="77"/>
        <v>13427.402550618246</v>
      </c>
      <c r="AZ205" s="129">
        <f t="shared" si="78"/>
        <v>13964.498652642977</v>
      </c>
      <c r="BA205" s="129">
        <f t="shared" si="78"/>
        <v>14523.078598748696</v>
      </c>
      <c r="BB205" s="129">
        <f t="shared" si="78"/>
        <v>15104.001742698645</v>
      </c>
      <c r="BC205" s="129">
        <f t="shared" si="78"/>
        <v>15708.161812406592</v>
      </c>
      <c r="BD205" s="129">
        <f t="shared" si="78"/>
        <v>16336.488284902856</v>
      </c>
      <c r="BE205" s="129">
        <f t="shared" si="78"/>
        <v>16989.947816298973</v>
      </c>
      <c r="BF205" s="129">
        <f t="shared" si="78"/>
        <v>17669.545728950932</v>
      </c>
      <c r="BG205" s="129">
        <f t="shared" si="78"/>
        <v>18376.327558108969</v>
      </c>
    </row>
    <row r="206" spans="1:59" ht="13.75" customHeight="1">
      <c r="A206" s="171" t="s">
        <v>166</v>
      </c>
      <c r="B206" s="165" t="s">
        <v>313</v>
      </c>
      <c r="C206" s="165"/>
      <c r="D206" s="165" t="s">
        <v>168</v>
      </c>
      <c r="E206" s="167"/>
      <c r="F206" s="168" t="s">
        <v>331</v>
      </c>
      <c r="G206" s="168" t="s">
        <v>318</v>
      </c>
      <c r="H206" s="168"/>
      <c r="I206" s="168" t="s">
        <v>332</v>
      </c>
      <c r="U206" s="112">
        <v>0</v>
      </c>
      <c r="V206" s="112">
        <v>5860</v>
      </c>
      <c r="W206" s="112">
        <v>6446</v>
      </c>
      <c r="X206" s="128">
        <v>3000</v>
      </c>
      <c r="Y206" s="128">
        <v>3000</v>
      </c>
      <c r="Z206" s="128">
        <v>7800</v>
      </c>
      <c r="AA206" s="128">
        <v>8662</v>
      </c>
      <c r="AB206" s="128">
        <v>9241</v>
      </c>
      <c r="AC206" s="128">
        <v>9535</v>
      </c>
      <c r="AD206" s="128">
        <v>9916</v>
      </c>
      <c r="AE206" s="128">
        <v>10114.32</v>
      </c>
      <c r="AF206" s="128">
        <v>10316.606400000001</v>
      </c>
      <c r="AG206" s="128">
        <v>10522.938528000001</v>
      </c>
      <c r="AH206" s="128">
        <v>10733.397298560001</v>
      </c>
      <c r="AI206" s="128">
        <v>10948.065244531201</v>
      </c>
      <c r="AJ206" s="129">
        <f t="shared" si="77"/>
        <v>11385.987854312449</v>
      </c>
      <c r="AK206" s="129">
        <f t="shared" si="77"/>
        <v>11841.427368484947</v>
      </c>
      <c r="AL206" s="129">
        <f t="shared" si="77"/>
        <v>12315.084463224344</v>
      </c>
      <c r="AM206" s="129">
        <f t="shared" si="77"/>
        <v>12807.687841753319</v>
      </c>
      <c r="AN206" s="129">
        <f t="shared" si="77"/>
        <v>13319.995355423453</v>
      </c>
      <c r="AO206" s="129">
        <f t="shared" si="77"/>
        <v>13852.795169640391</v>
      </c>
      <c r="AP206" s="129">
        <f t="shared" si="77"/>
        <v>14406.906976426008</v>
      </c>
      <c r="AQ206" s="129">
        <f t="shared" si="77"/>
        <v>14983.183255483049</v>
      </c>
      <c r="AR206" s="129">
        <f t="shared" si="77"/>
        <v>15582.510585702372</v>
      </c>
      <c r="AS206" s="129">
        <f t="shared" si="77"/>
        <v>16205.811009130468</v>
      </c>
      <c r="AT206" s="129">
        <f t="shared" si="77"/>
        <v>16854.043449495686</v>
      </c>
      <c r="AU206" s="129">
        <f t="shared" si="77"/>
        <v>17528.205187475513</v>
      </c>
      <c r="AV206" s="129">
        <f t="shared" si="77"/>
        <v>18229.333394974532</v>
      </c>
      <c r="AW206" s="129">
        <f t="shared" si="77"/>
        <v>18958.506730773515</v>
      </c>
      <c r="AX206" s="129">
        <f t="shared" si="77"/>
        <v>19716.847000004458</v>
      </c>
      <c r="AY206" s="129">
        <f t="shared" si="77"/>
        <v>20505.520880004638</v>
      </c>
      <c r="AZ206" s="129">
        <f t="shared" si="78"/>
        <v>21325.741715204826</v>
      </c>
      <c r="BA206" s="129">
        <f t="shared" si="78"/>
        <v>22178.771383813018</v>
      </c>
      <c r="BB206" s="129">
        <f t="shared" si="78"/>
        <v>23065.922239165538</v>
      </c>
      <c r="BC206" s="129">
        <f t="shared" si="78"/>
        <v>23988.559128732162</v>
      </c>
      <c r="BD206" s="129">
        <f t="shared" si="78"/>
        <v>24948.101493881448</v>
      </c>
      <c r="BE206" s="129">
        <f t="shared" si="78"/>
        <v>25946.025553636708</v>
      </c>
      <c r="BF206" s="129">
        <f t="shared" si="78"/>
        <v>26983.866575782176</v>
      </c>
      <c r="BG206" s="129">
        <f t="shared" si="78"/>
        <v>28063.221238813465</v>
      </c>
    </row>
    <row r="207" spans="1:59" ht="13.75" customHeight="1">
      <c r="A207" s="171" t="s">
        <v>166</v>
      </c>
      <c r="B207" s="165" t="s">
        <v>313</v>
      </c>
      <c r="C207" s="165"/>
      <c r="D207" s="165" t="s">
        <v>168</v>
      </c>
      <c r="E207" s="167"/>
      <c r="F207" s="168" t="s">
        <v>333</v>
      </c>
      <c r="G207" s="168" t="s">
        <v>318</v>
      </c>
      <c r="H207" s="168"/>
      <c r="I207" s="168" t="s">
        <v>321</v>
      </c>
      <c r="U207" s="112">
        <v>0</v>
      </c>
      <c r="V207" s="112">
        <v>0</v>
      </c>
      <c r="W207" s="112">
        <v>0</v>
      </c>
      <c r="X207" s="128">
        <v>2300</v>
      </c>
      <c r="Y207" s="128">
        <v>3000</v>
      </c>
      <c r="Z207" s="128">
        <v>2800</v>
      </c>
      <c r="AA207" s="128">
        <v>2800</v>
      </c>
      <c r="AB207" s="128">
        <v>2929.2579999999998</v>
      </c>
      <c r="AC207" s="128">
        <v>3057.7420000000002</v>
      </c>
      <c r="AD207" s="128">
        <v>3187</v>
      </c>
      <c r="AE207" s="128">
        <v>3316.2579999999998</v>
      </c>
      <c r="AF207" s="128">
        <v>3444.7420000000002</v>
      </c>
      <c r="AG207" s="128">
        <v>3574</v>
      </c>
      <c r="AH207" s="129">
        <f t="shared" ref="AH207:AI207" si="83">AG207*(1+AH$3)</f>
        <v>3729.3011001496516</v>
      </c>
      <c r="AI207" s="129">
        <f t="shared" si="83"/>
        <v>3879.9327583897702</v>
      </c>
      <c r="AJ207" s="129">
        <f t="shared" si="77"/>
        <v>4035.1300687253611</v>
      </c>
      <c r="AK207" s="129">
        <f t="shared" si="77"/>
        <v>4196.5352714743758</v>
      </c>
      <c r="AL207" s="129">
        <f t="shared" si="77"/>
        <v>4364.3966823333512</v>
      </c>
      <c r="AM207" s="129">
        <f t="shared" si="77"/>
        <v>4538.9725496266856</v>
      </c>
      <c r="AN207" s="129">
        <f t="shared" si="77"/>
        <v>4720.5314516117533</v>
      </c>
      <c r="AO207" s="129">
        <f t="shared" si="77"/>
        <v>4909.3527096762236</v>
      </c>
      <c r="AP207" s="129">
        <f t="shared" si="77"/>
        <v>5105.7268180632727</v>
      </c>
      <c r="AQ207" s="129">
        <f t="shared" si="77"/>
        <v>5309.9558907858036</v>
      </c>
      <c r="AR207" s="129">
        <f t="shared" si="77"/>
        <v>5522.3541264172363</v>
      </c>
      <c r="AS207" s="129">
        <f t="shared" si="77"/>
        <v>5743.2482914739257</v>
      </c>
      <c r="AT207" s="129">
        <f t="shared" si="77"/>
        <v>5972.9782231328827</v>
      </c>
      <c r="AU207" s="129">
        <f t="shared" si="77"/>
        <v>6211.8973520581985</v>
      </c>
      <c r="AV207" s="129">
        <f t="shared" si="77"/>
        <v>6460.373246140527</v>
      </c>
      <c r="AW207" s="129">
        <f t="shared" si="77"/>
        <v>6718.7881759861484</v>
      </c>
      <c r="AX207" s="129">
        <f t="shared" si="77"/>
        <v>6987.5397030255945</v>
      </c>
      <c r="AY207" s="129">
        <f t="shared" si="77"/>
        <v>7267.0412911466183</v>
      </c>
      <c r="AZ207" s="129">
        <f t="shared" si="78"/>
        <v>7557.7229427924831</v>
      </c>
      <c r="BA207" s="129">
        <f t="shared" si="78"/>
        <v>7860.031860504183</v>
      </c>
      <c r="BB207" s="129">
        <f t="shared" si="78"/>
        <v>8174.4331349243503</v>
      </c>
      <c r="BC207" s="129">
        <f t="shared" si="78"/>
        <v>8501.4104603213254</v>
      </c>
      <c r="BD207" s="129">
        <f t="shared" si="78"/>
        <v>8841.466878734178</v>
      </c>
      <c r="BE207" s="129">
        <f t="shared" si="78"/>
        <v>9195.1255538835449</v>
      </c>
      <c r="BF207" s="129">
        <f t="shared" si="78"/>
        <v>9562.930576038887</v>
      </c>
      <c r="BG207" s="129">
        <f t="shared" si="78"/>
        <v>9945.4477990804426</v>
      </c>
    </row>
    <row r="208" spans="1:59" ht="13.75" customHeight="1">
      <c r="A208" s="171" t="s">
        <v>166</v>
      </c>
      <c r="B208" s="165" t="s">
        <v>313</v>
      </c>
      <c r="C208" s="165"/>
      <c r="D208" s="165" t="s">
        <v>168</v>
      </c>
      <c r="F208" s="168" t="s">
        <v>334</v>
      </c>
      <c r="G208" s="168" t="s">
        <v>318</v>
      </c>
      <c r="I208" s="168" t="s">
        <v>321</v>
      </c>
      <c r="U208" s="112">
        <v>0</v>
      </c>
      <c r="V208" s="112">
        <v>0</v>
      </c>
      <c r="W208" s="112">
        <v>0</v>
      </c>
      <c r="X208" s="128">
        <v>2300</v>
      </c>
      <c r="Y208" s="128">
        <v>3000</v>
      </c>
      <c r="Z208" s="128">
        <v>2800</v>
      </c>
      <c r="AA208" s="128">
        <v>2800</v>
      </c>
      <c r="AB208" s="128">
        <v>2800</v>
      </c>
      <c r="AC208" s="128">
        <v>2800</v>
      </c>
      <c r="AD208" s="128">
        <v>2800</v>
      </c>
      <c r="AE208" s="128">
        <v>2800</v>
      </c>
      <c r="AF208" s="128">
        <v>2800</v>
      </c>
      <c r="AG208" s="128">
        <v>2800</v>
      </c>
      <c r="AH208" s="128">
        <v>2800</v>
      </c>
      <c r="AI208" s="128">
        <v>2800</v>
      </c>
      <c r="AJ208" s="128">
        <v>3275.6039680000004</v>
      </c>
      <c r="AK208" s="128">
        <v>3406.6281267200006</v>
      </c>
      <c r="AL208" s="128">
        <v>3542.8932517888006</v>
      </c>
      <c r="AM208" s="128">
        <v>3684.6089818603527</v>
      </c>
      <c r="AN208" s="128">
        <v>3831.993341134767</v>
      </c>
      <c r="AO208" s="128">
        <v>3985.2730747801579</v>
      </c>
      <c r="AP208" s="128">
        <v>4144.6839977713644</v>
      </c>
      <c r="AQ208" s="128">
        <v>4310.4713576822187</v>
      </c>
      <c r="AR208" s="128">
        <v>4482.8902119895074</v>
      </c>
      <c r="AS208" s="128">
        <v>4662.2058204690875</v>
      </c>
      <c r="AT208" s="128">
        <v>4848.6940532878516</v>
      </c>
      <c r="AU208" s="128">
        <v>5042.6418154193661</v>
      </c>
      <c r="AV208" s="128">
        <v>5244.3474880361409</v>
      </c>
      <c r="AW208" s="128">
        <v>5454.1213875575868</v>
      </c>
      <c r="AX208" s="128">
        <v>5672.2862430598907</v>
      </c>
      <c r="AY208" s="128">
        <f t="shared" si="77"/>
        <v>5899.1776927822866</v>
      </c>
      <c r="AZ208" s="128">
        <f>AY208*(1+AZ$3)</f>
        <v>6135.1448004935783</v>
      </c>
      <c r="BA208" s="128">
        <f t="shared" si="78"/>
        <v>6380.550592513322</v>
      </c>
      <c r="BB208" s="129">
        <f t="shared" si="78"/>
        <v>6635.7726162138551</v>
      </c>
      <c r="BC208" s="129">
        <f t="shared" si="78"/>
        <v>6901.2035208624093</v>
      </c>
      <c r="BD208" s="129">
        <f t="shared" si="78"/>
        <v>7177.251661696906</v>
      </c>
      <c r="BE208" s="129">
        <f t="shared" si="78"/>
        <v>7464.3417281647826</v>
      </c>
      <c r="BF208" s="129">
        <f t="shared" si="78"/>
        <v>7762.9153972913746</v>
      </c>
      <c r="BG208" s="129">
        <f t="shared" si="78"/>
        <v>8073.43201318303</v>
      </c>
    </row>
    <row r="209" spans="1:59" ht="13.75" customHeight="1">
      <c r="A209" s="171" t="s">
        <v>166</v>
      </c>
      <c r="B209" s="165" t="s">
        <v>313</v>
      </c>
      <c r="C209" s="165"/>
      <c r="D209" s="165" t="s">
        <v>168</v>
      </c>
      <c r="E209" s="167"/>
      <c r="F209" s="168" t="s">
        <v>335</v>
      </c>
      <c r="G209" s="168" t="s">
        <v>3</v>
      </c>
      <c r="H209" s="168"/>
      <c r="I209" s="168" t="s">
        <v>336</v>
      </c>
      <c r="U209" s="107"/>
      <c r="V209" s="107"/>
      <c r="W209" s="107"/>
      <c r="X209" s="107">
        <v>0.42</v>
      </c>
      <c r="Y209" s="107">
        <v>0.42</v>
      </c>
      <c r="Z209" s="107">
        <v>0.3</v>
      </c>
      <c r="AA209" s="107">
        <v>0.3</v>
      </c>
      <c r="AB209" s="107">
        <v>0.3</v>
      </c>
      <c r="AC209" s="107">
        <v>0.3</v>
      </c>
      <c r="AD209" s="107">
        <v>0.3</v>
      </c>
      <c r="AE209" s="107">
        <v>0.3</v>
      </c>
      <c r="AF209" s="107">
        <v>0.3</v>
      </c>
      <c r="AG209" s="107">
        <v>0.3</v>
      </c>
      <c r="AH209" s="107">
        <v>0.3</v>
      </c>
      <c r="AI209" s="107">
        <v>0.3</v>
      </c>
      <c r="AJ209" s="107">
        <v>0.3</v>
      </c>
      <c r="AK209" s="107">
        <v>0.3</v>
      </c>
      <c r="AL209" s="107">
        <v>0.3</v>
      </c>
      <c r="AM209" s="107">
        <v>0.3</v>
      </c>
      <c r="AN209" s="107">
        <f t="shared" ref="AN209:AX220" si="84">AM209</f>
        <v>0.3</v>
      </c>
      <c r="AO209" s="107">
        <f t="shared" si="84"/>
        <v>0.3</v>
      </c>
      <c r="AP209" s="107">
        <f t="shared" si="84"/>
        <v>0.3</v>
      </c>
      <c r="AQ209" s="107">
        <f t="shared" si="84"/>
        <v>0.3</v>
      </c>
      <c r="AR209" s="107">
        <f t="shared" si="84"/>
        <v>0.3</v>
      </c>
      <c r="AS209" s="107">
        <f t="shared" si="84"/>
        <v>0.3</v>
      </c>
      <c r="AT209" s="107">
        <f t="shared" si="84"/>
        <v>0.3</v>
      </c>
      <c r="AU209" s="107">
        <f t="shared" si="84"/>
        <v>0.3</v>
      </c>
      <c r="AV209" s="107">
        <f t="shared" si="84"/>
        <v>0.3</v>
      </c>
      <c r="AW209" s="107">
        <f t="shared" si="84"/>
        <v>0.3</v>
      </c>
      <c r="AX209" s="107">
        <f t="shared" si="84"/>
        <v>0.3</v>
      </c>
      <c r="AY209" s="107">
        <v>0.3</v>
      </c>
      <c r="AZ209" s="107">
        <f t="shared" ref="AZ209:BG215" si="85">AY209</f>
        <v>0.3</v>
      </c>
      <c r="BA209" s="107">
        <f t="shared" si="85"/>
        <v>0.3</v>
      </c>
      <c r="BB209" s="107">
        <f t="shared" si="85"/>
        <v>0.3</v>
      </c>
      <c r="BC209" s="107">
        <f t="shared" si="85"/>
        <v>0.3</v>
      </c>
      <c r="BD209" s="107">
        <f t="shared" si="85"/>
        <v>0.3</v>
      </c>
      <c r="BE209" s="107">
        <f t="shared" si="85"/>
        <v>0.3</v>
      </c>
      <c r="BF209" s="107">
        <f t="shared" si="85"/>
        <v>0.3</v>
      </c>
      <c r="BG209" s="107">
        <f t="shared" si="85"/>
        <v>0.3</v>
      </c>
    </row>
    <row r="210" spans="1:59" ht="13.75" customHeight="1">
      <c r="A210" s="171" t="s">
        <v>166</v>
      </c>
      <c r="B210" s="165" t="s">
        <v>313</v>
      </c>
      <c r="C210" s="165"/>
      <c r="D210" s="165" t="s">
        <v>168</v>
      </c>
      <c r="E210" s="167"/>
      <c r="F210" s="168" t="s">
        <v>337</v>
      </c>
      <c r="G210" s="168" t="s">
        <v>3</v>
      </c>
      <c r="H210" s="168"/>
      <c r="I210" s="168" t="s">
        <v>338</v>
      </c>
      <c r="U210" s="107"/>
      <c r="V210" s="107"/>
      <c r="W210" s="107"/>
      <c r="X210" s="107">
        <v>0.48</v>
      </c>
      <c r="Y210" s="107">
        <v>0.4</v>
      </c>
      <c r="Z210" s="107">
        <v>0.3</v>
      </c>
      <c r="AA210" s="107">
        <v>0.3</v>
      </c>
      <c r="AB210" s="107">
        <v>0.3</v>
      </c>
      <c r="AC210" s="107">
        <v>0.3</v>
      </c>
      <c r="AD210" s="107">
        <v>0.3</v>
      </c>
      <c r="AE210" s="107">
        <v>0.3</v>
      </c>
      <c r="AF210" s="107">
        <v>0.3</v>
      </c>
      <c r="AG210" s="107">
        <v>0.3</v>
      </c>
      <c r="AH210" s="107">
        <v>0.3</v>
      </c>
      <c r="AI210" s="107">
        <v>0.3</v>
      </c>
      <c r="AJ210" s="107">
        <v>0.3</v>
      </c>
      <c r="AK210" s="107">
        <v>0.3</v>
      </c>
      <c r="AL210" s="107">
        <v>0.3</v>
      </c>
      <c r="AM210" s="107">
        <v>0.3</v>
      </c>
      <c r="AN210" s="107">
        <f t="shared" si="84"/>
        <v>0.3</v>
      </c>
      <c r="AO210" s="107">
        <f t="shared" si="84"/>
        <v>0.3</v>
      </c>
      <c r="AP210" s="107">
        <f t="shared" si="84"/>
        <v>0.3</v>
      </c>
      <c r="AQ210" s="107">
        <f t="shared" si="84"/>
        <v>0.3</v>
      </c>
      <c r="AR210" s="107">
        <f t="shared" si="84"/>
        <v>0.3</v>
      </c>
      <c r="AS210" s="107">
        <f t="shared" si="84"/>
        <v>0.3</v>
      </c>
      <c r="AT210" s="107">
        <f t="shared" si="84"/>
        <v>0.3</v>
      </c>
      <c r="AU210" s="107">
        <f t="shared" si="84"/>
        <v>0.3</v>
      </c>
      <c r="AV210" s="107">
        <f t="shared" si="84"/>
        <v>0.3</v>
      </c>
      <c r="AW210" s="107">
        <f t="shared" si="84"/>
        <v>0.3</v>
      </c>
      <c r="AX210" s="107">
        <f t="shared" si="84"/>
        <v>0.3</v>
      </c>
      <c r="AY210" s="107">
        <v>0.3</v>
      </c>
      <c r="AZ210" s="107">
        <f t="shared" si="85"/>
        <v>0.3</v>
      </c>
      <c r="BA210" s="107">
        <f t="shared" si="85"/>
        <v>0.3</v>
      </c>
      <c r="BB210" s="107">
        <f t="shared" si="85"/>
        <v>0.3</v>
      </c>
      <c r="BC210" s="107">
        <f t="shared" si="85"/>
        <v>0.3</v>
      </c>
      <c r="BD210" s="107">
        <f t="shared" si="85"/>
        <v>0.3</v>
      </c>
      <c r="BE210" s="107">
        <f t="shared" si="85"/>
        <v>0.3</v>
      </c>
      <c r="BF210" s="107">
        <f t="shared" si="85"/>
        <v>0.3</v>
      </c>
      <c r="BG210" s="107">
        <f t="shared" si="85"/>
        <v>0.3</v>
      </c>
    </row>
    <row r="211" spans="1:59" ht="13.75" customHeight="1">
      <c r="A211" s="171" t="s">
        <v>166</v>
      </c>
      <c r="B211" s="165" t="s">
        <v>313</v>
      </c>
      <c r="C211" s="165"/>
      <c r="D211" s="165" t="s">
        <v>168</v>
      </c>
      <c r="E211" s="167"/>
      <c r="F211" s="168" t="s">
        <v>339</v>
      </c>
      <c r="G211" s="168" t="s">
        <v>3</v>
      </c>
      <c r="H211" s="168"/>
      <c r="I211" s="168" t="s">
        <v>338</v>
      </c>
      <c r="U211" s="107"/>
      <c r="V211" s="107"/>
      <c r="W211" s="107"/>
      <c r="X211" s="107">
        <v>0.78</v>
      </c>
      <c r="Y211" s="107">
        <v>0.61</v>
      </c>
      <c r="Z211" s="107">
        <v>0.3</v>
      </c>
      <c r="AA211" s="107">
        <v>0.3</v>
      </c>
      <c r="AB211" s="107">
        <v>0.3</v>
      </c>
      <c r="AC211" s="107">
        <v>0.3</v>
      </c>
      <c r="AD211" s="107">
        <v>0.3</v>
      </c>
      <c r="AE211" s="107">
        <v>0.3</v>
      </c>
      <c r="AF211" s="107">
        <v>0.3</v>
      </c>
      <c r="AG211" s="107">
        <v>0.3</v>
      </c>
      <c r="AH211" s="107">
        <v>0.3</v>
      </c>
      <c r="AI211" s="107">
        <v>0.3</v>
      </c>
      <c r="AJ211" s="107">
        <v>0.3</v>
      </c>
      <c r="AK211" s="107">
        <v>0.3</v>
      </c>
      <c r="AL211" s="107">
        <v>0.3</v>
      </c>
      <c r="AM211" s="107">
        <v>0.3</v>
      </c>
      <c r="AN211" s="107">
        <f t="shared" si="84"/>
        <v>0.3</v>
      </c>
      <c r="AO211" s="107">
        <f t="shared" si="84"/>
        <v>0.3</v>
      </c>
      <c r="AP211" s="107">
        <f t="shared" si="84"/>
        <v>0.3</v>
      </c>
      <c r="AQ211" s="107">
        <f t="shared" si="84"/>
        <v>0.3</v>
      </c>
      <c r="AR211" s="107">
        <f t="shared" si="84"/>
        <v>0.3</v>
      </c>
      <c r="AS211" s="107">
        <f t="shared" si="84"/>
        <v>0.3</v>
      </c>
      <c r="AT211" s="107">
        <f t="shared" si="84"/>
        <v>0.3</v>
      </c>
      <c r="AU211" s="107">
        <f t="shared" si="84"/>
        <v>0.3</v>
      </c>
      <c r="AV211" s="107">
        <f t="shared" si="84"/>
        <v>0.3</v>
      </c>
      <c r="AW211" s="107">
        <f t="shared" si="84"/>
        <v>0.3</v>
      </c>
      <c r="AX211" s="107">
        <f t="shared" si="84"/>
        <v>0.3</v>
      </c>
      <c r="AY211" s="107">
        <v>0.3</v>
      </c>
      <c r="AZ211" s="107">
        <f t="shared" si="85"/>
        <v>0.3</v>
      </c>
      <c r="BA211" s="107">
        <f t="shared" si="85"/>
        <v>0.3</v>
      </c>
      <c r="BB211" s="107">
        <f t="shared" si="85"/>
        <v>0.3</v>
      </c>
      <c r="BC211" s="107">
        <f t="shared" si="85"/>
        <v>0.3</v>
      </c>
      <c r="BD211" s="107">
        <f t="shared" si="85"/>
        <v>0.3</v>
      </c>
      <c r="BE211" s="107">
        <f t="shared" si="85"/>
        <v>0.3</v>
      </c>
      <c r="BF211" s="107">
        <f t="shared" si="85"/>
        <v>0.3</v>
      </c>
      <c r="BG211" s="107">
        <f t="shared" si="85"/>
        <v>0.3</v>
      </c>
    </row>
    <row r="212" spans="1:59" ht="13.75" customHeight="1">
      <c r="A212" s="171" t="s">
        <v>166</v>
      </c>
      <c r="B212" s="165" t="s">
        <v>313</v>
      </c>
      <c r="C212" s="165"/>
      <c r="D212" s="165" t="s">
        <v>168</v>
      </c>
      <c r="E212" s="167"/>
      <c r="F212" s="168" t="s">
        <v>340</v>
      </c>
      <c r="G212" s="168" t="s">
        <v>3</v>
      </c>
      <c r="H212" s="168"/>
      <c r="I212" s="168" t="s">
        <v>338</v>
      </c>
      <c r="U212" s="107"/>
      <c r="V212" s="107"/>
      <c r="W212" s="107"/>
      <c r="X212" s="107">
        <v>0.85</v>
      </c>
      <c r="Y212" s="107">
        <v>0.71</v>
      </c>
      <c r="Z212" s="107">
        <v>0.55000000000000004</v>
      </c>
      <c r="AA212" s="107">
        <v>0.55000000000000004</v>
      </c>
      <c r="AB212" s="107">
        <v>0.55000000000000004</v>
      </c>
      <c r="AC212" s="107">
        <v>0.55000000000000004</v>
      </c>
      <c r="AD212" s="107">
        <v>0.55000000000000004</v>
      </c>
      <c r="AE212" s="107">
        <v>0.55000000000000004</v>
      </c>
      <c r="AF212" s="107">
        <v>0.55000000000000004</v>
      </c>
      <c r="AG212" s="107">
        <v>0.55000000000000004</v>
      </c>
      <c r="AH212" s="107">
        <v>0.55000000000000004</v>
      </c>
      <c r="AI212" s="107">
        <v>0.55000000000000004</v>
      </c>
      <c r="AJ212" s="107">
        <v>0.55000000000000004</v>
      </c>
      <c r="AK212" s="107">
        <v>0.55000000000000004</v>
      </c>
      <c r="AL212" s="107">
        <v>0.55000000000000004</v>
      </c>
      <c r="AM212" s="107">
        <v>0.55000000000000004</v>
      </c>
      <c r="AN212" s="107">
        <f t="shared" si="84"/>
        <v>0.55000000000000004</v>
      </c>
      <c r="AO212" s="107">
        <f t="shared" si="84"/>
        <v>0.55000000000000004</v>
      </c>
      <c r="AP212" s="107">
        <f t="shared" si="84"/>
        <v>0.55000000000000004</v>
      </c>
      <c r="AQ212" s="107">
        <f t="shared" si="84"/>
        <v>0.55000000000000004</v>
      </c>
      <c r="AR212" s="107">
        <f t="shared" si="84"/>
        <v>0.55000000000000004</v>
      </c>
      <c r="AS212" s="107">
        <f t="shared" si="84"/>
        <v>0.55000000000000004</v>
      </c>
      <c r="AT212" s="107">
        <f t="shared" si="84"/>
        <v>0.55000000000000004</v>
      </c>
      <c r="AU212" s="107">
        <f t="shared" si="84"/>
        <v>0.55000000000000004</v>
      </c>
      <c r="AV212" s="107">
        <f t="shared" si="84"/>
        <v>0.55000000000000004</v>
      </c>
      <c r="AW212" s="107">
        <f t="shared" si="84"/>
        <v>0.55000000000000004</v>
      </c>
      <c r="AX212" s="107">
        <f t="shared" si="84"/>
        <v>0.55000000000000004</v>
      </c>
      <c r="AY212" s="107">
        <v>0.55000000000000004</v>
      </c>
      <c r="AZ212" s="107">
        <f t="shared" si="85"/>
        <v>0.55000000000000004</v>
      </c>
      <c r="BA212" s="107">
        <f t="shared" si="85"/>
        <v>0.55000000000000004</v>
      </c>
      <c r="BB212" s="107">
        <f t="shared" si="85"/>
        <v>0.55000000000000004</v>
      </c>
      <c r="BC212" s="107">
        <f t="shared" si="85"/>
        <v>0.55000000000000004</v>
      </c>
      <c r="BD212" s="107">
        <f t="shared" si="85"/>
        <v>0.55000000000000004</v>
      </c>
      <c r="BE212" s="107">
        <f t="shared" si="85"/>
        <v>0.55000000000000004</v>
      </c>
      <c r="BF212" s="107">
        <f t="shared" si="85"/>
        <v>0.55000000000000004</v>
      </c>
      <c r="BG212" s="107">
        <f t="shared" si="85"/>
        <v>0.55000000000000004</v>
      </c>
    </row>
    <row r="213" spans="1:59" ht="13.75" customHeight="1">
      <c r="A213" s="171" t="s">
        <v>166</v>
      </c>
      <c r="B213" s="165" t="s">
        <v>313</v>
      </c>
      <c r="C213" s="165"/>
      <c r="D213" s="165" t="s">
        <v>168</v>
      </c>
      <c r="E213" s="167"/>
      <c r="F213" s="168" t="s">
        <v>341</v>
      </c>
      <c r="G213" s="168" t="s">
        <v>3</v>
      </c>
      <c r="H213" s="168"/>
      <c r="I213" s="168" t="s">
        <v>338</v>
      </c>
      <c r="U213" s="107"/>
      <c r="V213" s="107"/>
      <c r="W213" s="107"/>
      <c r="X213" s="107">
        <v>0.76</v>
      </c>
      <c r="Y213" s="107">
        <v>0.82</v>
      </c>
      <c r="Z213" s="107">
        <v>1</v>
      </c>
      <c r="AA213" s="107">
        <v>1</v>
      </c>
      <c r="AB213" s="107">
        <v>1</v>
      </c>
      <c r="AC213" s="107">
        <v>1</v>
      </c>
      <c r="AD213" s="107">
        <v>1</v>
      </c>
      <c r="AE213" s="107">
        <v>1</v>
      </c>
      <c r="AF213" s="107">
        <v>1</v>
      </c>
      <c r="AG213" s="107">
        <v>1</v>
      </c>
      <c r="AH213" s="107">
        <v>1</v>
      </c>
      <c r="AI213" s="107">
        <v>1</v>
      </c>
      <c r="AJ213" s="107">
        <v>1</v>
      </c>
      <c r="AK213" s="107">
        <v>1</v>
      </c>
      <c r="AL213" s="107">
        <v>1</v>
      </c>
      <c r="AM213" s="107">
        <v>1</v>
      </c>
      <c r="AN213" s="107">
        <f t="shared" si="84"/>
        <v>1</v>
      </c>
      <c r="AO213" s="107">
        <f t="shared" si="84"/>
        <v>1</v>
      </c>
      <c r="AP213" s="107">
        <f t="shared" si="84"/>
        <v>1</v>
      </c>
      <c r="AQ213" s="107">
        <f t="shared" si="84"/>
        <v>1</v>
      </c>
      <c r="AR213" s="107">
        <f t="shared" si="84"/>
        <v>1</v>
      </c>
      <c r="AS213" s="107">
        <f t="shared" si="84"/>
        <v>1</v>
      </c>
      <c r="AT213" s="107">
        <f t="shared" si="84"/>
        <v>1</v>
      </c>
      <c r="AU213" s="107">
        <f t="shared" si="84"/>
        <v>1</v>
      </c>
      <c r="AV213" s="107">
        <f t="shared" si="84"/>
        <v>1</v>
      </c>
      <c r="AW213" s="107">
        <f t="shared" si="84"/>
        <v>1</v>
      </c>
      <c r="AX213" s="107">
        <f t="shared" si="84"/>
        <v>1</v>
      </c>
      <c r="AY213" s="107">
        <v>1</v>
      </c>
      <c r="AZ213" s="107">
        <f t="shared" si="85"/>
        <v>1</v>
      </c>
      <c r="BA213" s="107">
        <f t="shared" si="85"/>
        <v>1</v>
      </c>
      <c r="BB213" s="107">
        <f t="shared" si="85"/>
        <v>1</v>
      </c>
      <c r="BC213" s="107">
        <f t="shared" si="85"/>
        <v>1</v>
      </c>
      <c r="BD213" s="107">
        <f t="shared" si="85"/>
        <v>1</v>
      </c>
      <c r="BE213" s="107">
        <f t="shared" si="85"/>
        <v>1</v>
      </c>
      <c r="BF213" s="107">
        <f t="shared" si="85"/>
        <v>1</v>
      </c>
      <c r="BG213" s="107">
        <f t="shared" si="85"/>
        <v>1</v>
      </c>
    </row>
    <row r="214" spans="1:59" ht="13.75" customHeight="1">
      <c r="A214" s="171" t="s">
        <v>166</v>
      </c>
      <c r="B214" s="165" t="s">
        <v>313</v>
      </c>
      <c r="C214" s="165"/>
      <c r="D214" s="165" t="s">
        <v>168</v>
      </c>
      <c r="E214" s="167"/>
      <c r="F214" s="168" t="s">
        <v>342</v>
      </c>
      <c r="G214" s="168" t="s">
        <v>3</v>
      </c>
      <c r="H214" s="168"/>
      <c r="I214" s="168" t="s">
        <v>338</v>
      </c>
      <c r="U214" s="107"/>
      <c r="V214" s="107"/>
      <c r="W214" s="107"/>
      <c r="X214" s="107">
        <v>0.48</v>
      </c>
      <c r="Y214" s="107">
        <v>0.4</v>
      </c>
      <c r="Z214" s="107">
        <v>0.3</v>
      </c>
      <c r="AA214" s="107">
        <v>0.3</v>
      </c>
      <c r="AB214" s="107">
        <v>0.3</v>
      </c>
      <c r="AC214" s="107">
        <v>0.3</v>
      </c>
      <c r="AD214" s="107">
        <v>0.3</v>
      </c>
      <c r="AE214" s="107">
        <v>0.3</v>
      </c>
      <c r="AF214" s="107">
        <v>0.3</v>
      </c>
      <c r="AG214" s="107">
        <v>0.3</v>
      </c>
      <c r="AH214" s="107">
        <v>0.3</v>
      </c>
      <c r="AI214" s="107">
        <v>0.3</v>
      </c>
      <c r="AJ214" s="107">
        <v>0.3</v>
      </c>
      <c r="AK214" s="107">
        <v>0.3</v>
      </c>
      <c r="AL214" s="107">
        <v>0.3</v>
      </c>
      <c r="AM214" s="107">
        <v>0.3</v>
      </c>
      <c r="AN214" s="107">
        <f t="shared" si="84"/>
        <v>0.3</v>
      </c>
      <c r="AO214" s="107">
        <f t="shared" si="84"/>
        <v>0.3</v>
      </c>
      <c r="AP214" s="107">
        <f t="shared" si="84"/>
        <v>0.3</v>
      </c>
      <c r="AQ214" s="107">
        <f t="shared" si="84"/>
        <v>0.3</v>
      </c>
      <c r="AR214" s="107">
        <f t="shared" si="84"/>
        <v>0.3</v>
      </c>
      <c r="AS214" s="107">
        <f t="shared" si="84"/>
        <v>0.3</v>
      </c>
      <c r="AT214" s="107">
        <f t="shared" si="84"/>
        <v>0.3</v>
      </c>
      <c r="AU214" s="107">
        <f t="shared" si="84"/>
        <v>0.3</v>
      </c>
      <c r="AV214" s="107">
        <f t="shared" si="84"/>
        <v>0.3</v>
      </c>
      <c r="AW214" s="107">
        <f t="shared" si="84"/>
        <v>0.3</v>
      </c>
      <c r="AX214" s="107">
        <f t="shared" si="84"/>
        <v>0.3</v>
      </c>
      <c r="AY214" s="107">
        <v>0.3</v>
      </c>
      <c r="AZ214" s="107">
        <f t="shared" si="85"/>
        <v>0.3</v>
      </c>
      <c r="BA214" s="107">
        <f t="shared" si="85"/>
        <v>0.3</v>
      </c>
      <c r="BB214" s="107">
        <f t="shared" si="85"/>
        <v>0.3</v>
      </c>
      <c r="BC214" s="107">
        <f t="shared" si="85"/>
        <v>0.3</v>
      </c>
      <c r="BD214" s="107">
        <f t="shared" si="85"/>
        <v>0.3</v>
      </c>
      <c r="BE214" s="107">
        <f t="shared" si="85"/>
        <v>0.3</v>
      </c>
      <c r="BF214" s="107">
        <f t="shared" si="85"/>
        <v>0.3</v>
      </c>
      <c r="BG214" s="107">
        <f t="shared" si="85"/>
        <v>0.3</v>
      </c>
    </row>
    <row r="215" spans="1:59" ht="13.75" customHeight="1">
      <c r="A215" s="171" t="s">
        <v>166</v>
      </c>
      <c r="B215" s="165" t="s">
        <v>313</v>
      </c>
      <c r="C215" s="165"/>
      <c r="D215" s="165" t="s">
        <v>168</v>
      </c>
      <c r="E215" s="167"/>
      <c r="F215" s="168" t="s">
        <v>343</v>
      </c>
      <c r="G215" s="168" t="s">
        <v>3</v>
      </c>
      <c r="H215" s="168"/>
      <c r="I215" s="168" t="s">
        <v>338</v>
      </c>
      <c r="U215" s="107"/>
      <c r="V215" s="107"/>
      <c r="W215" s="107"/>
      <c r="X215" s="107">
        <v>6.5000000000000002E-2</v>
      </c>
      <c r="Y215" s="107">
        <v>6.5000000000000002E-2</v>
      </c>
      <c r="Z215" s="107">
        <v>6.5000000000000002E-2</v>
      </c>
      <c r="AA215" s="107">
        <v>6.5000000000000002E-2</v>
      </c>
      <c r="AB215" s="107">
        <v>6.5000000000000002E-2</v>
      </c>
      <c r="AC215" s="107">
        <v>6.5000000000000002E-2</v>
      </c>
      <c r="AD215" s="107">
        <v>6.5000000000000002E-2</v>
      </c>
      <c r="AE215" s="107">
        <v>6.5000000000000002E-2</v>
      </c>
      <c r="AF215" s="107">
        <v>6.5000000000000002E-2</v>
      </c>
      <c r="AG215" s="107">
        <v>6.5000000000000002E-2</v>
      </c>
      <c r="AH215" s="107">
        <v>6.5000000000000002E-2</v>
      </c>
      <c r="AI215" s="107">
        <v>6.5000000000000002E-2</v>
      </c>
      <c r="AJ215" s="107">
        <v>6.5000000000000002E-2</v>
      </c>
      <c r="AK215" s="107">
        <v>6.5000000000000002E-2</v>
      </c>
      <c r="AL215" s="107">
        <v>6.5000000000000002E-2</v>
      </c>
      <c r="AM215" s="107">
        <v>6.5000000000000002E-2</v>
      </c>
      <c r="AN215" s="107">
        <f t="shared" si="84"/>
        <v>6.5000000000000002E-2</v>
      </c>
      <c r="AO215" s="107">
        <f t="shared" si="84"/>
        <v>6.5000000000000002E-2</v>
      </c>
      <c r="AP215" s="107">
        <f t="shared" si="84"/>
        <v>6.5000000000000002E-2</v>
      </c>
      <c r="AQ215" s="107">
        <f t="shared" si="84"/>
        <v>6.5000000000000002E-2</v>
      </c>
      <c r="AR215" s="107">
        <f t="shared" si="84"/>
        <v>6.5000000000000002E-2</v>
      </c>
      <c r="AS215" s="107">
        <f t="shared" si="84"/>
        <v>6.5000000000000002E-2</v>
      </c>
      <c r="AT215" s="107">
        <f t="shared" si="84"/>
        <v>6.5000000000000002E-2</v>
      </c>
      <c r="AU215" s="107">
        <f t="shared" si="84"/>
        <v>6.5000000000000002E-2</v>
      </c>
      <c r="AV215" s="107">
        <f t="shared" si="84"/>
        <v>6.5000000000000002E-2</v>
      </c>
      <c r="AW215" s="107">
        <f t="shared" si="84"/>
        <v>6.5000000000000002E-2</v>
      </c>
      <c r="AX215" s="107">
        <f t="shared" si="84"/>
        <v>6.5000000000000002E-2</v>
      </c>
      <c r="AY215" s="107">
        <v>6.5000000000000002E-2</v>
      </c>
      <c r="AZ215" s="107">
        <f>AY215</f>
        <v>6.5000000000000002E-2</v>
      </c>
      <c r="BA215" s="107">
        <f t="shared" si="85"/>
        <v>6.5000000000000002E-2</v>
      </c>
      <c r="BB215" s="107">
        <f t="shared" si="85"/>
        <v>6.5000000000000002E-2</v>
      </c>
      <c r="BC215" s="107">
        <f t="shared" si="85"/>
        <v>6.5000000000000002E-2</v>
      </c>
      <c r="BD215" s="107">
        <f t="shared" si="85"/>
        <v>6.5000000000000002E-2</v>
      </c>
      <c r="BE215" s="107">
        <f t="shared" si="85"/>
        <v>6.5000000000000002E-2</v>
      </c>
      <c r="BF215" s="107">
        <f t="shared" si="85"/>
        <v>6.5000000000000002E-2</v>
      </c>
      <c r="BG215" s="107">
        <f t="shared" si="85"/>
        <v>6.5000000000000002E-2</v>
      </c>
    </row>
    <row r="216" spans="1:59" ht="13.75" customHeight="1">
      <c r="A216" s="171" t="s">
        <v>166</v>
      </c>
      <c r="B216" s="165" t="s">
        <v>313</v>
      </c>
      <c r="C216" s="165"/>
      <c r="D216" s="165" t="s">
        <v>87</v>
      </c>
      <c r="E216" s="167"/>
      <c r="F216" s="168" t="s">
        <v>344</v>
      </c>
      <c r="G216" s="168" t="s">
        <v>315</v>
      </c>
      <c r="H216" s="168"/>
      <c r="I216" s="168" t="s">
        <v>345</v>
      </c>
      <c r="S216" s="115">
        <v>78.081027667984188</v>
      </c>
      <c r="T216" s="115">
        <v>109.58242063492062</v>
      </c>
      <c r="U216" s="115">
        <v>110.63688235294121</v>
      </c>
      <c r="V216" s="115">
        <v>107.97051181102361</v>
      </c>
      <c r="W216" s="115">
        <v>97.595118577075112</v>
      </c>
      <c r="X216" s="112">
        <v>50.926936758893277</v>
      </c>
      <c r="Y216" s="112">
        <v>41.569031620553368</v>
      </c>
      <c r="Z216" s="112">
        <v>52.995509803921564</v>
      </c>
      <c r="AA216" s="140">
        <v>70.025866141732266</v>
      </c>
      <c r="AB216" s="140">
        <v>63.918039215686299</v>
      </c>
      <c r="AC216" s="140">
        <v>41.557499999999997</v>
      </c>
      <c r="AD216" s="140">
        <v>68.823333333333323</v>
      </c>
      <c r="AE216" s="112">
        <v>76.030833333333334</v>
      </c>
      <c r="AF216" s="112">
        <v>64.212499999999991</v>
      </c>
      <c r="AG216" s="112">
        <v>46.083333333333336</v>
      </c>
      <c r="AH216" s="112">
        <v>63.333333333333336</v>
      </c>
      <c r="AI216" s="112">
        <v>67</v>
      </c>
      <c r="AJ216" s="112">
        <v>69.160372426560002</v>
      </c>
      <c r="AK216" s="112">
        <v>69.086809530190152</v>
      </c>
      <c r="AL216" s="112">
        <v>69.011772720732665</v>
      </c>
      <c r="AM216" s="112">
        <v>68.935232455989507</v>
      </c>
      <c r="AN216" s="112">
        <v>68.857158601379155</v>
      </c>
      <c r="AO216" s="112">
        <v>68.777520418051708</v>
      </c>
      <c r="AP216" s="112">
        <v>68.696286550765748</v>
      </c>
      <c r="AQ216" s="112">
        <v>68.613425015521457</v>
      </c>
      <c r="AR216" s="112">
        <v>68.528903186945698</v>
      </c>
      <c r="AS216" s="112">
        <v>68.442687785423814</v>
      </c>
      <c r="AT216" s="112">
        <v>68.354744863972982</v>
      </c>
      <c r="AU216" s="112">
        <v>68.2650397948521</v>
      </c>
      <c r="AV216" s="112">
        <v>68.173537255902858</v>
      </c>
      <c r="AW216" s="112">
        <v>68.080201216616487</v>
      </c>
      <c r="AX216" s="112">
        <v>67.984994923920894</v>
      </c>
      <c r="AY216" s="112">
        <v>67.887880887682329</v>
      </c>
      <c r="AZ216" s="112">
        <v>67.788820865915966</v>
      </c>
      <c r="BA216" s="112">
        <v>67.687775849699591</v>
      </c>
      <c r="BB216" s="112">
        <v>67.584706047784351</v>
      </c>
      <c r="BC216" s="112">
        <f t="shared" ref="BC216:BG216" si="86">BB216*(1+((BB216-BA216)/BA216))</f>
        <v>67.481793192731871</v>
      </c>
      <c r="BD216" s="112">
        <f t="shared" si="86"/>
        <v>67.379037045555393</v>
      </c>
      <c r="BE216" s="112">
        <f t="shared" si="86"/>
        <v>67.27643736763207</v>
      </c>
      <c r="BF216" s="112">
        <f t="shared" si="86"/>
        <v>67.173993920702415</v>
      </c>
      <c r="BG216" s="112">
        <f t="shared" si="86"/>
        <v>67.071706466869742</v>
      </c>
    </row>
    <row r="217" spans="1:59" ht="13.75" customHeight="1">
      <c r="A217" s="171" t="s">
        <v>166</v>
      </c>
      <c r="B217" s="165" t="s">
        <v>313</v>
      </c>
      <c r="C217" s="165"/>
      <c r="D217" s="165" t="s">
        <v>168</v>
      </c>
      <c r="E217" s="167"/>
      <c r="F217" s="168" t="s">
        <v>346</v>
      </c>
      <c r="G217" s="168" t="s">
        <v>318</v>
      </c>
      <c r="H217" s="168"/>
      <c r="I217" s="168" t="s">
        <v>347</v>
      </c>
      <c r="U217" s="112">
        <v>0</v>
      </c>
      <c r="V217" s="112">
        <v>5860</v>
      </c>
      <c r="W217" s="112">
        <v>6446</v>
      </c>
      <c r="X217" s="128">
        <v>0</v>
      </c>
      <c r="Y217" s="128">
        <v>0</v>
      </c>
      <c r="Z217" s="128">
        <v>7800</v>
      </c>
      <c r="AA217" s="128">
        <v>8662</v>
      </c>
      <c r="AB217" s="128">
        <v>9241</v>
      </c>
      <c r="AC217" s="128">
        <v>9535</v>
      </c>
      <c r="AD217" s="128">
        <v>9916</v>
      </c>
      <c r="AE217" s="128">
        <v>10114.32</v>
      </c>
      <c r="AF217" s="128">
        <v>10316.606400000001</v>
      </c>
      <c r="AG217" s="128">
        <f t="shared" ref="AG217:AM217" si="87">AF217*(1+2%)</f>
        <v>10522.938528000001</v>
      </c>
      <c r="AH217" s="128">
        <f t="shared" si="87"/>
        <v>10733.397298560001</v>
      </c>
      <c r="AI217" s="128">
        <f t="shared" si="87"/>
        <v>10948.065244531201</v>
      </c>
      <c r="AJ217" s="128">
        <f t="shared" si="87"/>
        <v>11167.026549421826</v>
      </c>
      <c r="AK217" s="128">
        <f t="shared" si="87"/>
        <v>11390.367080410262</v>
      </c>
      <c r="AL217" s="128">
        <f t="shared" si="87"/>
        <v>11618.174422018468</v>
      </c>
      <c r="AM217" s="128">
        <f t="shared" si="87"/>
        <v>11850.537910458837</v>
      </c>
      <c r="AN217" s="128">
        <f>AM217</f>
        <v>11850.537910458837</v>
      </c>
      <c r="AO217" s="128">
        <f t="shared" si="84"/>
        <v>11850.537910458837</v>
      </c>
      <c r="AP217" s="128">
        <f t="shared" si="84"/>
        <v>11850.537910458837</v>
      </c>
      <c r="AQ217" s="128">
        <f t="shared" si="84"/>
        <v>11850.537910458837</v>
      </c>
      <c r="AR217" s="128">
        <f t="shared" si="84"/>
        <v>11850.537910458837</v>
      </c>
      <c r="AS217" s="128">
        <f t="shared" si="84"/>
        <v>11850.537910458837</v>
      </c>
      <c r="AT217" s="128">
        <f t="shared" si="84"/>
        <v>11850.537910458837</v>
      </c>
      <c r="AU217" s="128">
        <f t="shared" si="84"/>
        <v>11850.537910458837</v>
      </c>
      <c r="AV217" s="128">
        <f t="shared" si="84"/>
        <v>11850.537910458837</v>
      </c>
      <c r="AW217" s="128">
        <f t="shared" si="84"/>
        <v>11850.537910458837</v>
      </c>
      <c r="AX217" s="128">
        <f t="shared" si="84"/>
        <v>11850.537910458837</v>
      </c>
      <c r="AY217" s="128">
        <v>12432.046265124136</v>
      </c>
      <c r="AZ217" s="128">
        <f>AY217*(1+AZ$3)</f>
        <v>12929.328115729102</v>
      </c>
      <c r="BA217" s="128">
        <f t="shared" ref="BA217:BG217" si="88">AZ217*(1+BA$3)</f>
        <v>13446.501240358266</v>
      </c>
      <c r="BB217" s="128">
        <f t="shared" si="88"/>
        <v>13984.361289972598</v>
      </c>
      <c r="BC217" s="128">
        <f t="shared" si="88"/>
        <v>14543.735741571501</v>
      </c>
      <c r="BD217" s="128">
        <f t="shared" si="88"/>
        <v>15125.485171234362</v>
      </c>
      <c r="BE217" s="128">
        <f t="shared" si="88"/>
        <v>15730.504578083737</v>
      </c>
      <c r="BF217" s="128">
        <f t="shared" si="88"/>
        <v>16359.724761207088</v>
      </c>
      <c r="BG217" s="128">
        <f t="shared" si="88"/>
        <v>17014.113751655372</v>
      </c>
    </row>
    <row r="218" spans="1:59" ht="13.75" customHeight="1">
      <c r="A218" s="171" t="s">
        <v>166</v>
      </c>
      <c r="B218" s="165" t="s">
        <v>313</v>
      </c>
      <c r="C218" s="165"/>
      <c r="D218" s="165" t="s">
        <v>168</v>
      </c>
      <c r="E218" s="167"/>
      <c r="F218" s="168" t="s">
        <v>348</v>
      </c>
      <c r="G218" s="168" t="s">
        <v>318</v>
      </c>
      <c r="H218" s="168"/>
      <c r="I218" s="168"/>
      <c r="X218" s="128">
        <v>0</v>
      </c>
      <c r="Y218" s="128">
        <v>0</v>
      </c>
      <c r="Z218" s="128">
        <v>306</v>
      </c>
      <c r="AA218" s="128">
        <v>357</v>
      </c>
      <c r="AB218" s="128">
        <v>428</v>
      </c>
      <c r="AC218" s="128">
        <v>428</v>
      </c>
      <c r="AD218" s="151">
        <v>428</v>
      </c>
      <c r="AE218" s="151">
        <v>428</v>
      </c>
      <c r="AF218" s="151">
        <v>428</v>
      </c>
      <c r="AG218" s="151">
        <v>428</v>
      </c>
      <c r="AH218" s="151">
        <v>428</v>
      </c>
      <c r="AI218" s="151">
        <v>428</v>
      </c>
      <c r="AJ218" s="151">
        <v>428</v>
      </c>
      <c r="AK218" s="151">
        <v>428</v>
      </c>
      <c r="AL218" s="151">
        <v>428</v>
      </c>
      <c r="AM218" s="151">
        <v>428</v>
      </c>
      <c r="AN218" s="151">
        <f>AM218</f>
        <v>428</v>
      </c>
      <c r="AO218" s="151">
        <f t="shared" si="84"/>
        <v>428</v>
      </c>
      <c r="AP218" s="151">
        <f t="shared" si="84"/>
        <v>428</v>
      </c>
      <c r="AQ218" s="151">
        <f t="shared" si="84"/>
        <v>428</v>
      </c>
      <c r="AR218" s="151">
        <f t="shared" si="84"/>
        <v>428</v>
      </c>
      <c r="AS218" s="151">
        <f t="shared" si="84"/>
        <v>428</v>
      </c>
      <c r="AT218" s="151">
        <f t="shared" si="84"/>
        <v>428</v>
      </c>
      <c r="AU218" s="151">
        <f t="shared" si="84"/>
        <v>428</v>
      </c>
      <c r="AV218" s="151">
        <f t="shared" si="84"/>
        <v>428</v>
      </c>
      <c r="AW218" s="151">
        <f t="shared" si="84"/>
        <v>428</v>
      </c>
      <c r="AX218" s="151">
        <f t="shared" si="84"/>
        <v>428</v>
      </c>
      <c r="AY218" s="151">
        <v>428</v>
      </c>
      <c r="AZ218" s="151">
        <f>AY218</f>
        <v>428</v>
      </c>
      <c r="BA218" s="151">
        <f t="shared" ref="BA218:BG220" si="89">AZ218</f>
        <v>428</v>
      </c>
      <c r="BB218" s="151">
        <f t="shared" si="89"/>
        <v>428</v>
      </c>
      <c r="BC218" s="151">
        <f t="shared" si="89"/>
        <v>428</v>
      </c>
      <c r="BD218" s="151">
        <f t="shared" si="89"/>
        <v>428</v>
      </c>
      <c r="BE218" s="151">
        <f t="shared" si="89"/>
        <v>428</v>
      </c>
      <c r="BF218" s="151">
        <f t="shared" si="89"/>
        <v>428</v>
      </c>
      <c r="BG218" s="151">
        <f t="shared" si="89"/>
        <v>428</v>
      </c>
    </row>
    <row r="219" spans="1:59" ht="13.75" customHeight="1">
      <c r="A219" s="171" t="s">
        <v>166</v>
      </c>
      <c r="B219" s="165" t="s">
        <v>313</v>
      </c>
      <c r="C219" s="165"/>
      <c r="D219" s="165" t="s">
        <v>168</v>
      </c>
      <c r="E219" s="167"/>
      <c r="F219" s="168" t="s">
        <v>349</v>
      </c>
      <c r="G219" s="168"/>
      <c r="H219" s="168"/>
      <c r="I219" s="168"/>
      <c r="X219" s="120"/>
      <c r="Y219" s="120"/>
      <c r="Z219" s="120"/>
      <c r="AA219" s="120"/>
      <c r="AB219" s="152">
        <v>0.83299999999999996</v>
      </c>
      <c r="AC219" s="152">
        <v>0.66700000000000004</v>
      </c>
      <c r="AD219" s="152">
        <v>0.5</v>
      </c>
      <c r="AE219" s="152">
        <v>0.33300000000000002</v>
      </c>
      <c r="AF219" s="152">
        <v>0.16700000000000001</v>
      </c>
      <c r="AG219" s="152">
        <v>0</v>
      </c>
      <c r="AH219" s="146">
        <v>0</v>
      </c>
      <c r="AI219" s="146">
        <v>0</v>
      </c>
      <c r="AJ219" s="146">
        <v>0</v>
      </c>
      <c r="AK219" s="146">
        <v>0</v>
      </c>
      <c r="AL219" s="146">
        <v>0</v>
      </c>
      <c r="AM219" s="146">
        <v>0</v>
      </c>
      <c r="AN219" s="146">
        <f>AM219</f>
        <v>0</v>
      </c>
      <c r="AO219" s="146">
        <f t="shared" si="84"/>
        <v>0</v>
      </c>
      <c r="AP219" s="146">
        <f t="shared" si="84"/>
        <v>0</v>
      </c>
      <c r="AQ219" s="146">
        <f t="shared" si="84"/>
        <v>0</v>
      </c>
      <c r="AR219" s="146">
        <f t="shared" si="84"/>
        <v>0</v>
      </c>
      <c r="AS219" s="146">
        <f t="shared" si="84"/>
        <v>0</v>
      </c>
      <c r="AT219" s="146">
        <f t="shared" si="84"/>
        <v>0</v>
      </c>
      <c r="AU219" s="146">
        <f t="shared" si="84"/>
        <v>0</v>
      </c>
      <c r="AV219" s="146">
        <f t="shared" si="84"/>
        <v>0</v>
      </c>
      <c r="AW219" s="146">
        <f t="shared" si="84"/>
        <v>0</v>
      </c>
      <c r="AX219" s="146">
        <f t="shared" si="84"/>
        <v>0</v>
      </c>
      <c r="AY219" s="146">
        <v>0</v>
      </c>
      <c r="AZ219" s="146">
        <f>AY219</f>
        <v>0</v>
      </c>
      <c r="BA219" s="146">
        <f t="shared" si="89"/>
        <v>0</v>
      </c>
      <c r="BB219" s="146">
        <f t="shared" si="89"/>
        <v>0</v>
      </c>
      <c r="BC219" s="146">
        <f t="shared" si="89"/>
        <v>0</v>
      </c>
      <c r="BD219" s="146">
        <f t="shared" si="89"/>
        <v>0</v>
      </c>
      <c r="BE219" s="146">
        <f t="shared" si="89"/>
        <v>0</v>
      </c>
      <c r="BF219" s="146">
        <f t="shared" si="89"/>
        <v>0</v>
      </c>
      <c r="BG219" s="146">
        <f t="shared" si="89"/>
        <v>0</v>
      </c>
    </row>
    <row r="220" spans="1:59" ht="13.75" customHeight="1">
      <c r="A220" s="171" t="s">
        <v>166</v>
      </c>
      <c r="B220" s="165" t="s">
        <v>313</v>
      </c>
      <c r="C220" s="165"/>
      <c r="D220" s="165" t="s">
        <v>168</v>
      </c>
      <c r="E220" s="167"/>
      <c r="F220" s="168" t="s">
        <v>350</v>
      </c>
      <c r="G220" s="168"/>
      <c r="H220" s="168"/>
      <c r="I220" s="168"/>
      <c r="X220" s="120"/>
      <c r="Y220" s="120"/>
      <c r="Z220" s="120"/>
      <c r="AA220" s="120"/>
      <c r="AB220" s="152">
        <v>0.16700000000000001</v>
      </c>
      <c r="AC220" s="152">
        <v>0.33300000000000002</v>
      </c>
      <c r="AD220" s="152">
        <v>0.5</v>
      </c>
      <c r="AE220" s="152">
        <v>0.66700000000000004</v>
      </c>
      <c r="AF220" s="152">
        <v>0.83299999999999996</v>
      </c>
      <c r="AG220" s="152">
        <v>1</v>
      </c>
      <c r="AH220" s="146">
        <f t="shared" ref="AH220:AM220" si="90">AG220</f>
        <v>1</v>
      </c>
      <c r="AI220" s="146">
        <f t="shared" si="90"/>
        <v>1</v>
      </c>
      <c r="AJ220" s="146">
        <f t="shared" si="90"/>
        <v>1</v>
      </c>
      <c r="AK220" s="146">
        <f t="shared" si="90"/>
        <v>1</v>
      </c>
      <c r="AL220" s="146">
        <f t="shared" si="90"/>
        <v>1</v>
      </c>
      <c r="AM220" s="146">
        <f t="shared" si="90"/>
        <v>1</v>
      </c>
      <c r="AN220" s="146">
        <f>AM220</f>
        <v>1</v>
      </c>
      <c r="AO220" s="146">
        <f t="shared" si="84"/>
        <v>1</v>
      </c>
      <c r="AP220" s="146">
        <f t="shared" si="84"/>
        <v>1</v>
      </c>
      <c r="AQ220" s="146">
        <f t="shared" si="84"/>
        <v>1</v>
      </c>
      <c r="AR220" s="146">
        <f t="shared" si="84"/>
        <v>1</v>
      </c>
      <c r="AS220" s="146">
        <f t="shared" si="84"/>
        <v>1</v>
      </c>
      <c r="AT220" s="146">
        <f t="shared" si="84"/>
        <v>1</v>
      </c>
      <c r="AU220" s="146">
        <f t="shared" si="84"/>
        <v>1</v>
      </c>
      <c r="AV220" s="146">
        <f t="shared" si="84"/>
        <v>1</v>
      </c>
      <c r="AW220" s="146">
        <f t="shared" si="84"/>
        <v>1</v>
      </c>
      <c r="AX220" s="146">
        <f t="shared" si="84"/>
        <v>1</v>
      </c>
      <c r="AY220" s="146">
        <v>1</v>
      </c>
      <c r="AZ220" s="146">
        <f>AY220</f>
        <v>1</v>
      </c>
      <c r="BA220" s="146">
        <f t="shared" si="89"/>
        <v>1</v>
      </c>
      <c r="BB220" s="146">
        <f t="shared" si="89"/>
        <v>1</v>
      </c>
      <c r="BC220" s="146">
        <f t="shared" si="89"/>
        <v>1</v>
      </c>
      <c r="BD220" s="146">
        <f t="shared" si="89"/>
        <v>1</v>
      </c>
      <c r="BE220" s="146">
        <f t="shared" si="89"/>
        <v>1</v>
      </c>
      <c r="BF220" s="146">
        <f t="shared" si="89"/>
        <v>1</v>
      </c>
      <c r="BG220" s="146">
        <f t="shared" si="89"/>
        <v>1</v>
      </c>
    </row>
    <row r="221" spans="1:59" ht="13.75" customHeight="1">
      <c r="A221" s="171" t="s">
        <v>166</v>
      </c>
      <c r="B221" s="165" t="s">
        <v>313</v>
      </c>
      <c r="C221" s="165"/>
      <c r="D221" s="165" t="s">
        <v>168</v>
      </c>
      <c r="E221" s="167"/>
      <c r="F221" s="168" t="s">
        <v>351</v>
      </c>
      <c r="G221" s="168" t="s">
        <v>4</v>
      </c>
      <c r="H221" s="168"/>
      <c r="I221" s="168"/>
      <c r="P221" s="119"/>
      <c r="Q221" s="119"/>
      <c r="R221" s="119"/>
      <c r="S221" s="119"/>
      <c r="T221" s="119"/>
      <c r="U221" s="119"/>
      <c r="V221" s="119"/>
      <c r="W221" s="119"/>
      <c r="X221" s="160">
        <v>489.03583333333341</v>
      </c>
      <c r="Y221" s="160">
        <v>390.00749999999999</v>
      </c>
      <c r="Z221" s="160">
        <v>482.41166666666663</v>
      </c>
      <c r="AA221" s="153">
        <v>624.85333333333335</v>
      </c>
      <c r="AB221" s="153">
        <v>580.02333333333331</v>
      </c>
      <c r="AC221" s="153">
        <v>359.72409048945127</v>
      </c>
      <c r="AD221" s="153">
        <v>571.97409653745706</v>
      </c>
      <c r="AE221" s="150">
        <v>1041.4864320932536</v>
      </c>
      <c r="AF221" s="150">
        <v>844.68216462305213</v>
      </c>
      <c r="AG221" s="128">
        <v>608.8507596187161</v>
      </c>
      <c r="AH221" s="128">
        <v>712.40834752121066</v>
      </c>
      <c r="AI221" s="128">
        <v>718.81553722430567</v>
      </c>
      <c r="AJ221" s="128">
        <v>704.87423877183573</v>
      </c>
      <c r="AK221" s="128">
        <v>703.31087844517742</v>
      </c>
      <c r="AL221" s="128">
        <v>704.02035127369959</v>
      </c>
      <c r="AM221" s="128">
        <v>705.54021904086676</v>
      </c>
      <c r="AN221" s="128">
        <v>705.17356556206585</v>
      </c>
      <c r="AO221" s="128">
        <v>704.87758829331051</v>
      </c>
      <c r="AP221" s="128">
        <v>705.1687188141459</v>
      </c>
      <c r="AQ221" s="128">
        <v>705.68801740955018</v>
      </c>
      <c r="AR221" s="128">
        <v>706.64370144555289</v>
      </c>
      <c r="AS221" s="128">
        <v>707.01709330182678</v>
      </c>
      <c r="AT221" s="128">
        <v>707.78875236203521</v>
      </c>
      <c r="AU221" s="128">
        <v>709.39350781612109</v>
      </c>
      <c r="AV221" s="128">
        <v>711.04340187789671</v>
      </c>
      <c r="AW221" s="128">
        <v>712.96972328884692</v>
      </c>
      <c r="AX221" s="128">
        <v>715.46545708396786</v>
      </c>
      <c r="AY221" s="128">
        <v>717.44681705594826</v>
      </c>
      <c r="AZ221" s="128">
        <v>717.44681705594826</v>
      </c>
      <c r="BA221" s="128">
        <v>717.44681705594826</v>
      </c>
      <c r="BB221" s="128">
        <v>717.44681705594826</v>
      </c>
      <c r="BC221" s="128">
        <f t="shared" ref="BC221:BG222" si="91">BB221*(1+((BB221-BA221)/BA221))</f>
        <v>717.44681705594826</v>
      </c>
      <c r="BD221" s="128">
        <f t="shared" si="91"/>
        <v>717.44681705594826</v>
      </c>
      <c r="BE221" s="128">
        <f t="shared" si="91"/>
        <v>717.44681705594826</v>
      </c>
      <c r="BF221" s="128">
        <f t="shared" si="91"/>
        <v>717.44681705594826</v>
      </c>
      <c r="BG221" s="128">
        <f t="shared" si="91"/>
        <v>717.44681705594826</v>
      </c>
    </row>
    <row r="222" spans="1:59" ht="13.75" customHeight="1">
      <c r="A222" s="171" t="s">
        <v>166</v>
      </c>
      <c r="B222" s="165" t="s">
        <v>313</v>
      </c>
      <c r="C222" s="165"/>
      <c r="D222" s="165" t="s">
        <v>168</v>
      </c>
      <c r="E222" s="167"/>
      <c r="F222" s="168" t="s">
        <v>352</v>
      </c>
      <c r="G222" s="168" t="s">
        <v>4</v>
      </c>
      <c r="H222" s="168"/>
      <c r="I222" s="168"/>
      <c r="S222" s="119"/>
      <c r="T222" s="119"/>
      <c r="U222" s="119"/>
      <c r="V222" s="119"/>
      <c r="W222" s="119"/>
      <c r="X222" s="119">
        <v>560.99416666666673</v>
      </c>
      <c r="Y222" s="119">
        <v>451.36000000000007</v>
      </c>
      <c r="Z222" s="119">
        <v>547.33499999999992</v>
      </c>
      <c r="AA222" s="119">
        <v>653.46749999999986</v>
      </c>
      <c r="AB222" s="119">
        <v>588.89358333333337</v>
      </c>
      <c r="AC222" s="119">
        <v>373.61</v>
      </c>
      <c r="AD222" s="153">
        <v>659.45566753936066</v>
      </c>
      <c r="AE222" s="119">
        <v>1030.9458070932535</v>
      </c>
      <c r="AF222" s="119">
        <v>876.72010020856396</v>
      </c>
      <c r="AG222" s="128">
        <v>625.75105942208302</v>
      </c>
      <c r="AH222" s="128">
        <v>743.68764819071748</v>
      </c>
      <c r="AI222" s="128">
        <v>758.41601974950856</v>
      </c>
      <c r="AJ222" s="128">
        <v>750.88675317722493</v>
      </c>
      <c r="AK222" s="128">
        <v>754.03845656379553</v>
      </c>
      <c r="AL222" s="128">
        <v>761.70947324942199</v>
      </c>
      <c r="AM222" s="128">
        <v>763.4891616113066</v>
      </c>
      <c r="AN222" s="128">
        <v>763.45283253745663</v>
      </c>
      <c r="AO222" s="128">
        <v>763.54980898796168</v>
      </c>
      <c r="AP222" s="128">
        <v>763.95535067164042</v>
      </c>
      <c r="AQ222" s="128">
        <v>764.32110513166754</v>
      </c>
      <c r="AR222" s="128">
        <v>765.23794942243887</v>
      </c>
      <c r="AS222" s="128">
        <v>766.08393231190644</v>
      </c>
      <c r="AT222" s="128">
        <v>766.99121881261692</v>
      </c>
      <c r="AU222" s="128">
        <v>767.19475064419692</v>
      </c>
      <c r="AV222" s="128">
        <v>767.27942496914932</v>
      </c>
      <c r="AW222" s="128">
        <v>767.38226202115914</v>
      </c>
      <c r="AX222" s="128">
        <v>764.5970290854649</v>
      </c>
      <c r="AY222" s="128">
        <v>762.32957451287803</v>
      </c>
      <c r="AZ222" s="128">
        <v>762.32957451287803</v>
      </c>
      <c r="BA222" s="128">
        <v>762.32957451287803</v>
      </c>
      <c r="BB222" s="128">
        <v>762.32957451287803</v>
      </c>
      <c r="BC222" s="128">
        <f t="shared" si="91"/>
        <v>762.32957451287803</v>
      </c>
      <c r="BD222" s="128">
        <f t="shared" si="91"/>
        <v>762.32957451287803</v>
      </c>
      <c r="BE222" s="128">
        <f t="shared" si="91"/>
        <v>762.32957451287803</v>
      </c>
      <c r="BF222" s="128">
        <f t="shared" si="91"/>
        <v>762.32957451287803</v>
      </c>
      <c r="BG222" s="128">
        <f t="shared" si="91"/>
        <v>762.32957451287803</v>
      </c>
    </row>
    <row r="223" spans="1:59" ht="13.75" customHeight="1">
      <c r="A223" s="171" t="s">
        <v>166</v>
      </c>
      <c r="B223" s="165" t="s">
        <v>313</v>
      </c>
      <c r="C223" s="165"/>
      <c r="D223" s="165" t="s">
        <v>168</v>
      </c>
      <c r="E223" s="167"/>
      <c r="F223" s="168" t="s">
        <v>353</v>
      </c>
      <c r="G223" s="168" t="s">
        <v>4</v>
      </c>
      <c r="H223" s="168"/>
      <c r="I223" s="168"/>
      <c r="X223" s="120"/>
      <c r="Y223" s="120"/>
      <c r="Z223" s="120"/>
      <c r="AA223" s="120"/>
      <c r="AB223" s="128">
        <v>46000</v>
      </c>
      <c r="AC223" s="128">
        <v>48300</v>
      </c>
      <c r="AD223" s="128">
        <v>50700</v>
      </c>
      <c r="AE223" s="128">
        <v>52250</v>
      </c>
      <c r="AF223" s="128">
        <v>53850</v>
      </c>
      <c r="AG223" s="128">
        <v>55500</v>
      </c>
      <c r="AH223" s="129">
        <v>57200</v>
      </c>
      <c r="AI223" s="129">
        <v>58950</v>
      </c>
      <c r="AJ223" s="129">
        <f t="shared" ref="AJ223:AY224" si="92">AI223*(1+AJ$3)</f>
        <v>61308</v>
      </c>
      <c r="AK223" s="129">
        <f t="shared" si="92"/>
        <v>63760.32</v>
      </c>
      <c r="AL223" s="129">
        <f t="shared" si="92"/>
        <v>66310.732799999998</v>
      </c>
      <c r="AM223" s="129">
        <f t="shared" si="92"/>
        <v>68963.162112000005</v>
      </c>
      <c r="AN223" s="129">
        <f t="shared" si="92"/>
        <v>71721.688596480002</v>
      </c>
      <c r="AO223" s="129">
        <f t="shared" si="92"/>
        <v>74590.556140339206</v>
      </c>
      <c r="AP223" s="129">
        <f t="shared" si="92"/>
        <v>77574.178385952779</v>
      </c>
      <c r="AQ223" s="129">
        <f t="shared" si="92"/>
        <v>80677.145521390892</v>
      </c>
      <c r="AR223" s="129">
        <f t="shared" si="92"/>
        <v>83904.231342246538</v>
      </c>
      <c r="AS223" s="129">
        <f t="shared" si="92"/>
        <v>87260.4005959364</v>
      </c>
      <c r="AT223" s="129">
        <f t="shared" si="92"/>
        <v>90750.816619773861</v>
      </c>
      <c r="AU223" s="129">
        <f t="shared" si="92"/>
        <v>94380.849284564814</v>
      </c>
      <c r="AV223" s="129">
        <f t="shared" si="92"/>
        <v>98156.083255947407</v>
      </c>
      <c r="AW223" s="129">
        <f t="shared" si="92"/>
        <v>102082.32658618531</v>
      </c>
      <c r="AX223" s="129">
        <f t="shared" si="92"/>
        <v>106165.61964963273</v>
      </c>
      <c r="AY223" s="129">
        <f t="shared" si="92"/>
        <v>110412.24443561805</v>
      </c>
      <c r="AZ223" s="129">
        <f t="shared" ref="AZ223:BG224" si="93">AY223*(1+AZ$3)</f>
        <v>114828.73421304277</v>
      </c>
      <c r="BA223" s="129">
        <f t="shared" si="93"/>
        <v>119421.88358156449</v>
      </c>
      <c r="BB223" s="129">
        <f t="shared" si="93"/>
        <v>124198.75892482707</v>
      </c>
      <c r="BC223" s="129">
        <f t="shared" si="93"/>
        <v>129166.70928182015</v>
      </c>
      <c r="BD223" s="129">
        <f t="shared" si="93"/>
        <v>134333.37765309296</v>
      </c>
      <c r="BE223" s="129">
        <f t="shared" si="93"/>
        <v>139706.71275921669</v>
      </c>
      <c r="BF223" s="129">
        <f t="shared" si="93"/>
        <v>145294.98126958538</v>
      </c>
      <c r="BG223" s="129">
        <f t="shared" si="93"/>
        <v>151106.7805203688</v>
      </c>
    </row>
    <row r="224" spans="1:59" ht="13.75" customHeight="1">
      <c r="A224" s="171" t="s">
        <v>166</v>
      </c>
      <c r="B224" s="165" t="s">
        <v>313</v>
      </c>
      <c r="C224" s="165"/>
      <c r="D224" s="165" t="s">
        <v>168</v>
      </c>
      <c r="E224" s="167"/>
      <c r="F224" s="168" t="s">
        <v>354</v>
      </c>
      <c r="G224" s="168" t="s">
        <v>4</v>
      </c>
      <c r="H224" s="168"/>
      <c r="I224" s="168"/>
      <c r="X224" s="120"/>
      <c r="Y224" s="120"/>
      <c r="Z224" s="120"/>
      <c r="AA224" s="120"/>
      <c r="AB224" s="128">
        <v>51000</v>
      </c>
      <c r="AC224" s="128">
        <v>53600</v>
      </c>
      <c r="AD224" s="128">
        <v>53633.333333333328</v>
      </c>
      <c r="AE224" s="128">
        <v>55200</v>
      </c>
      <c r="AF224" s="128">
        <v>56900</v>
      </c>
      <c r="AG224" s="128">
        <v>58650</v>
      </c>
      <c r="AH224" s="129">
        <v>60450</v>
      </c>
      <c r="AI224" s="129">
        <v>67300</v>
      </c>
      <c r="AJ224" s="129">
        <f t="shared" si="92"/>
        <v>69992</v>
      </c>
      <c r="AK224" s="129">
        <f t="shared" si="92"/>
        <v>72791.680000000008</v>
      </c>
      <c r="AL224" s="129">
        <f t="shared" si="92"/>
        <v>75703.347200000004</v>
      </c>
      <c r="AM224" s="129">
        <f t="shared" si="92"/>
        <v>78731.481088</v>
      </c>
      <c r="AN224" s="129">
        <f t="shared" si="92"/>
        <v>81880.740331520006</v>
      </c>
      <c r="AO224" s="129">
        <f t="shared" si="92"/>
        <v>85155.969944780809</v>
      </c>
      <c r="AP224" s="129">
        <f t="shared" si="92"/>
        <v>88562.208742572038</v>
      </c>
      <c r="AQ224" s="129">
        <f t="shared" si="92"/>
        <v>92104.697092274917</v>
      </c>
      <c r="AR224" s="129">
        <f t="shared" si="92"/>
        <v>95788.884975965921</v>
      </c>
      <c r="AS224" s="129">
        <f t="shared" si="92"/>
        <v>99620.44037500456</v>
      </c>
      <c r="AT224" s="129">
        <f t="shared" si="92"/>
        <v>103605.25799000474</v>
      </c>
      <c r="AU224" s="129">
        <f t="shared" si="92"/>
        <v>107749.46830960494</v>
      </c>
      <c r="AV224" s="129">
        <f t="shared" si="92"/>
        <v>112059.44704198914</v>
      </c>
      <c r="AW224" s="129">
        <f t="shared" si="92"/>
        <v>116541.82492366871</v>
      </c>
      <c r="AX224" s="129">
        <f t="shared" si="92"/>
        <v>121203.49792061547</v>
      </c>
      <c r="AY224" s="129">
        <f t="shared" si="92"/>
        <v>126051.6378374401</v>
      </c>
      <c r="AZ224" s="129">
        <f t="shared" si="93"/>
        <v>131093.70335093769</v>
      </c>
      <c r="BA224" s="129">
        <f t="shared" si="93"/>
        <v>136337.4514849752</v>
      </c>
      <c r="BB224" s="129">
        <f t="shared" si="93"/>
        <v>141790.94954437422</v>
      </c>
      <c r="BC224" s="129">
        <f t="shared" si="93"/>
        <v>147462.5875261492</v>
      </c>
      <c r="BD224" s="129">
        <f t="shared" si="93"/>
        <v>153361.09102719519</v>
      </c>
      <c r="BE224" s="129">
        <f t="shared" si="93"/>
        <v>159495.53466828301</v>
      </c>
      <c r="BF224" s="129">
        <f t="shared" si="93"/>
        <v>165875.35605501433</v>
      </c>
      <c r="BG224" s="129">
        <f t="shared" si="93"/>
        <v>172510.37029721492</v>
      </c>
    </row>
    <row r="225" spans="1:59" ht="13.75" customHeight="1" outlineLevel="1">
      <c r="A225" s="171" t="s">
        <v>166</v>
      </c>
      <c r="B225" s="165" t="s">
        <v>313</v>
      </c>
      <c r="C225" s="165"/>
      <c r="D225" s="165" t="s">
        <v>168</v>
      </c>
      <c r="E225" s="167"/>
      <c r="F225" s="168" t="s">
        <v>355</v>
      </c>
      <c r="G225" s="168" t="s">
        <v>315</v>
      </c>
      <c r="H225" s="168"/>
      <c r="I225" s="168"/>
      <c r="X225" s="120"/>
      <c r="Y225" s="115">
        <v>40.083784860557756</v>
      </c>
      <c r="Z225" s="115">
        <v>51.832560000000015</v>
      </c>
      <c r="AA225" s="115">
        <v>68.78443775100402</v>
      </c>
      <c r="AB225" s="116">
        <v>62.026159999999997</v>
      </c>
      <c r="AC225" s="116">
        <v>40.58442231075697</v>
      </c>
      <c r="AD225" s="116">
        <v>67.85027307188335</v>
      </c>
      <c r="AE225" s="116">
        <v>73.380576923076916</v>
      </c>
      <c r="AF225" s="112">
        <v>62.045672380531975</v>
      </c>
      <c r="AG225" s="115">
        <v>43.797992226973008</v>
      </c>
      <c r="AH225" s="115">
        <v>61.789592983341599</v>
      </c>
      <c r="AI225" s="115">
        <v>65.424471218867211</v>
      </c>
      <c r="AJ225" s="115">
        <v>67.553333069804552</v>
      </c>
      <c r="AK225" s="115">
        <v>67.447629386299596</v>
      </c>
      <c r="AL225" s="115">
        <v>67.339808973964296</v>
      </c>
      <c r="AM225" s="115">
        <v>67.229829434285776</v>
      </c>
      <c r="AN225" s="115">
        <v>67.117647519241345</v>
      </c>
      <c r="AO225" s="115">
        <v>67.003219114271147</v>
      </c>
      <c r="AP225" s="115">
        <v>66.88649922090957</v>
      </c>
      <c r="AQ225" s="115">
        <v>66.767441939068149</v>
      </c>
      <c r="AR225" s="115">
        <v>66.646000448963335</v>
      </c>
      <c r="AS225" s="115">
        <v>66.522126992681805</v>
      </c>
      <c r="AT225" s="115">
        <v>66.395772855376137</v>
      </c>
      <c r="AU225" s="115">
        <v>66.26688834608332</v>
      </c>
      <c r="AV225" s="115">
        <v>66.135422778158699</v>
      </c>
      <c r="AW225" s="115">
        <v>66.001324449317437</v>
      </c>
      <c r="AX225" s="115">
        <v>65.864540621275864</v>
      </c>
      <c r="AY225" s="115">
        <v>65.725017498984386</v>
      </c>
      <c r="AZ225" s="115">
        <v>65.58270020944407</v>
      </c>
      <c r="BA225" s="115">
        <v>65.437532780098266</v>
      </c>
      <c r="BB225" s="115">
        <v>65.289458116790996</v>
      </c>
      <c r="BC225" s="115">
        <f t="shared" ref="BC225:BG238" si="94">BB225*(1+((BB225-BA225)/BA225))</f>
        <v>65.141718522747226</v>
      </c>
      <c r="BD225" s="115">
        <f t="shared" si="94"/>
        <v>64.994313239758839</v>
      </c>
      <c r="BE225" s="115">
        <f t="shared" si="94"/>
        <v>64.847241511333422</v>
      </c>
      <c r="BF225" s="115">
        <f t="shared" si="94"/>
        <v>64.70050258269039</v>
      </c>
      <c r="BG225" s="115">
        <f t="shared" si="94"/>
        <v>64.554095700757102</v>
      </c>
    </row>
    <row r="226" spans="1:59" ht="13.75" customHeight="1" outlineLevel="1">
      <c r="A226" s="171" t="s">
        <v>166</v>
      </c>
      <c r="B226" s="165" t="s">
        <v>313</v>
      </c>
      <c r="C226" s="165"/>
      <c r="D226" s="165" t="s">
        <v>168</v>
      </c>
      <c r="E226" s="167"/>
      <c r="F226" s="168" t="s">
        <v>356</v>
      </c>
      <c r="G226" s="168" t="s">
        <v>315</v>
      </c>
      <c r="H226" s="168"/>
      <c r="I226" s="168"/>
      <c r="X226" s="120"/>
      <c r="Y226" s="115">
        <v>45.58</v>
      </c>
      <c r="Z226" s="115">
        <v>52.127791164658653</v>
      </c>
      <c r="AA226" s="115">
        <v>68.810341365461866</v>
      </c>
      <c r="AB226" s="116">
        <v>62.32820000000001</v>
      </c>
      <c r="AC226" s="116">
        <v>40.703904382470149</v>
      </c>
      <c r="AD226" s="116">
        <v>67.911453785434986</v>
      </c>
      <c r="AE226" s="116">
        <v>74.751153846153827</v>
      </c>
      <c r="AF226" s="112">
        <v>62.396846486932965</v>
      </c>
      <c r="AG226" s="115">
        <v>45.31892997287482</v>
      </c>
      <c r="AH226" s="115">
        <v>62.886870804262031</v>
      </c>
      <c r="AI226" s="115">
        <v>67.548508175889623</v>
      </c>
      <c r="AJ226" s="115">
        <v>68.810676018162184</v>
      </c>
      <c r="AK226" s="115">
        <v>68.681760636176165</v>
      </c>
      <c r="AL226" s="115">
        <v>68.550261636229934</v>
      </c>
      <c r="AM226" s="115">
        <v>68.416127218091731</v>
      </c>
      <c r="AN226" s="115">
        <v>68.27930454244607</v>
      </c>
      <c r="AO226" s="115">
        <v>68.139739710037787</v>
      </c>
      <c r="AP226" s="115">
        <v>67.997377740397368</v>
      </c>
      <c r="AQ226" s="115">
        <v>67.852162550138914</v>
      </c>
      <c r="AR226" s="115">
        <v>67.704036930822156</v>
      </c>
      <c r="AS226" s="115">
        <v>67.552942526369819</v>
      </c>
      <c r="AT226" s="115">
        <v>67.398819810031441</v>
      </c>
      <c r="AU226" s="115">
        <v>67.24160806088419</v>
      </c>
      <c r="AV226" s="115">
        <v>67.081245339862107</v>
      </c>
      <c r="AW226" s="115">
        <v>66.917668465303336</v>
      </c>
      <c r="AX226" s="115">
        <v>66.750812988006359</v>
      </c>
      <c r="AY226" s="115">
        <v>66.580613165785351</v>
      </c>
      <c r="AZ226" s="115">
        <v>66.407001937513854</v>
      </c>
      <c r="BA226" s="115">
        <v>66.229910896647581</v>
      </c>
      <c r="BB226" s="115">
        <v>66.049270264214897</v>
      </c>
      <c r="BC226" s="115">
        <f t="shared" si="94"/>
        <v>65.869122325153583</v>
      </c>
      <c r="BD226" s="115">
        <f t="shared" si="94"/>
        <v>65.689465735653258</v>
      </c>
      <c r="BE226" s="115">
        <f t="shared" si="94"/>
        <v>65.510299155568745</v>
      </c>
      <c r="BF226" s="115">
        <f t="shared" si="94"/>
        <v>65.331621248410087</v>
      </c>
      <c r="BG226" s="115">
        <f t="shared" si="94"/>
        <v>65.15343068133258</v>
      </c>
    </row>
    <row r="227" spans="1:59" ht="13.75" customHeight="1" outlineLevel="1">
      <c r="A227" s="171" t="s">
        <v>166</v>
      </c>
      <c r="B227" s="165" t="s">
        <v>313</v>
      </c>
      <c r="C227" s="165"/>
      <c r="D227" s="165" t="s">
        <v>168</v>
      </c>
      <c r="E227" s="167"/>
      <c r="F227" s="168" t="s">
        <v>357</v>
      </c>
      <c r="G227" s="168" t="s">
        <v>315</v>
      </c>
      <c r="H227" s="168"/>
      <c r="I227" s="168"/>
      <c r="X227" s="120"/>
      <c r="Y227" s="115">
        <v>41.57865384615387</v>
      </c>
      <c r="Z227" s="115">
        <v>53.094186046511595</v>
      </c>
      <c r="AA227" s="115">
        <v>69.304115384615358</v>
      </c>
      <c r="AB227" s="116">
        <v>63.209961685823792</v>
      </c>
      <c r="AC227" s="116">
        <v>42.679501915708805</v>
      </c>
      <c r="AD227" s="116">
        <v>69.393076923076919</v>
      </c>
      <c r="AE227" s="116">
        <v>95.533703703703722</v>
      </c>
      <c r="AF227" s="112">
        <v>82.669726588208491</v>
      </c>
      <c r="AG227" s="115">
        <v>60.713289807617713</v>
      </c>
      <c r="AH227" s="115">
        <v>76.263070382396947</v>
      </c>
      <c r="AI227" s="115">
        <v>79.556409635188345</v>
      </c>
      <c r="AJ227" s="115">
        <v>79.48528043763541</v>
      </c>
      <c r="AK227" s="115">
        <v>79.411066766694034</v>
      </c>
      <c r="AL227" s="115">
        <v>79.335363512013345</v>
      </c>
      <c r="AM227" s="115">
        <v>79.258140754045996</v>
      </c>
      <c r="AN227" s="115">
        <v>79.17936797177461</v>
      </c>
      <c r="AO227" s="115">
        <v>79.099014030608075</v>
      </c>
      <c r="AP227" s="115">
        <v>79.017047170034246</v>
      </c>
      <c r="AQ227" s="115">
        <v>78.933434991023717</v>
      </c>
      <c r="AR227" s="115">
        <v>78.848144443179834</v>
      </c>
      <c r="AS227" s="115">
        <v>78.761141811629841</v>
      </c>
      <c r="AT227" s="115">
        <v>78.672392703651838</v>
      </c>
      <c r="AU227" s="115">
        <v>78.581862035032188</v>
      </c>
      <c r="AV227" s="115">
        <v>78.489514016148263</v>
      </c>
      <c r="AW227" s="115">
        <v>78.395312137770375</v>
      </c>
      <c r="AX227" s="115">
        <v>78.299219156577948</v>
      </c>
      <c r="AY227" s="115">
        <v>78.201197080383537</v>
      </c>
      <c r="AZ227" s="115">
        <v>78.101207153059192</v>
      </c>
      <c r="BA227" s="115">
        <v>77.999209839159008</v>
      </c>
      <c r="BB227" s="115">
        <v>77.895164808231726</v>
      </c>
      <c r="BC227" s="115">
        <f t="shared" si="94"/>
        <v>77.791258565485549</v>
      </c>
      <c r="BD227" s="115">
        <f t="shared" si="94"/>
        <v>77.687490925787557</v>
      </c>
      <c r="BE227" s="115">
        <f t="shared" si="94"/>
        <v>77.583861704251802</v>
      </c>
      <c r="BF227" s="115">
        <f t="shared" si="94"/>
        <v>77.480370716238951</v>
      </c>
      <c r="BG227" s="115">
        <f t="shared" si="94"/>
        <v>77.37701777735596</v>
      </c>
    </row>
    <row r="228" spans="1:59" ht="13.75" customHeight="1" outlineLevel="1">
      <c r="A228" s="171" t="s">
        <v>166</v>
      </c>
      <c r="B228" s="165" t="s">
        <v>313</v>
      </c>
      <c r="C228" s="165"/>
      <c r="D228" s="165" t="s">
        <v>168</v>
      </c>
      <c r="E228" s="167"/>
      <c r="F228" s="168" t="s">
        <v>358</v>
      </c>
      <c r="G228" s="168" t="s">
        <v>315</v>
      </c>
      <c r="H228" s="168"/>
      <c r="I228" s="168"/>
      <c r="X228" s="120"/>
      <c r="Y228" s="115">
        <v>44.523065134099618</v>
      </c>
      <c r="Z228" s="115">
        <v>55.417490347490322</v>
      </c>
      <c r="AA228" s="115">
        <v>73.100540540540536</v>
      </c>
      <c r="AB228" s="116">
        <v>68.034750957854371</v>
      </c>
      <c r="AC228" s="116">
        <v>44.713256704980815</v>
      </c>
      <c r="AD228" s="116">
        <v>72</v>
      </c>
      <c r="AE228" s="116">
        <v>84.286153846153866</v>
      </c>
      <c r="AF228" s="112">
        <v>75.944948132313129</v>
      </c>
      <c r="AG228" s="115">
        <v>53.507850495681289</v>
      </c>
      <c r="AH228" s="115">
        <v>70.566480230710937</v>
      </c>
      <c r="AI228" s="115">
        <v>75.614769934833618</v>
      </c>
      <c r="AJ228" s="115">
        <v>77.281316138433525</v>
      </c>
      <c r="AK228" s="115">
        <v>77.220551145901936</v>
      </c>
      <c r="AL228" s="115">
        <v>77.158568198359475</v>
      </c>
      <c r="AM228" s="115">
        <v>77.095342872769649</v>
      </c>
      <c r="AN228" s="115">
        <v>77.03085025609569</v>
      </c>
      <c r="AO228" s="115">
        <v>76.965064935463374</v>
      </c>
      <c r="AP228" s="115">
        <v>76.897960988126442</v>
      </c>
      <c r="AQ228" s="115">
        <v>76.829511971230161</v>
      </c>
      <c r="AR228" s="115">
        <v>76.759690911369375</v>
      </c>
      <c r="AS228" s="115">
        <v>76.68847029393676</v>
      </c>
      <c r="AT228" s="115">
        <v>76.615822052257002</v>
      </c>
      <c r="AU228" s="115">
        <v>76.541717556502576</v>
      </c>
      <c r="AV228" s="115">
        <v>76.466127602387147</v>
      </c>
      <c r="AW228" s="115">
        <v>76.389022399631273</v>
      </c>
      <c r="AX228" s="115">
        <v>76.310371560196742</v>
      </c>
      <c r="AY228" s="115">
        <v>76.230144086284511</v>
      </c>
      <c r="AZ228" s="115">
        <v>76.148308358090972</v>
      </c>
      <c r="BA228" s="115">
        <v>76.064832121318915</v>
      </c>
      <c r="BB228" s="115">
        <v>75.979682474436856</v>
      </c>
      <c r="BC228" s="115">
        <f t="shared" si="94"/>
        <v>75.894628147062662</v>
      </c>
      <c r="BD228" s="115">
        <f t="shared" si="94"/>
        <v>75.809669032492323</v>
      </c>
      <c r="BE228" s="115">
        <f t="shared" si="94"/>
        <v>75.72480502414129</v>
      </c>
      <c r="BF228" s="115">
        <f t="shared" si="94"/>
        <v>75.640036015544311</v>
      </c>
      <c r="BG228" s="115">
        <f t="shared" si="94"/>
        <v>75.555361900355322</v>
      </c>
    </row>
    <row r="229" spans="1:59" ht="13.75" customHeight="1" outlineLevel="1">
      <c r="A229" s="171" t="s">
        <v>166</v>
      </c>
      <c r="B229" s="165" t="s">
        <v>313</v>
      </c>
      <c r="C229" s="165"/>
      <c r="D229" s="165" t="s">
        <v>168</v>
      </c>
      <c r="E229" s="167"/>
      <c r="F229" s="168" t="s">
        <v>359</v>
      </c>
      <c r="G229" s="168" t="s">
        <v>4</v>
      </c>
      <c r="H229" s="168"/>
      <c r="I229" s="168"/>
      <c r="X229" s="123"/>
      <c r="Y229" s="154">
        <v>66.066264424709516</v>
      </c>
      <c r="Z229" s="154">
        <v>78.173328874807623</v>
      </c>
      <c r="AA229" s="154">
        <v>74.587473658878537</v>
      </c>
      <c r="AB229" s="154">
        <v>22.874475716392624</v>
      </c>
      <c r="AC229" s="154">
        <v>31.878385123109183</v>
      </c>
      <c r="AD229" s="154">
        <v>80</v>
      </c>
      <c r="AE229" s="154">
        <v>40.392360979578598</v>
      </c>
      <c r="AF229" s="154">
        <v>-24.487558489046762</v>
      </c>
      <c r="AG229" s="119">
        <v>4.4683617223879164</v>
      </c>
      <c r="AH229" s="119">
        <v>40.956683490767674</v>
      </c>
      <c r="AI229" s="119">
        <v>50.221647709230304</v>
      </c>
      <c r="AJ229" s="119">
        <v>50.722706719563561</v>
      </c>
      <c r="AK229" s="119">
        <v>60.426920955771344</v>
      </c>
      <c r="AL229" s="119">
        <v>65.572787893701943</v>
      </c>
      <c r="AM229" s="119">
        <v>70.234100297755802</v>
      </c>
      <c r="AN229" s="119">
        <v>74.875909704839088</v>
      </c>
      <c r="AO229" s="119">
        <v>77.562828590930962</v>
      </c>
      <c r="AP229" s="119">
        <v>77.251943845199918</v>
      </c>
      <c r="AQ229" s="119">
        <v>77.373458023437124</v>
      </c>
      <c r="AR229" s="119">
        <v>78.354364825185172</v>
      </c>
      <c r="AS229" s="119">
        <v>79.977768551727323</v>
      </c>
      <c r="AT229" s="119">
        <v>81.719156525066069</v>
      </c>
      <c r="AU229" s="119">
        <v>83.476009939244094</v>
      </c>
      <c r="AV229" s="119">
        <v>85.305347885786304</v>
      </c>
      <c r="AW229" s="119">
        <v>87.486484362787905</v>
      </c>
      <c r="AX229" s="119">
        <v>90.116821076883298</v>
      </c>
      <c r="AY229" s="119">
        <v>92.055307354531564</v>
      </c>
      <c r="AZ229" s="119">
        <v>92.055307354531564</v>
      </c>
      <c r="BA229" s="119">
        <v>92.055307354531564</v>
      </c>
      <c r="BB229" s="119">
        <v>92.055307354531564</v>
      </c>
      <c r="BC229" s="119">
        <f t="shared" si="94"/>
        <v>92.055307354531564</v>
      </c>
      <c r="BD229" s="119">
        <f t="shared" si="94"/>
        <v>92.055307354531564</v>
      </c>
      <c r="BE229" s="119">
        <f t="shared" si="94"/>
        <v>92.055307354531564</v>
      </c>
      <c r="BF229" s="119">
        <f t="shared" si="94"/>
        <v>92.055307354531564</v>
      </c>
      <c r="BG229" s="119">
        <f t="shared" si="94"/>
        <v>92.055307354531564</v>
      </c>
    </row>
    <row r="230" spans="1:59" ht="13.75" customHeight="1" outlineLevel="1">
      <c r="A230" s="171" t="s">
        <v>166</v>
      </c>
      <c r="B230" s="165" t="s">
        <v>313</v>
      </c>
      <c r="C230" s="165"/>
      <c r="D230" s="165" t="s">
        <v>168</v>
      </c>
      <c r="E230" s="167"/>
      <c r="F230" s="168" t="s">
        <v>360</v>
      </c>
      <c r="G230" s="168" t="s">
        <v>4</v>
      </c>
      <c r="H230" s="168"/>
      <c r="I230" s="168"/>
      <c r="X230" s="120"/>
      <c r="Y230" s="119">
        <v>158.05321440155063</v>
      </c>
      <c r="Z230" s="119">
        <v>156.59510498059882</v>
      </c>
      <c r="AA230" s="119">
        <v>154.08592879810652</v>
      </c>
      <c r="AB230" s="119">
        <v>148.68765654723705</v>
      </c>
      <c r="AC230" s="119">
        <v>81.494055396696353</v>
      </c>
      <c r="AD230" s="119">
        <v>178</v>
      </c>
      <c r="AE230" s="119">
        <v>229.7903294218662</v>
      </c>
      <c r="AF230" s="119">
        <v>237.05745745537416</v>
      </c>
      <c r="AG230" s="119">
        <v>135.11700298434735</v>
      </c>
      <c r="AH230" s="119">
        <v>147.46489266172057</v>
      </c>
      <c r="AI230" s="119">
        <v>150.69742664750362</v>
      </c>
      <c r="AJ230" s="119">
        <v>148.86401964502335</v>
      </c>
      <c r="AK230" s="119">
        <v>156.40829998999229</v>
      </c>
      <c r="AL230" s="119">
        <v>163.4657794671954</v>
      </c>
      <c r="AM230" s="119">
        <v>165.97833119819359</v>
      </c>
      <c r="AN230" s="119">
        <v>165.98417984861558</v>
      </c>
      <c r="AO230" s="119">
        <v>165.77235121728927</v>
      </c>
      <c r="AP230" s="119">
        <v>165.85728189288713</v>
      </c>
      <c r="AQ230" s="119">
        <v>165.90876475055717</v>
      </c>
      <c r="AR230" s="119">
        <v>166.45978773562766</v>
      </c>
      <c r="AS230" s="119">
        <v>166.9161265031085</v>
      </c>
      <c r="AT230" s="119">
        <v>167.42162173906542</v>
      </c>
      <c r="AU230" s="119">
        <v>167.2749833149123</v>
      </c>
      <c r="AV230" s="119">
        <v>167.01200882080423</v>
      </c>
      <c r="AW230" s="119">
        <v>160.30637504446108</v>
      </c>
      <c r="AX230" s="119">
        <v>157.20890303577542</v>
      </c>
      <c r="AY230" s="119">
        <v>154.1191789174309</v>
      </c>
      <c r="AZ230" s="119">
        <v>154.1191789174309</v>
      </c>
      <c r="BA230" s="119">
        <v>154.1191789174309</v>
      </c>
      <c r="BB230" s="119">
        <v>154.1191789174309</v>
      </c>
      <c r="BC230" s="119">
        <f t="shared" si="94"/>
        <v>154.1191789174309</v>
      </c>
      <c r="BD230" s="119">
        <f t="shared" si="94"/>
        <v>154.1191789174309</v>
      </c>
      <c r="BE230" s="119">
        <f t="shared" si="94"/>
        <v>154.1191789174309</v>
      </c>
      <c r="BF230" s="119">
        <f t="shared" si="94"/>
        <v>154.1191789174309</v>
      </c>
      <c r="BG230" s="119">
        <f t="shared" si="94"/>
        <v>154.1191789174309</v>
      </c>
    </row>
    <row r="231" spans="1:59" ht="13.75" customHeight="1" outlineLevel="1">
      <c r="A231" s="171" t="s">
        <v>166</v>
      </c>
      <c r="B231" s="165" t="s">
        <v>313</v>
      </c>
      <c r="C231" s="165"/>
      <c r="D231" s="165" t="s">
        <v>168</v>
      </c>
      <c r="E231" s="167"/>
      <c r="F231" s="168" t="s">
        <v>361</v>
      </c>
      <c r="G231" s="168" t="s">
        <v>4</v>
      </c>
      <c r="H231" s="168"/>
      <c r="I231" s="168"/>
      <c r="X231" s="120"/>
      <c r="Y231" s="119">
        <v>94.578104694414208</v>
      </c>
      <c r="Z231" s="119">
        <v>103.27055542061731</v>
      </c>
      <c r="AA231" s="119">
        <v>129.95764917717992</v>
      </c>
      <c r="AB231" s="119">
        <v>129.89748443930381</v>
      </c>
      <c r="AC231" s="119">
        <v>67.832047507603193</v>
      </c>
      <c r="AD231" s="119">
        <v>60</v>
      </c>
      <c r="AE231" s="119">
        <v>458.23815615645935</v>
      </c>
      <c r="AF231" s="119">
        <v>231.31279191433708</v>
      </c>
      <c r="AG231" s="119">
        <v>106.02404488417888</v>
      </c>
      <c r="AH231" s="119">
        <v>97.889610303733278</v>
      </c>
      <c r="AI231" s="119">
        <v>86.43718377175091</v>
      </c>
      <c r="AJ231" s="119">
        <v>80.003376335163338</v>
      </c>
      <c r="AK231" s="119">
        <v>81.071339132630996</v>
      </c>
      <c r="AL231" s="119">
        <v>85.148005751087453</v>
      </c>
      <c r="AM231" s="119">
        <v>88.496774990783237</v>
      </c>
      <c r="AN231" s="119">
        <v>89.09184922754595</v>
      </c>
      <c r="AO231" s="119">
        <v>88.40835731223217</v>
      </c>
      <c r="AP231" s="119">
        <v>88.232532131158237</v>
      </c>
      <c r="AQ231" s="119">
        <v>88.342955891597896</v>
      </c>
      <c r="AR231" s="119">
        <v>88.939821975112508</v>
      </c>
      <c r="AS231" s="119">
        <v>89.600894059297289</v>
      </c>
      <c r="AT231" s="119">
        <v>90.378665221215911</v>
      </c>
      <c r="AU231" s="119">
        <v>91.220247260641841</v>
      </c>
      <c r="AV231" s="119">
        <v>92.094455939110972</v>
      </c>
      <c r="AW231" s="119">
        <v>93.176684321827253</v>
      </c>
      <c r="AX231" s="119">
        <v>94.504773405032765</v>
      </c>
      <c r="AY231" s="119">
        <v>95.368317159565649</v>
      </c>
      <c r="AZ231" s="119">
        <v>95.368317159565649</v>
      </c>
      <c r="BA231" s="119">
        <v>95.368317159565649</v>
      </c>
      <c r="BB231" s="119">
        <v>95.368317159565649</v>
      </c>
      <c r="BC231" s="119">
        <f t="shared" si="94"/>
        <v>95.368317159565649</v>
      </c>
      <c r="BD231" s="119">
        <f t="shared" si="94"/>
        <v>95.368317159565649</v>
      </c>
      <c r="BE231" s="119">
        <f t="shared" si="94"/>
        <v>95.368317159565649</v>
      </c>
      <c r="BF231" s="119">
        <f t="shared" si="94"/>
        <v>95.368317159565649</v>
      </c>
      <c r="BG231" s="119">
        <f t="shared" si="94"/>
        <v>95.368317159565649</v>
      </c>
    </row>
    <row r="232" spans="1:59" ht="13.75" customHeight="1" outlineLevel="1">
      <c r="A232" s="171" t="s">
        <v>166</v>
      </c>
      <c r="B232" s="165" t="s">
        <v>313</v>
      </c>
      <c r="C232" s="165"/>
      <c r="D232" s="165" t="s">
        <v>168</v>
      </c>
      <c r="E232" s="167"/>
      <c r="F232" s="168" t="s">
        <v>362</v>
      </c>
      <c r="G232" s="168" t="s">
        <v>4</v>
      </c>
      <c r="H232" s="168"/>
      <c r="I232" s="168"/>
      <c r="X232" s="120"/>
      <c r="Y232" s="119">
        <v>115.4990805432829</v>
      </c>
      <c r="Z232" s="119">
        <v>127.95373243157923</v>
      </c>
      <c r="AA232" s="119">
        <v>167.11797604220129</v>
      </c>
      <c r="AB232" s="119">
        <v>162.07244491361217</v>
      </c>
      <c r="AC232" s="119">
        <v>53.568322017407127</v>
      </c>
      <c r="AD232" s="119">
        <v>92</v>
      </c>
      <c r="AE232" s="119">
        <v>382.40767420874442</v>
      </c>
      <c r="AF232" s="119">
        <v>286.22984856710781</v>
      </c>
      <c r="AG232" s="119">
        <v>151.08903265343875</v>
      </c>
      <c r="AH232" s="119">
        <v>145.26009091227309</v>
      </c>
      <c r="AI232" s="119">
        <v>133.78743571111281</v>
      </c>
      <c r="AJ232" s="119">
        <v>120.88171722873217</v>
      </c>
      <c r="AK232" s="119">
        <v>114.48242245543912</v>
      </c>
      <c r="AL232" s="119">
        <v>121.8234267429814</v>
      </c>
      <c r="AM232" s="119">
        <v>126.09183405856808</v>
      </c>
      <c r="AN232" s="119">
        <v>126.05334237458293</v>
      </c>
      <c r="AO232" s="119">
        <v>124.94943788545578</v>
      </c>
      <c r="AP232" s="119">
        <v>124.59861410797188</v>
      </c>
      <c r="AQ232" s="119">
        <v>124.65625982313803</v>
      </c>
      <c r="AR232" s="119">
        <v>125.33743697897083</v>
      </c>
      <c r="AS232" s="119">
        <v>126.09925856717784</v>
      </c>
      <c r="AT232" s="119">
        <v>127.20385797200264</v>
      </c>
      <c r="AU232" s="119">
        <v>129.03254501640916</v>
      </c>
      <c r="AV232" s="119">
        <v>130.88973817805291</v>
      </c>
      <c r="AW232" s="119">
        <v>133.08076740933666</v>
      </c>
      <c r="AX232" s="119">
        <v>134.84827342956822</v>
      </c>
      <c r="AY232" s="119">
        <v>135.92897465333121</v>
      </c>
      <c r="AZ232" s="119">
        <v>135.92897465333121</v>
      </c>
      <c r="BA232" s="119">
        <v>135.92897465333121</v>
      </c>
      <c r="BB232" s="119">
        <v>135.92897465333121</v>
      </c>
      <c r="BC232" s="119">
        <f t="shared" si="94"/>
        <v>135.92897465333121</v>
      </c>
      <c r="BD232" s="119">
        <f t="shared" si="94"/>
        <v>135.92897465333121</v>
      </c>
      <c r="BE232" s="119">
        <f t="shared" si="94"/>
        <v>135.92897465333121</v>
      </c>
      <c r="BF232" s="119">
        <f t="shared" si="94"/>
        <v>135.92897465333121</v>
      </c>
      <c r="BG232" s="119">
        <f t="shared" si="94"/>
        <v>135.92897465333121</v>
      </c>
    </row>
    <row r="233" spans="1:59" ht="13.75" customHeight="1" outlineLevel="1">
      <c r="A233" s="171" t="s">
        <v>166</v>
      </c>
      <c r="B233" s="165" t="s">
        <v>313</v>
      </c>
      <c r="C233" s="165"/>
      <c r="D233" s="165" t="s">
        <v>168</v>
      </c>
      <c r="E233" s="167"/>
      <c r="F233" s="168" t="s">
        <v>363</v>
      </c>
      <c r="G233" s="168" t="s">
        <v>4</v>
      </c>
      <c r="H233" s="168"/>
      <c r="I233" s="168"/>
      <c r="X233" s="120"/>
      <c r="Y233" s="119">
        <v>-104.84079767542667</v>
      </c>
      <c r="Z233" s="119">
        <v>-101.80459385709253</v>
      </c>
      <c r="AA233" s="119">
        <v>-129.03935957957196</v>
      </c>
      <c r="AB233" s="119">
        <v>-150.08070138294329</v>
      </c>
      <c r="AC233" s="119">
        <v>-94.282045297964345</v>
      </c>
      <c r="AD233" s="119">
        <v>-121</v>
      </c>
      <c r="AE233" s="119">
        <v>-179.26103260970598</v>
      </c>
      <c r="AF233" s="119">
        <v>-165.39379024202947</v>
      </c>
      <c r="AG233" s="119">
        <v>-206.06990307539391</v>
      </c>
      <c r="AH233" s="119">
        <v>-198.20697718758925</v>
      </c>
      <c r="AI233" s="119">
        <v>-185.86321366995716</v>
      </c>
      <c r="AJ233" s="119">
        <v>-186.05143446324985</v>
      </c>
      <c r="AK233" s="119">
        <v>-172.42297760798294</v>
      </c>
      <c r="AL233" s="119">
        <v>-171.50842890006595</v>
      </c>
      <c r="AM233" s="119">
        <v>-173.16373476128663</v>
      </c>
      <c r="AN233" s="119">
        <v>-180.33614553260986</v>
      </c>
      <c r="AO233" s="119">
        <v>-189.54287863763247</v>
      </c>
      <c r="AP233" s="119">
        <v>-198.69004300061025</v>
      </c>
      <c r="AQ233" s="119">
        <v>-207.35909798395053</v>
      </c>
      <c r="AR233" s="119">
        <v>-216.08384470343395</v>
      </c>
      <c r="AS233" s="119">
        <v>-225.68627633971971</v>
      </c>
      <c r="AT233" s="119">
        <v>-235.08820141622016</v>
      </c>
      <c r="AU233" s="119">
        <v>-245.12102311178378</v>
      </c>
      <c r="AV233" s="119">
        <v>-255.90595251286885</v>
      </c>
      <c r="AW233" s="119">
        <v>-266.47007701104565</v>
      </c>
      <c r="AX233" s="119">
        <v>-277.59330847821366</v>
      </c>
      <c r="AY233" s="119">
        <v>-289.63791451127469</v>
      </c>
      <c r="AZ233" s="119">
        <v>-289.63791451127469</v>
      </c>
      <c r="BA233" s="119">
        <v>-289.63791451127469</v>
      </c>
      <c r="BB233" s="119">
        <v>-289.63791451127469</v>
      </c>
      <c r="BC233" s="119">
        <f t="shared" si="94"/>
        <v>-289.63791451127469</v>
      </c>
      <c r="BD233" s="119">
        <f t="shared" si="94"/>
        <v>-289.63791451127469</v>
      </c>
      <c r="BE233" s="119">
        <f t="shared" si="94"/>
        <v>-289.63791451127469</v>
      </c>
      <c r="BF233" s="119">
        <f t="shared" si="94"/>
        <v>-289.63791451127469</v>
      </c>
      <c r="BG233" s="119">
        <f t="shared" si="94"/>
        <v>-289.63791451127469</v>
      </c>
    </row>
    <row r="234" spans="1:59" ht="13.75" customHeight="1" outlineLevel="1">
      <c r="A234" s="171" t="s">
        <v>166</v>
      </c>
      <c r="B234" s="165" t="s">
        <v>313</v>
      </c>
      <c r="C234" s="165"/>
      <c r="D234" s="165" t="s">
        <v>168</v>
      </c>
      <c r="E234" s="167"/>
      <c r="F234" s="168" t="s">
        <v>364</v>
      </c>
      <c r="G234" s="168" t="s">
        <v>4</v>
      </c>
      <c r="H234" s="168"/>
      <c r="I234" s="168"/>
      <c r="X234" s="120"/>
      <c r="Y234" s="119">
        <v>23.259885104099283</v>
      </c>
      <c r="Z234" s="119">
        <v>74.402620335918186</v>
      </c>
      <c r="AA234" s="119">
        <v>72.721178324788696</v>
      </c>
      <c r="AB234" s="119">
        <v>19.846490964691725</v>
      </c>
      <c r="AC234" s="119">
        <v>31.821277347617922</v>
      </c>
      <c r="AD234" s="109">
        <v>36</v>
      </c>
      <c r="AE234" s="119">
        <v>4.510495435626126</v>
      </c>
      <c r="AF234" s="119">
        <v>-10.509171398483431</v>
      </c>
      <c r="AG234" s="119">
        <v>4.3133617502916506</v>
      </c>
      <c r="AH234" s="119">
        <v>38.474341440711378</v>
      </c>
      <c r="AI234" s="119">
        <v>53.094905187684539</v>
      </c>
      <c r="AJ234" s="119">
        <v>66.869830041416577</v>
      </c>
      <c r="AK234" s="119">
        <v>85.228912077519283</v>
      </c>
      <c r="AL234" s="119">
        <v>91.1501730333231</v>
      </c>
      <c r="AM234" s="119">
        <v>96.614739385032564</v>
      </c>
      <c r="AN234" s="119">
        <v>102.08541447085575</v>
      </c>
      <c r="AO234" s="119">
        <v>105.61574332001989</v>
      </c>
      <c r="AP234" s="119">
        <v>106.16071062814433</v>
      </c>
      <c r="AQ234" s="119">
        <v>107.15361298540306</v>
      </c>
      <c r="AR234" s="119">
        <v>109.03344939429718</v>
      </c>
      <c r="AS234" s="119">
        <v>111.57397191560325</v>
      </c>
      <c r="AT234" s="119">
        <v>114.25071850693355</v>
      </c>
      <c r="AU234" s="119">
        <v>116.96106288631468</v>
      </c>
      <c r="AV234" s="119">
        <v>119.74015472133577</v>
      </c>
      <c r="AW234" s="119">
        <v>122.84743054715339</v>
      </c>
      <c r="AX234" s="119">
        <v>126.26381835032248</v>
      </c>
      <c r="AY234" s="119">
        <v>128.98612002903877</v>
      </c>
      <c r="AZ234" s="119">
        <v>128.98612002903877</v>
      </c>
      <c r="BA234" s="119">
        <v>128.98612002903877</v>
      </c>
      <c r="BB234" s="119">
        <v>128.98612002903877</v>
      </c>
      <c r="BC234" s="119">
        <f t="shared" si="94"/>
        <v>128.98612002903877</v>
      </c>
      <c r="BD234" s="119">
        <f t="shared" si="94"/>
        <v>128.98612002903877</v>
      </c>
      <c r="BE234" s="119">
        <f t="shared" si="94"/>
        <v>128.98612002903877</v>
      </c>
      <c r="BF234" s="119">
        <f t="shared" si="94"/>
        <v>128.98612002903877</v>
      </c>
      <c r="BG234" s="119">
        <f t="shared" si="94"/>
        <v>128.98612002903877</v>
      </c>
    </row>
    <row r="235" spans="1:59" ht="13.75" customHeight="1" outlineLevel="1">
      <c r="A235" s="171" t="s">
        <v>166</v>
      </c>
      <c r="B235" s="165" t="s">
        <v>313</v>
      </c>
      <c r="C235" s="165"/>
      <c r="D235" s="165" t="s">
        <v>168</v>
      </c>
      <c r="E235" s="167"/>
      <c r="F235" s="168" t="s">
        <v>365</v>
      </c>
      <c r="G235" s="168" t="s">
        <v>4</v>
      </c>
      <c r="H235" s="168"/>
      <c r="I235" s="168"/>
      <c r="X235" s="120"/>
      <c r="Y235" s="119">
        <v>121.46086549625613</v>
      </c>
      <c r="Z235" s="119">
        <v>156.87769785529809</v>
      </c>
      <c r="AA235" s="119">
        <v>146.24102506808373</v>
      </c>
      <c r="AB235" s="119">
        <v>128.3217783210136</v>
      </c>
      <c r="AC235" s="119">
        <v>74.606717960644744</v>
      </c>
      <c r="AD235" s="109">
        <v>155</v>
      </c>
      <c r="AE235" s="119">
        <v>222.97338261348318</v>
      </c>
      <c r="AF235" s="119">
        <v>225.29584986161649</v>
      </c>
      <c r="AG235" s="119">
        <v>151.02769787208172</v>
      </c>
      <c r="AH235" s="119">
        <v>154.86983524489136</v>
      </c>
      <c r="AI235" s="119">
        <v>158.50888662893857</v>
      </c>
      <c r="AJ235" s="119">
        <v>164.73008135869324</v>
      </c>
      <c r="AK235" s="119">
        <v>173.67808759337777</v>
      </c>
      <c r="AL235" s="119">
        <v>181.51154308829081</v>
      </c>
      <c r="AM235" s="119">
        <v>185.20789197595431</v>
      </c>
      <c r="AN235" s="119">
        <v>185.94689049629588</v>
      </c>
      <c r="AO235" s="119">
        <v>186.36131047274799</v>
      </c>
      <c r="AP235" s="119">
        <v>187.07227289525963</v>
      </c>
      <c r="AQ235" s="119">
        <v>187.75087523790117</v>
      </c>
      <c r="AR235" s="119">
        <v>188.95526698676377</v>
      </c>
      <c r="AS235" s="119">
        <v>190.0981506470892</v>
      </c>
      <c r="AT235" s="119">
        <v>191.3044516171571</v>
      </c>
      <c r="AU235" s="119">
        <v>191.85171977598912</v>
      </c>
      <c r="AV235" s="119">
        <v>192.29246499663662</v>
      </c>
      <c r="AW235" s="119">
        <v>181.81956718845493</v>
      </c>
      <c r="AX235" s="119">
        <v>179.41046410390257</v>
      </c>
      <c r="AY235" s="119">
        <v>176.76030411852068</v>
      </c>
      <c r="AZ235" s="119">
        <v>176.76030411852068</v>
      </c>
      <c r="BA235" s="119">
        <v>176.76030411852068</v>
      </c>
      <c r="BB235" s="119">
        <v>176.76030411852068</v>
      </c>
      <c r="BC235" s="119">
        <f t="shared" si="94"/>
        <v>176.76030411852068</v>
      </c>
      <c r="BD235" s="119">
        <f t="shared" si="94"/>
        <v>176.76030411852068</v>
      </c>
      <c r="BE235" s="119">
        <f t="shared" si="94"/>
        <v>176.76030411852068</v>
      </c>
      <c r="BF235" s="119">
        <f t="shared" si="94"/>
        <v>176.76030411852068</v>
      </c>
      <c r="BG235" s="119">
        <f t="shared" si="94"/>
        <v>176.76030411852068</v>
      </c>
    </row>
    <row r="236" spans="1:59" ht="13.75" customHeight="1" outlineLevel="1">
      <c r="A236" s="171" t="s">
        <v>166</v>
      </c>
      <c r="B236" s="165" t="s">
        <v>313</v>
      </c>
      <c r="C236" s="165"/>
      <c r="D236" s="165" t="s">
        <v>168</v>
      </c>
      <c r="E236" s="167"/>
      <c r="F236" s="168" t="s">
        <v>366</v>
      </c>
      <c r="G236" s="168" t="s">
        <v>4</v>
      </c>
      <c r="H236" s="168"/>
      <c r="I236" s="168"/>
      <c r="X236" s="120"/>
      <c r="Y236" s="119">
        <v>50.909551923952222</v>
      </c>
      <c r="Z236" s="119">
        <v>98.317996260015036</v>
      </c>
      <c r="AA236" s="119">
        <v>123.91083349720253</v>
      </c>
      <c r="AB236" s="119">
        <v>122.93844498768027</v>
      </c>
      <c r="AC236" s="119">
        <v>61.748005141481826</v>
      </c>
      <c r="AD236" s="109">
        <v>64</v>
      </c>
      <c r="AE236" s="119">
        <v>449.27623611434956</v>
      </c>
      <c r="AF236" s="119">
        <v>279.71658568207238</v>
      </c>
      <c r="AG236" s="119">
        <v>144.7160425248023</v>
      </c>
      <c r="AH236" s="119">
        <v>122.21614936386773</v>
      </c>
      <c r="AI236" s="119">
        <v>108.79654164599505</v>
      </c>
      <c r="AJ236" s="119">
        <v>102.23567197014923</v>
      </c>
      <c r="AK236" s="119">
        <v>102.00230580374436</v>
      </c>
      <c r="AL236" s="119">
        <v>108.33890861771572</v>
      </c>
      <c r="AM236" s="119">
        <v>113.67444096524993</v>
      </c>
      <c r="AN236" s="119">
        <v>115.26155728142548</v>
      </c>
      <c r="AO236" s="119">
        <v>115.14572188029696</v>
      </c>
      <c r="AP236" s="119">
        <v>115.73881809991501</v>
      </c>
      <c r="AQ236" s="119">
        <v>116.73858044925781</v>
      </c>
      <c r="AR236" s="119">
        <v>118.41740696311318</v>
      </c>
      <c r="AS236" s="119">
        <v>120.19455426344061</v>
      </c>
      <c r="AT236" s="119">
        <v>122.15337847531859</v>
      </c>
      <c r="AU236" s="119">
        <v>124.22857523626386</v>
      </c>
      <c r="AV236" s="119">
        <v>126.36855225356216</v>
      </c>
      <c r="AW236" s="119">
        <v>128.81279016052454</v>
      </c>
      <c r="AX236" s="119">
        <v>131.68470831299715</v>
      </c>
      <c r="AY236" s="119">
        <v>133.93773030754136</v>
      </c>
      <c r="AZ236" s="119">
        <v>133.93773030754136</v>
      </c>
      <c r="BA236" s="119">
        <v>133.93773030754136</v>
      </c>
      <c r="BB236" s="119">
        <v>133.93773030754136</v>
      </c>
      <c r="BC236" s="119">
        <f t="shared" si="94"/>
        <v>133.93773030754136</v>
      </c>
      <c r="BD236" s="119">
        <f t="shared" si="94"/>
        <v>133.93773030754136</v>
      </c>
      <c r="BE236" s="119">
        <f t="shared" si="94"/>
        <v>133.93773030754136</v>
      </c>
      <c r="BF236" s="119">
        <f t="shared" si="94"/>
        <v>133.93773030754136</v>
      </c>
      <c r="BG236" s="119">
        <f t="shared" si="94"/>
        <v>133.93773030754136</v>
      </c>
    </row>
    <row r="237" spans="1:59" ht="13.75" customHeight="1" outlineLevel="1">
      <c r="A237" s="171" t="s">
        <v>166</v>
      </c>
      <c r="B237" s="165" t="s">
        <v>313</v>
      </c>
      <c r="C237" s="165"/>
      <c r="D237" s="165" t="s">
        <v>168</v>
      </c>
      <c r="E237" s="167"/>
      <c r="F237" s="168" t="s">
        <v>367</v>
      </c>
      <c r="G237" s="168" t="s">
        <v>4</v>
      </c>
      <c r="H237" s="168"/>
      <c r="I237" s="168"/>
      <c r="X237" s="120"/>
      <c r="Y237" s="119">
        <v>76.194156203843534</v>
      </c>
      <c r="Z237" s="119">
        <v>131.22715003133419</v>
      </c>
      <c r="AA237" s="119">
        <v>171.96378700732402</v>
      </c>
      <c r="AB237" s="119">
        <v>166.6106656955082</v>
      </c>
      <c r="AC237" s="119">
        <v>62.793567183092364</v>
      </c>
      <c r="AD237" s="109">
        <v>61</v>
      </c>
      <c r="AE237" s="119">
        <v>328.42406840136198</v>
      </c>
      <c r="AF237" s="119">
        <v>235.09607883693434</v>
      </c>
      <c r="AG237" s="119">
        <v>129.88612908035884</v>
      </c>
      <c r="AH237" s="119">
        <v>127.77148635523108</v>
      </c>
      <c r="AI237" s="119">
        <v>113.81331453470034</v>
      </c>
      <c r="AJ237" s="119">
        <v>109.38848848047986</v>
      </c>
      <c r="AK237" s="119">
        <v>110.81353209124548</v>
      </c>
      <c r="AL237" s="119">
        <v>117.45078738061585</v>
      </c>
      <c r="AM237" s="119">
        <v>123.63867731757232</v>
      </c>
      <c r="AN237" s="119">
        <v>124.79029629665993</v>
      </c>
      <c r="AO237" s="119">
        <v>123.82109581977961</v>
      </c>
      <c r="AP237" s="119">
        <v>123.58400785560261</v>
      </c>
      <c r="AQ237" s="119">
        <v>123.78135404207271</v>
      </c>
      <c r="AR237" s="119">
        <v>124.70433404823659</v>
      </c>
      <c r="AS237" s="119">
        <v>125.84870571522545</v>
      </c>
      <c r="AT237" s="119">
        <v>127.11556675413551</v>
      </c>
      <c r="AU237" s="119">
        <v>128.33537804371997</v>
      </c>
      <c r="AV237" s="119">
        <v>129.60581916623158</v>
      </c>
      <c r="AW237" s="119">
        <v>131.17294358415711</v>
      </c>
      <c r="AX237" s="119">
        <v>133.18571769437082</v>
      </c>
      <c r="AY237" s="119">
        <v>134.51661489885763</v>
      </c>
      <c r="AZ237" s="119">
        <v>134.51661489885763</v>
      </c>
      <c r="BA237" s="119">
        <v>134.51661489885763</v>
      </c>
      <c r="BB237" s="119">
        <v>134.51661489885763</v>
      </c>
      <c r="BC237" s="119">
        <f t="shared" si="94"/>
        <v>134.51661489885763</v>
      </c>
      <c r="BD237" s="119">
        <f t="shared" si="94"/>
        <v>134.51661489885763</v>
      </c>
      <c r="BE237" s="119">
        <f t="shared" si="94"/>
        <v>134.51661489885763</v>
      </c>
      <c r="BF237" s="119">
        <f t="shared" si="94"/>
        <v>134.51661489885763</v>
      </c>
      <c r="BG237" s="119">
        <f t="shared" si="94"/>
        <v>134.51661489885763</v>
      </c>
    </row>
    <row r="238" spans="1:59" ht="13.75" customHeight="1" outlineLevel="1">
      <c r="A238" s="171" t="s">
        <v>166</v>
      </c>
      <c r="B238" s="165" t="s">
        <v>313</v>
      </c>
      <c r="C238" s="165"/>
      <c r="D238" s="165" t="s">
        <v>168</v>
      </c>
      <c r="E238" s="167"/>
      <c r="F238" s="168" t="s">
        <v>368</v>
      </c>
      <c r="G238" s="168" t="s">
        <v>4</v>
      </c>
      <c r="H238" s="168"/>
      <c r="I238" s="168"/>
      <c r="X238" s="120"/>
      <c r="Y238" s="119">
        <v>-131.36385956678546</v>
      </c>
      <c r="Z238" s="119">
        <v>-86.483441631584867</v>
      </c>
      <c r="AA238" s="119">
        <v>-112.81234384189838</v>
      </c>
      <c r="AB238" s="119">
        <v>-137.29519588519378</v>
      </c>
      <c r="AC238" s="119">
        <v>-83.332714718217858</v>
      </c>
      <c r="AD238" s="109">
        <v>-120</v>
      </c>
      <c r="AE238" s="119">
        <v>-200.3300722761997</v>
      </c>
      <c r="AF238" s="119">
        <v>-187.51505204903827</v>
      </c>
      <c r="AG238" s="119">
        <v>-226.76378200275639</v>
      </c>
      <c r="AH238" s="119">
        <v>-215.12042083955507</v>
      </c>
      <c r="AI238" s="119">
        <v>-203.88743616409886</v>
      </c>
      <c r="AJ238" s="119">
        <v>-189.67415252465744</v>
      </c>
      <c r="AK238" s="119">
        <v>-167.98252960158635</v>
      </c>
      <c r="AL238" s="119">
        <v>-166.48123723782558</v>
      </c>
      <c r="AM238" s="119">
        <v>-167.68984997663151</v>
      </c>
      <c r="AN238" s="119">
        <v>-174.8787927282111</v>
      </c>
      <c r="AO238" s="119">
        <v>-183.6145167229497</v>
      </c>
      <c r="AP238" s="119">
        <v>-192.23418477279498</v>
      </c>
      <c r="AQ238" s="119">
        <v>-200.39527182902282</v>
      </c>
      <c r="AR238" s="119">
        <v>-208.75255037037439</v>
      </c>
      <c r="AS238" s="119">
        <v>-218.12410824697739</v>
      </c>
      <c r="AT238" s="119">
        <v>-227.05167047538637</v>
      </c>
      <c r="AU238" s="119">
        <v>-236.46949805457857</v>
      </c>
      <c r="AV238" s="119">
        <v>-246.53988532068911</v>
      </c>
      <c r="AW238" s="119">
        <v>-256.47517375166399</v>
      </c>
      <c r="AX238" s="119">
        <v>-266.87658192107864</v>
      </c>
      <c r="AY238" s="119">
        <v>-278.21698393026259</v>
      </c>
      <c r="AZ238" s="119">
        <v>-278.21698393026259</v>
      </c>
      <c r="BA238" s="119">
        <v>-278.21698393026259</v>
      </c>
      <c r="BB238" s="119">
        <v>-278.21698393026259</v>
      </c>
      <c r="BC238" s="119">
        <f t="shared" si="94"/>
        <v>-278.21698393026259</v>
      </c>
      <c r="BD238" s="119">
        <f t="shared" si="94"/>
        <v>-278.21698393026259</v>
      </c>
      <c r="BE238" s="119">
        <f t="shared" si="94"/>
        <v>-278.21698393026259</v>
      </c>
      <c r="BF238" s="119">
        <f t="shared" si="94"/>
        <v>-278.21698393026259</v>
      </c>
      <c r="BG238" s="119">
        <f t="shared" si="94"/>
        <v>-278.21698393026259</v>
      </c>
    </row>
    <row r="239" spans="1:59" ht="13.75" customHeight="1" outlineLevel="1">
      <c r="A239" s="171"/>
      <c r="B239" s="165"/>
      <c r="C239" s="165"/>
      <c r="D239" s="165"/>
      <c r="E239" s="167"/>
      <c r="F239" s="168"/>
      <c r="G239" s="168"/>
      <c r="H239" s="168"/>
      <c r="I239" s="168"/>
      <c r="X239" s="120"/>
      <c r="Y239" s="120"/>
      <c r="Z239" s="120"/>
    </row>
    <row r="240" spans="1:59" ht="13.75" customHeight="1" outlineLevel="1">
      <c r="A240" s="171"/>
      <c r="B240" s="165"/>
      <c r="C240" s="165"/>
      <c r="D240" s="165"/>
      <c r="E240" s="167"/>
      <c r="F240" s="168"/>
      <c r="G240" s="168"/>
      <c r="H240" s="168"/>
      <c r="I240" s="168"/>
      <c r="X240" s="120"/>
      <c r="Y240" s="120"/>
      <c r="Z240" s="120"/>
    </row>
    <row r="241" spans="1:59" ht="13.75" customHeight="1" outlineLevel="1">
      <c r="A241" s="171"/>
      <c r="B241" s="165"/>
      <c r="C241" s="165"/>
      <c r="D241" s="165"/>
      <c r="E241" s="167"/>
      <c r="F241" s="168"/>
      <c r="G241" s="168"/>
      <c r="H241" s="168"/>
      <c r="I241" s="168"/>
      <c r="X241" s="120"/>
      <c r="Y241" s="120"/>
      <c r="Z241" s="120"/>
      <c r="AA241" s="120"/>
    </row>
    <row r="242" spans="1:59" ht="13.75" customHeight="1">
      <c r="A242" s="171" t="s">
        <v>166</v>
      </c>
      <c r="B242" s="165" t="s">
        <v>369</v>
      </c>
      <c r="C242" s="165"/>
      <c r="D242" s="165" t="s">
        <v>370</v>
      </c>
      <c r="E242" s="167"/>
      <c r="F242" s="168" t="s">
        <v>371</v>
      </c>
      <c r="G242" s="168" t="s">
        <v>3</v>
      </c>
      <c r="H242" s="168"/>
      <c r="I242" s="168"/>
      <c r="U242" s="107">
        <v>7.4999999999999997E-2</v>
      </c>
      <c r="V242" s="107">
        <v>0.15</v>
      </c>
      <c r="W242" s="107">
        <v>7.5999999999999998E-2</v>
      </c>
      <c r="X242" s="107">
        <v>3.5000000000000003E-2</v>
      </c>
      <c r="Y242" s="107">
        <v>3.6144578313252795E-2</v>
      </c>
      <c r="Z242" s="107">
        <v>1.9500000000000073E-2</v>
      </c>
      <c r="AA242" s="107">
        <v>3.6500000000000005E-2</v>
      </c>
      <c r="AB242" s="107">
        <v>0.03</v>
      </c>
      <c r="AC242" s="107">
        <v>0.03</v>
      </c>
      <c r="AD242" s="107">
        <v>0.03</v>
      </c>
      <c r="AE242" s="107">
        <v>6.3E-2</v>
      </c>
      <c r="AF242" s="107">
        <v>0.10299999999999999</v>
      </c>
      <c r="AG242" s="107">
        <v>4.0000000000000036E-2</v>
      </c>
      <c r="AH242" s="107">
        <v>8.0000000000000293E-2</v>
      </c>
      <c r="AI242" s="107">
        <v>5.9230769230769198E-2</v>
      </c>
      <c r="AJ242" s="107">
        <v>0.04</v>
      </c>
      <c r="AK242" s="107">
        <v>0.04</v>
      </c>
      <c r="AL242" s="107">
        <v>0.04</v>
      </c>
      <c r="AM242" s="107">
        <v>0.04</v>
      </c>
      <c r="AN242" s="107">
        <v>0.04</v>
      </c>
      <c r="AO242" s="107">
        <v>0.04</v>
      </c>
      <c r="AP242" s="107">
        <v>0.04</v>
      </c>
      <c r="AQ242" s="107">
        <v>0.04</v>
      </c>
      <c r="AR242" s="107">
        <v>0.04</v>
      </c>
      <c r="AS242" s="107">
        <v>0.04</v>
      </c>
      <c r="AT242" s="107">
        <v>0.04</v>
      </c>
      <c r="AU242" s="107">
        <v>0.04</v>
      </c>
      <c r="AV242" s="107">
        <v>0.04</v>
      </c>
      <c r="AW242" s="107">
        <v>0.04</v>
      </c>
      <c r="AX242" s="107">
        <v>0.04</v>
      </c>
      <c r="AY242" s="107">
        <v>0.04</v>
      </c>
      <c r="AZ242" s="107">
        <f>AY242</f>
        <v>0.04</v>
      </c>
      <c r="BA242" s="107">
        <f t="shared" ref="BA242:BG244" si="95">AZ242</f>
        <v>0.04</v>
      </c>
      <c r="BB242" s="107">
        <f t="shared" si="95"/>
        <v>0.04</v>
      </c>
      <c r="BC242" s="107">
        <f t="shared" si="95"/>
        <v>0.04</v>
      </c>
      <c r="BD242" s="107">
        <f t="shared" si="95"/>
        <v>0.04</v>
      </c>
      <c r="BE242" s="107">
        <f t="shared" si="95"/>
        <v>0.04</v>
      </c>
      <c r="BF242" s="107">
        <f t="shared" si="95"/>
        <v>0.04</v>
      </c>
      <c r="BG242" s="107">
        <f t="shared" si="95"/>
        <v>0.04</v>
      </c>
    </row>
    <row r="243" spans="1:59" ht="13.75" customHeight="1">
      <c r="A243" s="171" t="s">
        <v>166</v>
      </c>
      <c r="B243" s="165" t="s">
        <v>369</v>
      </c>
      <c r="C243" s="165"/>
      <c r="D243" s="166" t="s">
        <v>110</v>
      </c>
      <c r="E243" s="167"/>
      <c r="F243" s="168" t="s">
        <v>372</v>
      </c>
      <c r="G243" s="168" t="s">
        <v>3</v>
      </c>
      <c r="H243" s="168"/>
      <c r="I243" s="168" t="s">
        <v>336</v>
      </c>
      <c r="U243" s="107">
        <v>0.3</v>
      </c>
      <c r="V243" s="107">
        <v>0.3</v>
      </c>
      <c r="W243" s="107">
        <v>0.3</v>
      </c>
      <c r="X243" s="107">
        <v>0.3</v>
      </c>
      <c r="Y243" s="107">
        <v>0.3</v>
      </c>
      <c r="Z243" s="107">
        <v>0.3</v>
      </c>
      <c r="AA243" s="107">
        <v>0.3</v>
      </c>
      <c r="AB243" s="107">
        <v>0.3</v>
      </c>
      <c r="AC243" s="107">
        <v>0.3</v>
      </c>
      <c r="AD243" s="107">
        <v>0.3</v>
      </c>
      <c r="AE243" s="107">
        <v>0.3</v>
      </c>
      <c r="AF243" s="107">
        <v>0.3</v>
      </c>
      <c r="AG243" s="107">
        <v>0.3</v>
      </c>
      <c r="AH243" s="107">
        <v>0.3</v>
      </c>
      <c r="AI243" s="107">
        <v>0.3</v>
      </c>
      <c r="AJ243" s="107">
        <v>0.3</v>
      </c>
      <c r="AK243" s="107">
        <v>0.3</v>
      </c>
      <c r="AL243" s="107">
        <v>0.3</v>
      </c>
      <c r="AM243" s="107">
        <v>0.3</v>
      </c>
      <c r="AN243" s="107">
        <v>0.3</v>
      </c>
      <c r="AO243" s="107">
        <v>0.3</v>
      </c>
      <c r="AP243" s="107">
        <v>0.3</v>
      </c>
      <c r="AQ243" s="107">
        <v>0.3</v>
      </c>
      <c r="AR243" s="107">
        <v>0.3</v>
      </c>
      <c r="AS243" s="107">
        <v>0.3</v>
      </c>
      <c r="AT243" s="107">
        <v>0.3</v>
      </c>
      <c r="AU243" s="107">
        <v>0.3</v>
      </c>
      <c r="AV243" s="107">
        <v>0.3</v>
      </c>
      <c r="AW243" s="107">
        <v>0.3</v>
      </c>
      <c r="AX243" s="107">
        <v>0.3</v>
      </c>
      <c r="AY243" s="107">
        <v>0.3</v>
      </c>
      <c r="AZ243" s="107">
        <f t="shared" ref="AZ243:BB244" si="96">AY243</f>
        <v>0.3</v>
      </c>
      <c r="BA243" s="107">
        <f t="shared" si="96"/>
        <v>0.3</v>
      </c>
      <c r="BB243" s="107">
        <f t="shared" si="96"/>
        <v>0.3</v>
      </c>
      <c r="BC243" s="107">
        <f t="shared" si="95"/>
        <v>0.3</v>
      </c>
      <c r="BD243" s="107">
        <f t="shared" si="95"/>
        <v>0.3</v>
      </c>
      <c r="BE243" s="107">
        <f t="shared" si="95"/>
        <v>0.3</v>
      </c>
      <c r="BF243" s="107">
        <f t="shared" si="95"/>
        <v>0.3</v>
      </c>
      <c r="BG243" s="107">
        <f t="shared" si="95"/>
        <v>0.3</v>
      </c>
    </row>
    <row r="244" spans="1:59" ht="13.75" customHeight="1">
      <c r="A244" s="171" t="s">
        <v>166</v>
      </c>
      <c r="B244" s="165" t="s">
        <v>369</v>
      </c>
      <c r="C244" s="165"/>
      <c r="D244" s="166" t="s">
        <v>110</v>
      </c>
      <c r="E244" s="167"/>
      <c r="F244" s="168" t="s">
        <v>373</v>
      </c>
      <c r="G244" s="168" t="s">
        <v>3</v>
      </c>
      <c r="H244" s="168"/>
      <c r="I244" s="168" t="s">
        <v>336</v>
      </c>
      <c r="U244" s="107">
        <v>0</v>
      </c>
      <c r="V244" s="107">
        <v>0</v>
      </c>
      <c r="W244" s="107">
        <v>0</v>
      </c>
      <c r="X244" s="107">
        <v>0</v>
      </c>
      <c r="Y244" s="107">
        <v>0</v>
      </c>
      <c r="Z244" s="107">
        <v>0</v>
      </c>
      <c r="AA244" s="107">
        <v>0</v>
      </c>
      <c r="AB244" s="107">
        <v>0</v>
      </c>
      <c r="AC244" s="107">
        <v>0</v>
      </c>
      <c r="AD244" s="107">
        <v>0</v>
      </c>
      <c r="AE244" s="107">
        <v>0</v>
      </c>
      <c r="AF244" s="107">
        <v>0</v>
      </c>
      <c r="AG244" s="107">
        <v>0</v>
      </c>
      <c r="AH244" s="107">
        <v>0</v>
      </c>
      <c r="AI244" s="107">
        <v>0</v>
      </c>
      <c r="AJ244" s="107">
        <v>0</v>
      </c>
      <c r="AK244" s="107">
        <v>0</v>
      </c>
      <c r="AL244" s="107">
        <v>0</v>
      </c>
      <c r="AM244" s="107">
        <v>0</v>
      </c>
      <c r="AN244" s="107">
        <v>0</v>
      </c>
      <c r="AO244" s="107">
        <v>0</v>
      </c>
      <c r="AP244" s="107">
        <v>0</v>
      </c>
      <c r="AQ244" s="107">
        <v>0</v>
      </c>
      <c r="AR244" s="107">
        <v>0</v>
      </c>
      <c r="AS244" s="107">
        <v>0</v>
      </c>
      <c r="AT244" s="107">
        <v>0</v>
      </c>
      <c r="AU244" s="107">
        <v>0</v>
      </c>
      <c r="AV244" s="107">
        <v>0</v>
      </c>
      <c r="AW244" s="107">
        <v>0</v>
      </c>
      <c r="AX244" s="107">
        <v>0</v>
      </c>
      <c r="AY244" s="107">
        <v>0</v>
      </c>
      <c r="AZ244" s="107">
        <f t="shared" si="96"/>
        <v>0</v>
      </c>
      <c r="BA244" s="107">
        <f t="shared" si="96"/>
        <v>0</v>
      </c>
      <c r="BB244" s="107">
        <f t="shared" si="96"/>
        <v>0</v>
      </c>
      <c r="BC244" s="107">
        <f t="shared" si="95"/>
        <v>0</v>
      </c>
      <c r="BD244" s="107">
        <f t="shared" si="95"/>
        <v>0</v>
      </c>
      <c r="BE244" s="107">
        <f t="shared" si="95"/>
        <v>0</v>
      </c>
      <c r="BF244" s="107">
        <f t="shared" si="95"/>
        <v>0</v>
      </c>
      <c r="BG244" s="107">
        <f t="shared" si="95"/>
        <v>0</v>
      </c>
    </row>
    <row r="245" spans="1:59" ht="13.75" customHeight="1">
      <c r="A245" s="171" t="s">
        <v>166</v>
      </c>
      <c r="B245" s="165" t="s">
        <v>369</v>
      </c>
      <c r="C245" s="165"/>
      <c r="D245" s="165" t="s">
        <v>168</v>
      </c>
      <c r="E245" s="167"/>
      <c r="F245" s="168" t="s">
        <v>374</v>
      </c>
      <c r="G245" s="168" t="s">
        <v>375</v>
      </c>
      <c r="H245" s="168"/>
      <c r="I245" s="168"/>
      <c r="U245" s="112">
        <v>293.57369999999997</v>
      </c>
      <c r="V245" s="112">
        <v>329.61025999999998</v>
      </c>
      <c r="W245" s="112">
        <v>255.98383999999999</v>
      </c>
      <c r="X245" s="119">
        <v>232.14285714285714</v>
      </c>
      <c r="Y245" s="119">
        <v>167.85714285714286</v>
      </c>
      <c r="Z245" s="119">
        <v>207.14285714285714</v>
      </c>
      <c r="AA245" s="119">
        <v>289.28571428571428</v>
      </c>
      <c r="AB245" s="119">
        <v>160.71428571428572</v>
      </c>
      <c r="AC245" s="119">
        <v>178.57142857142856</v>
      </c>
      <c r="AD245" s="119">
        <v>571.38567646418721</v>
      </c>
      <c r="AE245" s="119">
        <f>35.71*AE247</f>
        <v>1155.2526252236389</v>
      </c>
      <c r="AF245" s="119">
        <f t="shared" ref="AF245:AF246" si="97">35.71*AF247</f>
        <v>465.72432973694322</v>
      </c>
      <c r="AG245" s="119">
        <f t="shared" ref="AG245:BB246" si="98">AG247*35.71</f>
        <v>250.31456151114912</v>
      </c>
      <c r="AH245" s="119">
        <f t="shared" si="98"/>
        <v>226.99900960604728</v>
      </c>
      <c r="AI245" s="119">
        <f t="shared" si="98"/>
        <v>214.93026208260969</v>
      </c>
      <c r="AJ245" s="119">
        <f t="shared" si="98"/>
        <v>209.62387084181779</v>
      </c>
      <c r="AK245" s="119">
        <f t="shared" si="98"/>
        <v>209.62387084181779</v>
      </c>
      <c r="AL245" s="119">
        <f t="shared" si="98"/>
        <v>209.62387084181779</v>
      </c>
      <c r="AM245" s="119">
        <f t="shared" si="98"/>
        <v>209.62387084181779</v>
      </c>
      <c r="AN245" s="119">
        <f t="shared" si="98"/>
        <v>209.62387084181779</v>
      </c>
      <c r="AO245" s="119">
        <f t="shared" si="98"/>
        <v>209.62387084181779</v>
      </c>
      <c r="AP245" s="119">
        <f t="shared" si="98"/>
        <v>209.62387084181779</v>
      </c>
      <c r="AQ245" s="119">
        <f t="shared" si="98"/>
        <v>209.62387084181779</v>
      </c>
      <c r="AR245" s="119">
        <f t="shared" si="98"/>
        <v>209.62387084181779</v>
      </c>
      <c r="AS245" s="119">
        <f t="shared" si="98"/>
        <v>209.62387084181779</v>
      </c>
      <c r="AT245" s="119">
        <f t="shared" si="98"/>
        <v>209.62387084181779</v>
      </c>
      <c r="AU245" s="119">
        <f t="shared" si="98"/>
        <v>209.62387084181779</v>
      </c>
      <c r="AV245" s="119">
        <f t="shared" si="98"/>
        <v>209.62387084181779</v>
      </c>
      <c r="AW245" s="119">
        <f t="shared" si="98"/>
        <v>209.62387084181779</v>
      </c>
      <c r="AX245" s="119">
        <f t="shared" si="98"/>
        <v>209.62387084181779</v>
      </c>
      <c r="AY245" s="119">
        <f t="shared" si="98"/>
        <v>209.62387084181779</v>
      </c>
      <c r="AZ245" s="119">
        <f t="shared" si="98"/>
        <v>209.62387084181779</v>
      </c>
      <c r="BA245" s="119">
        <f t="shared" si="98"/>
        <v>209.62387084181779</v>
      </c>
      <c r="BB245" s="119">
        <f t="shared" si="98"/>
        <v>209.62387084181779</v>
      </c>
      <c r="BC245" s="119">
        <f t="shared" ref="BC245:BG246" si="99">35.71*BC247</f>
        <v>209.62387084181779</v>
      </c>
      <c r="BD245" s="119">
        <f t="shared" si="99"/>
        <v>209.62387084181779</v>
      </c>
      <c r="BE245" s="119">
        <f t="shared" si="99"/>
        <v>209.62387084181779</v>
      </c>
      <c r="BF245" s="119">
        <f t="shared" si="99"/>
        <v>209.62387084181779</v>
      </c>
      <c r="BG245" s="119">
        <f t="shared" si="99"/>
        <v>209.62387084181779</v>
      </c>
    </row>
    <row r="246" spans="1:59" ht="13.75" customHeight="1">
      <c r="A246" s="171" t="s">
        <v>166</v>
      </c>
      <c r="B246" s="165" t="s">
        <v>369</v>
      </c>
      <c r="C246" s="165"/>
      <c r="D246" s="165" t="s">
        <v>168</v>
      </c>
      <c r="E246" s="167"/>
      <c r="F246" s="161" t="s">
        <v>376</v>
      </c>
      <c r="G246" s="168" t="s">
        <v>375</v>
      </c>
      <c r="H246" s="168"/>
      <c r="I246" s="168"/>
      <c r="U246" s="112">
        <v>487.40896763467515</v>
      </c>
      <c r="V246" s="112">
        <v>516.57839144259083</v>
      </c>
      <c r="W246" s="112">
        <v>431.50673999999998</v>
      </c>
      <c r="X246" s="119">
        <v>366.42857142857139</v>
      </c>
      <c r="Y246" s="119">
        <v>246.42857142857144</v>
      </c>
      <c r="Z246" s="119">
        <v>288.21428571428572</v>
      </c>
      <c r="AA246" s="119">
        <v>361.42857142857139</v>
      </c>
      <c r="AB246" s="119">
        <v>355</v>
      </c>
      <c r="AC246" s="119">
        <v>285.71428571428567</v>
      </c>
      <c r="AD246" s="119">
        <v>336.7064879663987</v>
      </c>
      <c r="AE246" s="119">
        <f>35.71*AE248</f>
        <v>538.20921666666663</v>
      </c>
      <c r="AF246" s="119">
        <f t="shared" si="97"/>
        <v>455.61012718242677</v>
      </c>
      <c r="AG246" s="119">
        <f t="shared" si="98"/>
        <v>359.74636522678441</v>
      </c>
      <c r="AH246" s="119">
        <f t="shared" si="98"/>
        <v>374.55002908319705</v>
      </c>
      <c r="AI246" s="119">
        <f t="shared" si="98"/>
        <v>403.86113797169776</v>
      </c>
      <c r="AJ246" s="119">
        <f t="shared" si="98"/>
        <v>407.70044212454803</v>
      </c>
      <c r="AK246" s="119">
        <f t="shared" si="98"/>
        <v>407.70044212454803</v>
      </c>
      <c r="AL246" s="119">
        <f t="shared" si="98"/>
        <v>407.70044212454803</v>
      </c>
      <c r="AM246" s="119">
        <f t="shared" si="98"/>
        <v>407.70044212454803</v>
      </c>
      <c r="AN246" s="119">
        <f t="shared" si="98"/>
        <v>407.70044212454803</v>
      </c>
      <c r="AO246" s="119">
        <f t="shared" si="98"/>
        <v>407.70044212454803</v>
      </c>
      <c r="AP246" s="119">
        <f t="shared" si="98"/>
        <v>407.70044212454803</v>
      </c>
      <c r="AQ246" s="119">
        <f t="shared" si="98"/>
        <v>407.70044212454803</v>
      </c>
      <c r="AR246" s="119">
        <f t="shared" si="98"/>
        <v>407.70044212454803</v>
      </c>
      <c r="AS246" s="119">
        <f t="shared" si="98"/>
        <v>407.70044212454803</v>
      </c>
      <c r="AT246" s="119">
        <f t="shared" si="98"/>
        <v>407.70044212454803</v>
      </c>
      <c r="AU246" s="119">
        <f t="shared" si="98"/>
        <v>407.70044212454803</v>
      </c>
      <c r="AV246" s="119">
        <f t="shared" si="98"/>
        <v>407.70044212454803</v>
      </c>
      <c r="AW246" s="119">
        <f t="shared" si="98"/>
        <v>407.70044212454803</v>
      </c>
      <c r="AX246" s="119">
        <f t="shared" si="98"/>
        <v>407.70044212454803</v>
      </c>
      <c r="AY246" s="119">
        <f t="shared" si="98"/>
        <v>407.70044212454803</v>
      </c>
      <c r="AZ246" s="119">
        <f t="shared" si="98"/>
        <v>407.70044212454803</v>
      </c>
      <c r="BA246" s="119">
        <f t="shared" si="98"/>
        <v>407.70044212454803</v>
      </c>
      <c r="BB246" s="119">
        <f t="shared" si="98"/>
        <v>407.70044212454803</v>
      </c>
      <c r="BC246" s="119">
        <f t="shared" si="99"/>
        <v>407.70044212454803</v>
      </c>
      <c r="BD246" s="119">
        <f t="shared" si="99"/>
        <v>407.70044212454803</v>
      </c>
      <c r="BE246" s="119">
        <f t="shared" si="99"/>
        <v>407.70044212454803</v>
      </c>
      <c r="BF246" s="119">
        <f t="shared" si="99"/>
        <v>407.70044212454803</v>
      </c>
      <c r="BG246" s="119">
        <f t="shared" si="99"/>
        <v>407.70044212454803</v>
      </c>
    </row>
    <row r="247" spans="1:59" ht="13.75" customHeight="1">
      <c r="A247" s="171" t="s">
        <v>166</v>
      </c>
      <c r="B247" s="165" t="s">
        <v>369</v>
      </c>
      <c r="C247" s="165"/>
      <c r="D247" s="165" t="s">
        <v>377</v>
      </c>
      <c r="E247" s="167"/>
      <c r="F247" s="168" t="s">
        <v>378</v>
      </c>
      <c r="G247" s="168" t="s">
        <v>379</v>
      </c>
      <c r="H247" s="168"/>
      <c r="I247" s="168" t="s">
        <v>380</v>
      </c>
      <c r="U247" s="112">
        <v>9.4499999999999993</v>
      </c>
      <c r="V247" s="112">
        <v>10.61</v>
      </c>
      <c r="W247" s="112">
        <v>8.24</v>
      </c>
      <c r="X247" s="112">
        <v>6.5</v>
      </c>
      <c r="Y247" s="112">
        <v>4.7</v>
      </c>
      <c r="Z247" s="112">
        <v>5.8</v>
      </c>
      <c r="AA247" s="112">
        <v>8.1</v>
      </c>
      <c r="AB247" s="112">
        <v>4.5</v>
      </c>
      <c r="AC247" s="112">
        <v>5</v>
      </c>
      <c r="AD247" s="112">
        <v>15.998798940997242</v>
      </c>
      <c r="AE247" s="112">
        <v>32.350955620936404</v>
      </c>
      <c r="AF247" s="112">
        <v>13.041846254184913</v>
      </c>
      <c r="AG247" s="112">
        <v>7.0096488801777967</v>
      </c>
      <c r="AH247" s="112">
        <v>6.3567350771785849</v>
      </c>
      <c r="AI247" s="112">
        <v>6.0187695906639505</v>
      </c>
      <c r="AJ247" s="112">
        <v>5.8701728043074146</v>
      </c>
      <c r="AK247" s="112">
        <v>5.8701728043074146</v>
      </c>
      <c r="AL247" s="112">
        <v>5.8701728043074146</v>
      </c>
      <c r="AM247" s="112">
        <v>5.8701728043074146</v>
      </c>
      <c r="AN247" s="112">
        <v>5.8701728043074146</v>
      </c>
      <c r="AO247" s="112">
        <v>5.8701728043074146</v>
      </c>
      <c r="AP247" s="112">
        <v>5.8701728043074146</v>
      </c>
      <c r="AQ247" s="112">
        <v>5.8701728043074146</v>
      </c>
      <c r="AR247" s="112">
        <v>5.8701728043074146</v>
      </c>
      <c r="AS247" s="112">
        <v>5.8701728043074146</v>
      </c>
      <c r="AT247" s="112">
        <v>5.8701728043074146</v>
      </c>
      <c r="AU247" s="112">
        <v>5.8701728043074146</v>
      </c>
      <c r="AV247" s="112">
        <v>5.8701728043074146</v>
      </c>
      <c r="AW247" s="112">
        <v>5.8701728043074146</v>
      </c>
      <c r="AX247" s="112">
        <v>5.8701728043074146</v>
      </c>
      <c r="AY247" s="112">
        <v>5.8701728043074146</v>
      </c>
      <c r="AZ247" s="112">
        <v>5.8701728043074146</v>
      </c>
      <c r="BA247" s="112">
        <v>5.8701728043074146</v>
      </c>
      <c r="BB247" s="112">
        <v>5.8701728043074146</v>
      </c>
      <c r="BC247" s="112">
        <f t="shared" ref="BC247:BG250" si="100">BB247*(1+((BB247-BA247)/BA247))</f>
        <v>5.8701728043074146</v>
      </c>
      <c r="BD247" s="112">
        <f t="shared" si="100"/>
        <v>5.8701728043074146</v>
      </c>
      <c r="BE247" s="112">
        <f t="shared" si="100"/>
        <v>5.8701728043074146</v>
      </c>
      <c r="BF247" s="112">
        <f t="shared" si="100"/>
        <v>5.8701728043074146</v>
      </c>
      <c r="BG247" s="112">
        <f t="shared" si="100"/>
        <v>5.8701728043074146</v>
      </c>
    </row>
    <row r="248" spans="1:59" ht="13.75" customHeight="1">
      <c r="A248" s="171" t="s">
        <v>166</v>
      </c>
      <c r="B248" s="165" t="s">
        <v>369</v>
      </c>
      <c r="C248" s="165"/>
      <c r="D248" s="165" t="s">
        <v>377</v>
      </c>
      <c r="E248" s="167"/>
      <c r="F248" s="161" t="s">
        <v>381</v>
      </c>
      <c r="G248" s="168" t="s">
        <v>379</v>
      </c>
      <c r="H248" s="168"/>
      <c r="I248" s="168"/>
      <c r="U248" s="112">
        <v>15.689466543316653</v>
      </c>
      <c r="V248" s="112">
        <v>16.628416643359003</v>
      </c>
      <c r="W248" s="112">
        <v>13.89</v>
      </c>
      <c r="X248" s="112">
        <v>10.26</v>
      </c>
      <c r="Y248" s="112">
        <v>6.9</v>
      </c>
      <c r="Z248" s="112">
        <v>8.07</v>
      </c>
      <c r="AA248" s="112">
        <v>10.119999999999999</v>
      </c>
      <c r="AB248" s="112">
        <v>9.94</v>
      </c>
      <c r="AC248" s="112">
        <v>8</v>
      </c>
      <c r="AD248" s="112">
        <v>9.4277816630591627</v>
      </c>
      <c r="AE248" s="162">
        <v>15.071666666666665</v>
      </c>
      <c r="AF248" s="162">
        <v>12.758614594859333</v>
      </c>
      <c r="AG248" s="112">
        <v>10.074107119204267</v>
      </c>
      <c r="AH248" s="112">
        <v>10.488659453463933</v>
      </c>
      <c r="AI248" s="112">
        <v>11.309468999487475</v>
      </c>
      <c r="AJ248" s="112">
        <v>11.416982417377429</v>
      </c>
      <c r="AK248" s="112">
        <v>11.416982417377429</v>
      </c>
      <c r="AL248" s="112">
        <v>11.416982417377429</v>
      </c>
      <c r="AM248" s="112">
        <v>11.416982417377429</v>
      </c>
      <c r="AN248" s="112">
        <v>11.416982417377429</v>
      </c>
      <c r="AO248" s="112">
        <v>11.416982417377429</v>
      </c>
      <c r="AP248" s="112">
        <v>11.416982417377429</v>
      </c>
      <c r="AQ248" s="112">
        <v>11.416982417377429</v>
      </c>
      <c r="AR248" s="112">
        <v>11.416982417377429</v>
      </c>
      <c r="AS248" s="112">
        <v>11.416982417377429</v>
      </c>
      <c r="AT248" s="112">
        <v>11.416982417377429</v>
      </c>
      <c r="AU248" s="112">
        <v>11.416982417377429</v>
      </c>
      <c r="AV248" s="112">
        <v>11.416982417377429</v>
      </c>
      <c r="AW248" s="112">
        <v>11.416982417377429</v>
      </c>
      <c r="AX248" s="112">
        <v>11.416982417377429</v>
      </c>
      <c r="AY248" s="112">
        <v>11.416982417377429</v>
      </c>
      <c r="AZ248" s="112">
        <v>11.416982417377429</v>
      </c>
      <c r="BA248" s="112">
        <v>11.416982417377429</v>
      </c>
      <c r="BB248" s="112">
        <v>11.416982417377429</v>
      </c>
      <c r="BC248" s="112">
        <f t="shared" si="100"/>
        <v>11.416982417377429</v>
      </c>
      <c r="BD248" s="112">
        <f t="shared" si="100"/>
        <v>11.416982417377429</v>
      </c>
      <c r="BE248" s="112">
        <f t="shared" si="100"/>
        <v>11.416982417377429</v>
      </c>
      <c r="BF248" s="112">
        <f t="shared" si="100"/>
        <v>11.416982417377429</v>
      </c>
      <c r="BG248" s="112">
        <f t="shared" si="100"/>
        <v>11.416982417377429</v>
      </c>
    </row>
    <row r="249" spans="1:59" ht="13.75" customHeight="1" outlineLevel="1">
      <c r="A249" s="171" t="s">
        <v>166</v>
      </c>
      <c r="B249" s="165" t="s">
        <v>369</v>
      </c>
      <c r="C249" s="165"/>
      <c r="D249" s="165" t="s">
        <v>168</v>
      </c>
      <c r="E249" s="167"/>
      <c r="F249" s="168" t="s">
        <v>382</v>
      </c>
      <c r="G249" s="168" t="s">
        <v>379</v>
      </c>
      <c r="H249" s="168"/>
      <c r="I249" s="168"/>
      <c r="X249" s="112">
        <v>2.6120999999999999</v>
      </c>
      <c r="Y249" s="112">
        <v>2.4946000000000002</v>
      </c>
      <c r="Z249" s="112">
        <v>2.9628999999999999</v>
      </c>
      <c r="AA249" s="112">
        <v>3.1511</v>
      </c>
      <c r="AB249" s="112">
        <v>2.5625</v>
      </c>
      <c r="AC249" s="112">
        <v>2.0184176938558518</v>
      </c>
      <c r="AD249" s="112">
        <v>3.8514131344088152</v>
      </c>
      <c r="AE249" s="112">
        <v>6.4910354256854248</v>
      </c>
      <c r="AF249" s="112">
        <v>3.0184309571958212</v>
      </c>
      <c r="AG249" s="112">
        <v>1.9529327519379844</v>
      </c>
      <c r="AH249" s="112">
        <v>2.1127800872093019</v>
      </c>
      <c r="AI249" s="112">
        <v>2.1033799418604651</v>
      </c>
      <c r="AJ249" s="112">
        <v>2.0740735465116282</v>
      </c>
      <c r="AK249" s="112">
        <v>2.0740735465116282</v>
      </c>
      <c r="AL249" s="112">
        <v>2.0740735465116282</v>
      </c>
      <c r="AM249" s="112">
        <v>2.0740735465116282</v>
      </c>
      <c r="AN249" s="112">
        <v>2.0740735465116282</v>
      </c>
      <c r="AO249" s="112">
        <v>2.0740735465116282</v>
      </c>
      <c r="AP249" s="112">
        <v>2.0740735465116282</v>
      </c>
      <c r="AQ249" s="112">
        <v>2.0740735465116282</v>
      </c>
      <c r="AR249" s="112">
        <v>2.0740735465116282</v>
      </c>
      <c r="AS249" s="112">
        <v>2.0740735465116282</v>
      </c>
      <c r="AT249" s="112">
        <v>2.0740735465116282</v>
      </c>
      <c r="AU249" s="112">
        <v>2.0740735465116282</v>
      </c>
      <c r="AV249" s="112">
        <v>2.0740735465116282</v>
      </c>
      <c r="AW249" s="112">
        <v>2.0740735465116282</v>
      </c>
      <c r="AX249" s="112">
        <v>2.0740735465116282</v>
      </c>
      <c r="AY249" s="112">
        <v>2.0740735465116282</v>
      </c>
      <c r="AZ249" s="112">
        <v>2.0740735465116282</v>
      </c>
      <c r="BA249" s="112">
        <v>2.0740735465116282</v>
      </c>
      <c r="BB249" s="112">
        <v>2.0740735465116282</v>
      </c>
      <c r="BC249" s="112">
        <f t="shared" si="100"/>
        <v>2.0740735465116282</v>
      </c>
      <c r="BD249" s="112">
        <f t="shared" si="100"/>
        <v>2.0740735465116282</v>
      </c>
      <c r="BE249" s="112">
        <f t="shared" si="100"/>
        <v>2.0740735465116282</v>
      </c>
      <c r="BF249" s="112">
        <f t="shared" si="100"/>
        <v>2.0740735465116282</v>
      </c>
      <c r="BG249" s="112">
        <f t="shared" si="100"/>
        <v>2.0740735465116282</v>
      </c>
    </row>
    <row r="250" spans="1:59" ht="13.75" customHeight="1" outlineLevel="1">
      <c r="A250" s="171" t="s">
        <v>166</v>
      </c>
      <c r="B250" s="165" t="s">
        <v>369</v>
      </c>
      <c r="C250" s="165"/>
      <c r="D250" s="165" t="s">
        <v>168</v>
      </c>
      <c r="E250" s="167"/>
      <c r="F250" s="168" t="s">
        <v>383</v>
      </c>
      <c r="G250" s="168" t="s">
        <v>379</v>
      </c>
      <c r="H250" s="168"/>
      <c r="I250" s="168"/>
      <c r="X250" s="112">
        <v>6.4468088543445541</v>
      </c>
      <c r="Y250" s="112">
        <v>4.5374661915795089</v>
      </c>
      <c r="Z250" s="112">
        <v>5.7409236871492846</v>
      </c>
      <c r="AA250" s="112">
        <v>7.9166125649804098</v>
      </c>
      <c r="AB250" s="112">
        <v>4.4476006561357497</v>
      </c>
      <c r="AC250" s="112">
        <v>3.1753480594359531</v>
      </c>
      <c r="AD250" s="112">
        <v>15.935621721874805</v>
      </c>
      <c r="AE250" s="112">
        <v>41.127928546954458</v>
      </c>
      <c r="AF250" s="112">
        <v>13.593760905248415</v>
      </c>
      <c r="AG250" s="112">
        <v>7.5098155468444689</v>
      </c>
      <c r="AH250" s="112">
        <v>6.8489850771785852</v>
      </c>
      <c r="AI250" s="112">
        <v>5.6295629262681963</v>
      </c>
      <c r="AJ250" s="112">
        <v>5.4794093132540782</v>
      </c>
      <c r="AK250" s="112">
        <v>5.4794093132540782</v>
      </c>
      <c r="AL250" s="112">
        <v>5.4794093132540782</v>
      </c>
      <c r="AM250" s="112">
        <v>5.4794093132540782</v>
      </c>
      <c r="AN250" s="112">
        <v>5.4794093132540782</v>
      </c>
      <c r="AO250" s="112">
        <v>5.4794093132540782</v>
      </c>
      <c r="AP250" s="112">
        <v>5.4794093132540782</v>
      </c>
      <c r="AQ250" s="112">
        <v>5.4794093132540782</v>
      </c>
      <c r="AR250" s="112">
        <v>5.4794093132540782</v>
      </c>
      <c r="AS250" s="112">
        <v>5.4794093132540782</v>
      </c>
      <c r="AT250" s="112">
        <v>5.4794093132540782</v>
      </c>
      <c r="AU250" s="112">
        <v>5.4794093132540782</v>
      </c>
      <c r="AV250" s="112">
        <v>5.4794093132540782</v>
      </c>
      <c r="AW250" s="112">
        <v>5.4794093132540782</v>
      </c>
      <c r="AX250" s="112">
        <v>5.4794093132540782</v>
      </c>
      <c r="AY250" s="112">
        <v>5.4794093132540782</v>
      </c>
      <c r="AZ250" s="112">
        <v>5.4794093132540782</v>
      </c>
      <c r="BA250" s="112">
        <v>5.4794093132540782</v>
      </c>
      <c r="BB250" s="112">
        <v>5.4794093132540782</v>
      </c>
      <c r="BC250" s="112">
        <f t="shared" si="100"/>
        <v>5.4794093132540782</v>
      </c>
      <c r="BD250" s="112">
        <f t="shared" si="100"/>
        <v>5.4794093132540782</v>
      </c>
      <c r="BE250" s="112">
        <f t="shared" si="100"/>
        <v>5.4794093132540782</v>
      </c>
      <c r="BF250" s="112">
        <f t="shared" si="100"/>
        <v>5.4794093132540782</v>
      </c>
      <c r="BG250" s="112">
        <f t="shared" si="100"/>
        <v>5.4794093132540782</v>
      </c>
    </row>
    <row r="251" spans="1:59" ht="13.75" customHeight="1" outlineLevel="1">
      <c r="A251" s="171"/>
      <c r="B251" s="165"/>
      <c r="C251" s="165"/>
      <c r="D251" s="165"/>
      <c r="E251" s="167"/>
      <c r="F251" s="168"/>
      <c r="G251" s="168"/>
      <c r="H251" s="168"/>
      <c r="I251" s="168"/>
    </row>
    <row r="252" spans="1:59" ht="13.75" customHeight="1" outlineLevel="1">
      <c r="A252" s="171"/>
      <c r="B252" s="165"/>
      <c r="C252" s="165"/>
      <c r="D252" s="165"/>
      <c r="E252" s="167"/>
      <c r="F252" s="168"/>
      <c r="G252" s="168"/>
      <c r="H252" s="168"/>
      <c r="I252" s="168"/>
      <c r="W252" s="109"/>
      <c r="X252" s="109"/>
      <c r="Y252" s="109"/>
      <c r="Z252" s="109"/>
      <c r="AA252" s="111"/>
      <c r="AB252" s="111"/>
      <c r="AC252" s="111"/>
      <c r="AD252" s="111"/>
      <c r="AE252" s="111"/>
      <c r="AF252" s="111"/>
    </row>
    <row r="253" spans="1:59" ht="13.75" customHeight="1" outlineLevel="1">
      <c r="A253" s="171"/>
      <c r="B253" s="165"/>
      <c r="C253" s="165"/>
      <c r="D253" s="165"/>
      <c r="E253" s="167"/>
      <c r="F253" s="168"/>
      <c r="G253" s="168"/>
      <c r="H253" s="168"/>
      <c r="I253" s="168"/>
      <c r="AA253" s="111"/>
      <c r="AB253" s="111"/>
      <c r="AC253" s="111"/>
      <c r="AD253" s="111"/>
      <c r="AE253" s="111"/>
      <c r="AF253" s="111"/>
      <c r="AG253" s="131"/>
      <c r="AH253" s="131"/>
    </row>
    <row r="254" spans="1:59" ht="13.75" customHeight="1" outlineLevel="1">
      <c r="A254" s="171"/>
      <c r="B254" s="165"/>
      <c r="C254" s="165"/>
      <c r="D254" s="165"/>
      <c r="E254" s="167"/>
      <c r="F254" s="168"/>
      <c r="G254" s="168"/>
      <c r="H254" s="168"/>
      <c r="I254" s="168"/>
      <c r="AG254" s="131"/>
      <c r="AH254" s="131"/>
    </row>
    <row r="255" spans="1:59" ht="13.75" customHeight="1" outlineLevel="1">
      <c r="A255" s="171"/>
      <c r="B255" s="165"/>
      <c r="C255" s="165"/>
      <c r="D255" s="165"/>
      <c r="E255" s="167"/>
      <c r="F255" s="168"/>
      <c r="G255" s="168"/>
      <c r="H255" s="168"/>
      <c r="I255" s="168"/>
      <c r="AG255" s="131"/>
      <c r="AH255" s="131"/>
    </row>
    <row r="256" spans="1:59" ht="13.75" customHeight="1" outlineLevel="1">
      <c r="A256" s="171"/>
      <c r="B256" s="165"/>
      <c r="C256" s="165"/>
      <c r="D256" s="165"/>
      <c r="E256" s="167"/>
      <c r="F256" s="168"/>
      <c r="G256" s="168"/>
      <c r="H256" s="168"/>
      <c r="I256" s="168"/>
      <c r="AG256" s="131"/>
      <c r="AH256" s="131"/>
    </row>
    <row r="257" spans="1:59" ht="13.75" customHeight="1" outlineLevel="1">
      <c r="A257" s="171"/>
      <c r="B257" s="165"/>
      <c r="C257" s="165"/>
      <c r="D257" s="165"/>
      <c r="E257" s="167"/>
      <c r="F257" s="168"/>
      <c r="G257" s="168"/>
      <c r="H257" s="168"/>
      <c r="I257" s="168"/>
      <c r="AG257" s="131"/>
      <c r="AH257" s="131"/>
    </row>
    <row r="258" spans="1:59" ht="13.75" customHeight="1" outlineLevel="1">
      <c r="A258" s="171"/>
      <c r="B258" s="165"/>
      <c r="C258" s="165"/>
      <c r="D258" s="165"/>
      <c r="E258" s="167"/>
      <c r="F258" s="168"/>
      <c r="G258" s="168"/>
      <c r="H258" s="168"/>
      <c r="I258" s="168"/>
      <c r="AG258" s="131"/>
      <c r="AH258" s="131"/>
    </row>
    <row r="259" spans="1:59" ht="13.75" customHeight="1" outlineLevel="1">
      <c r="A259" s="171"/>
      <c r="B259" s="165"/>
      <c r="C259" s="165"/>
      <c r="D259" s="165"/>
      <c r="E259" s="167"/>
      <c r="F259" s="168"/>
      <c r="G259" s="168"/>
      <c r="H259" s="168"/>
      <c r="I259" s="168"/>
      <c r="AG259" s="131"/>
      <c r="AH259" s="131"/>
    </row>
    <row r="260" spans="1:59" ht="13.75" customHeight="1" outlineLevel="1">
      <c r="A260" s="171"/>
      <c r="B260" s="165"/>
      <c r="C260" s="165"/>
      <c r="D260" s="165"/>
      <c r="E260" s="167"/>
      <c r="F260" s="168"/>
      <c r="G260" s="168"/>
      <c r="H260" s="168"/>
      <c r="I260" s="168"/>
      <c r="AG260" s="131"/>
      <c r="AH260" s="131"/>
    </row>
    <row r="261" spans="1:59" ht="13.75" customHeight="1" outlineLevel="1">
      <c r="A261" s="171"/>
      <c r="B261" s="165"/>
      <c r="C261" s="165"/>
      <c r="D261" s="165"/>
      <c r="E261" s="167"/>
      <c r="F261" s="168"/>
      <c r="G261" s="168"/>
      <c r="H261" s="168"/>
      <c r="I261" s="168"/>
      <c r="AG261" s="131"/>
      <c r="AH261" s="131"/>
    </row>
    <row r="262" spans="1:59" ht="13.75" customHeight="1" outlineLevel="1">
      <c r="A262" s="171"/>
      <c r="B262" s="165"/>
      <c r="C262" s="165"/>
      <c r="D262" s="165"/>
      <c r="E262" s="167"/>
      <c r="F262" s="168"/>
      <c r="G262" s="168"/>
      <c r="H262" s="168"/>
      <c r="I262" s="168"/>
      <c r="AG262" s="131"/>
      <c r="AH262" s="131"/>
    </row>
    <row r="263" spans="1:59" ht="13.75" customHeight="1" outlineLevel="1">
      <c r="A263" s="171"/>
      <c r="B263" s="165"/>
      <c r="C263" s="165"/>
      <c r="D263" s="165"/>
      <c r="E263" s="167"/>
      <c r="F263" s="168"/>
      <c r="G263" s="168"/>
      <c r="H263" s="168"/>
      <c r="I263" s="168"/>
      <c r="AG263" s="131"/>
      <c r="AH263" s="131"/>
    </row>
    <row r="264" spans="1:59" ht="13.75" customHeight="1" outlineLevel="1">
      <c r="A264" s="171"/>
      <c r="B264" s="165"/>
      <c r="C264" s="165"/>
      <c r="D264" s="165"/>
      <c r="E264" s="167"/>
      <c r="F264" s="168"/>
      <c r="G264" s="168"/>
      <c r="H264" s="168"/>
      <c r="I264" s="168"/>
    </row>
    <row r="265" spans="1:59" ht="13.75" customHeight="1" outlineLevel="1">
      <c r="A265" s="171"/>
      <c r="B265" s="165"/>
      <c r="C265" s="165"/>
      <c r="D265" s="165"/>
      <c r="E265" s="167"/>
      <c r="F265" s="168"/>
      <c r="G265" s="168"/>
      <c r="H265" s="168"/>
      <c r="I265" s="168"/>
    </row>
    <row r="266" spans="1:59" ht="13.75" customHeight="1" outlineLevel="1">
      <c r="A266" s="171"/>
      <c r="B266" s="165"/>
      <c r="C266" s="165"/>
      <c r="D266" s="165"/>
      <c r="E266" s="167"/>
      <c r="F266" s="168"/>
      <c r="G266" s="168"/>
      <c r="H266" s="168"/>
      <c r="I266" s="168"/>
    </row>
    <row r="267" spans="1:59" ht="13.75" customHeight="1" outlineLevel="1">
      <c r="A267" s="171"/>
      <c r="B267" s="165"/>
      <c r="C267" s="165"/>
      <c r="D267" s="165"/>
      <c r="E267" s="167"/>
      <c r="F267" s="168"/>
      <c r="G267" s="168"/>
      <c r="H267" s="168"/>
      <c r="I267" s="168"/>
    </row>
    <row r="268" spans="1:59" ht="13.75" customHeight="1" outlineLevel="1">
      <c r="A268" s="171"/>
      <c r="B268" s="165"/>
      <c r="C268" s="165"/>
      <c r="D268" s="165"/>
      <c r="E268" s="167"/>
      <c r="F268" s="168"/>
      <c r="G268" s="168"/>
      <c r="H268" s="168"/>
      <c r="I268" s="168"/>
      <c r="X268" s="110"/>
      <c r="Y268" s="110"/>
      <c r="Z268" s="110"/>
      <c r="AA268" s="110"/>
      <c r="AB268" s="110"/>
      <c r="AC268" s="110"/>
    </row>
    <row r="269" spans="1:59" ht="13.75" customHeight="1" outlineLevel="1">
      <c r="A269" s="171"/>
      <c r="B269" s="165"/>
      <c r="C269" s="165"/>
      <c r="D269" s="165"/>
      <c r="E269" s="167"/>
      <c r="F269" s="168"/>
      <c r="G269" s="168"/>
      <c r="H269" s="168"/>
      <c r="I269" s="168"/>
      <c r="X269" s="110"/>
      <c r="Y269" s="110"/>
      <c r="Z269" s="110"/>
      <c r="AA269" s="110"/>
      <c r="AB269" s="110"/>
      <c r="AC269" s="110"/>
    </row>
    <row r="270" spans="1:59" ht="13.75" customHeight="1">
      <c r="A270" s="171" t="s">
        <v>166</v>
      </c>
      <c r="B270" s="166" t="s">
        <v>384</v>
      </c>
      <c r="C270" s="165"/>
      <c r="D270" s="165" t="s">
        <v>385</v>
      </c>
      <c r="E270" s="172"/>
      <c r="F270" s="168" t="s">
        <v>386</v>
      </c>
      <c r="G270" s="168" t="s">
        <v>3</v>
      </c>
      <c r="H270" s="173" t="s">
        <v>387</v>
      </c>
      <c r="I270" s="168" t="s">
        <v>388</v>
      </c>
      <c r="U270" s="107">
        <v>6.0999999999999999E-2</v>
      </c>
      <c r="V270" s="107">
        <v>9.7000000000000003E-2</v>
      </c>
      <c r="W270" s="107">
        <v>8.1000000000000003E-2</v>
      </c>
      <c r="X270" s="107">
        <v>7.4999999999999997E-2</v>
      </c>
      <c r="Y270" s="107">
        <v>5.8999999999999997E-2</v>
      </c>
      <c r="Z270" s="107">
        <v>0.04</v>
      </c>
      <c r="AA270" s="107">
        <v>0.04</v>
      </c>
      <c r="AB270" s="107">
        <v>4.8000000000000001E-2</v>
      </c>
      <c r="AC270" s="107">
        <v>2.7699999999999999E-2</v>
      </c>
      <c r="AD270" s="107">
        <v>3.2599999999999997E-2</v>
      </c>
      <c r="AE270" s="107">
        <v>5.0999999999999997E-2</v>
      </c>
      <c r="AF270" s="107">
        <v>0.10756101872637402</v>
      </c>
      <c r="AG270" s="107">
        <v>3.1E-2</v>
      </c>
      <c r="AH270" s="107">
        <v>5.1999999999999998E-2</v>
      </c>
      <c r="AI270" s="107">
        <f t="shared" ref="AI270" si="101">(50%*(1+AI242)+50%*(1+AI5))-1</f>
        <v>4.8103607912188817E-2</v>
      </c>
      <c r="AJ270" s="107">
        <f>(50%*(1+AJ242)+50%*(1+AJ5))-1</f>
        <v>4.0000000000000036E-2</v>
      </c>
      <c r="AK270" s="107">
        <f t="shared" ref="AK270:AX270" si="102">(50%*(1+AK242)+50%*(1+AK5))-1</f>
        <v>4.0000000000000036E-2</v>
      </c>
      <c r="AL270" s="107">
        <f t="shared" si="102"/>
        <v>4.0000000000000036E-2</v>
      </c>
      <c r="AM270" s="107">
        <f t="shared" si="102"/>
        <v>4.0000000000000036E-2</v>
      </c>
      <c r="AN270" s="107">
        <f t="shared" si="102"/>
        <v>4.0000000000000036E-2</v>
      </c>
      <c r="AO270" s="107">
        <f t="shared" si="102"/>
        <v>4.0000000000000036E-2</v>
      </c>
      <c r="AP270" s="107">
        <f t="shared" si="102"/>
        <v>4.0000000000000036E-2</v>
      </c>
      <c r="AQ270" s="107">
        <f t="shared" si="102"/>
        <v>4.0000000000000036E-2</v>
      </c>
      <c r="AR270" s="107">
        <f t="shared" si="102"/>
        <v>4.0000000000000036E-2</v>
      </c>
      <c r="AS270" s="107">
        <f t="shared" si="102"/>
        <v>4.0000000000000036E-2</v>
      </c>
      <c r="AT270" s="107">
        <f t="shared" si="102"/>
        <v>4.0000000000000036E-2</v>
      </c>
      <c r="AU270" s="107">
        <f t="shared" si="102"/>
        <v>4.0000000000000036E-2</v>
      </c>
      <c r="AV270" s="107">
        <f t="shared" si="102"/>
        <v>4.0000000000000036E-2</v>
      </c>
      <c r="AW270" s="107">
        <f t="shared" si="102"/>
        <v>4.0000000000000036E-2</v>
      </c>
      <c r="AX270" s="107">
        <f t="shared" si="102"/>
        <v>4.0000000000000036E-2</v>
      </c>
      <c r="AY270" s="107">
        <f t="shared" ref="AY270:BG270" si="103">(50%*(1+AY242)+50%*(1+AY3))-1</f>
        <v>4.0000000000000036E-2</v>
      </c>
      <c r="AZ270" s="107">
        <f t="shared" si="103"/>
        <v>4.0000000000000036E-2</v>
      </c>
      <c r="BA270" s="107">
        <f t="shared" si="103"/>
        <v>4.0000000000000036E-2</v>
      </c>
      <c r="BB270" s="107">
        <f t="shared" si="103"/>
        <v>4.0000000000000036E-2</v>
      </c>
      <c r="BC270" s="107">
        <f t="shared" si="103"/>
        <v>4.0000000000000036E-2</v>
      </c>
      <c r="BD270" s="107">
        <f t="shared" si="103"/>
        <v>4.0000000000000036E-2</v>
      </c>
      <c r="BE270" s="107">
        <f t="shared" si="103"/>
        <v>4.0000000000000036E-2</v>
      </c>
      <c r="BF270" s="107">
        <f t="shared" si="103"/>
        <v>4.0000000000000036E-2</v>
      </c>
      <c r="BG270" s="107">
        <f t="shared" si="103"/>
        <v>4.0000000000000036E-2</v>
      </c>
    </row>
    <row r="271" spans="1:59" ht="13.75" customHeight="1">
      <c r="A271" s="171" t="s">
        <v>166</v>
      </c>
      <c r="B271" s="165" t="s">
        <v>384</v>
      </c>
      <c r="C271" s="165"/>
      <c r="D271" s="165" t="s">
        <v>168</v>
      </c>
      <c r="E271" s="172"/>
      <c r="F271" s="168" t="s">
        <v>389</v>
      </c>
      <c r="G271" s="168" t="s">
        <v>3</v>
      </c>
      <c r="H271" s="173" t="s">
        <v>387</v>
      </c>
      <c r="I271" s="168" t="s">
        <v>390</v>
      </c>
      <c r="U271" s="107">
        <v>0.03</v>
      </c>
      <c r="V271" s="107">
        <v>9.2999999999999999E-2</v>
      </c>
      <c r="W271" s="107">
        <v>8.1000000000000003E-2</v>
      </c>
      <c r="X271" s="107">
        <v>6.2549639155632164E-2</v>
      </c>
      <c r="Y271" s="107">
        <v>5.8000000000000003E-2</v>
      </c>
      <c r="Z271" s="107">
        <v>4.1000000000000002E-2</v>
      </c>
      <c r="AA271" s="107">
        <v>0.04</v>
      </c>
      <c r="AB271" s="107">
        <v>4.8500000000000001E-2</v>
      </c>
      <c r="AC271" s="107">
        <v>3.2099999999999997E-2</v>
      </c>
      <c r="AD271" s="107">
        <v>4.24E-2</v>
      </c>
      <c r="AE271" s="107">
        <v>5.8000000000000003E-2</v>
      </c>
      <c r="AF271" s="107">
        <v>0.10807212876679162</v>
      </c>
      <c r="AG271" s="107">
        <v>0.03</v>
      </c>
      <c r="AH271" s="107">
        <v>5.5E-2</v>
      </c>
      <c r="AI271" s="107">
        <f t="shared" ref="AI271" si="104">AI3</f>
        <v>4.0391390824965567E-2</v>
      </c>
      <c r="AJ271" s="107">
        <f>AJ3</f>
        <v>0.04</v>
      </c>
      <c r="AK271" s="107">
        <f t="shared" ref="AK271:BG271" si="105">AK3</f>
        <v>0.04</v>
      </c>
      <c r="AL271" s="107">
        <f t="shared" si="105"/>
        <v>0.04</v>
      </c>
      <c r="AM271" s="107">
        <f t="shared" si="105"/>
        <v>0.04</v>
      </c>
      <c r="AN271" s="107">
        <f t="shared" si="105"/>
        <v>0.04</v>
      </c>
      <c r="AO271" s="107">
        <f t="shared" si="105"/>
        <v>0.04</v>
      </c>
      <c r="AP271" s="107">
        <f t="shared" si="105"/>
        <v>0.04</v>
      </c>
      <c r="AQ271" s="107">
        <f t="shared" si="105"/>
        <v>0.04</v>
      </c>
      <c r="AR271" s="107">
        <f t="shared" si="105"/>
        <v>0.04</v>
      </c>
      <c r="AS271" s="107">
        <f t="shared" si="105"/>
        <v>0.04</v>
      </c>
      <c r="AT271" s="107">
        <f t="shared" si="105"/>
        <v>0.04</v>
      </c>
      <c r="AU271" s="107">
        <f t="shared" si="105"/>
        <v>0.04</v>
      </c>
      <c r="AV271" s="107">
        <f t="shared" si="105"/>
        <v>0.04</v>
      </c>
      <c r="AW271" s="107">
        <f t="shared" si="105"/>
        <v>0.04</v>
      </c>
      <c r="AX271" s="107">
        <f t="shared" si="105"/>
        <v>0.04</v>
      </c>
      <c r="AY271" s="107">
        <f t="shared" si="105"/>
        <v>0.04</v>
      </c>
      <c r="AZ271" s="107">
        <f t="shared" si="105"/>
        <v>0.04</v>
      </c>
      <c r="BA271" s="107">
        <f t="shared" si="105"/>
        <v>0.04</v>
      </c>
      <c r="BB271" s="107">
        <f t="shared" si="105"/>
        <v>0.04</v>
      </c>
      <c r="BC271" s="107">
        <f t="shared" si="105"/>
        <v>0.04</v>
      </c>
      <c r="BD271" s="107">
        <f t="shared" si="105"/>
        <v>0.04</v>
      </c>
      <c r="BE271" s="107">
        <f t="shared" si="105"/>
        <v>0.04</v>
      </c>
      <c r="BF271" s="107">
        <f t="shared" si="105"/>
        <v>0.04</v>
      </c>
      <c r="BG271" s="107">
        <f t="shared" si="105"/>
        <v>0.04</v>
      </c>
    </row>
    <row r="272" spans="1:59" ht="13.75" customHeight="1">
      <c r="A272" s="171" t="s">
        <v>166</v>
      </c>
      <c r="B272" s="165" t="s">
        <v>384</v>
      </c>
      <c r="C272" s="165"/>
      <c r="D272" s="165" t="s">
        <v>168</v>
      </c>
      <c r="E272" s="172"/>
      <c r="F272" s="168" t="s">
        <v>391</v>
      </c>
      <c r="G272" s="109" t="s">
        <v>3</v>
      </c>
      <c r="H272" s="109" t="s">
        <v>392</v>
      </c>
      <c r="I272" s="168" t="s">
        <v>393</v>
      </c>
      <c r="U272" s="107">
        <v>4.6511627906976827E-2</v>
      </c>
      <c r="V272" s="107">
        <v>8.8888888888888795E-2</v>
      </c>
      <c r="W272" s="107">
        <v>6.1224489795918435E-2</v>
      </c>
      <c r="X272" s="107">
        <v>1.4232859473062964E-2</v>
      </c>
      <c r="Y272" s="107">
        <v>2.5170975902034431E-2</v>
      </c>
      <c r="Z272" s="107">
        <v>1.0091786747004061E-3</v>
      </c>
      <c r="AA272" s="107">
        <v>3.5378204787900769E-2</v>
      </c>
      <c r="AB272" s="107">
        <v>2.780401525031917E-2</v>
      </c>
      <c r="AC272" s="107">
        <v>-5.3687693088631083E-2</v>
      </c>
      <c r="AD272" s="107">
        <v>0.14612722404062464</v>
      </c>
      <c r="AE272" s="107">
        <f>0.79*AE281+(1-0.79)*AE282</f>
        <v>7.4939999999999979E-2</v>
      </c>
      <c r="AF272" s="107">
        <f t="shared" ref="AF272" si="106">0.79*AF281+(1-0.79)*AF282</f>
        <v>0.102766</v>
      </c>
      <c r="AG272" s="107">
        <f>0.79*AG281+(1-0.79)*AG282</f>
        <v>2.222E-2</v>
      </c>
      <c r="AH272" s="107">
        <f>0.79*AH281+(1-0.79)*AH282</f>
        <v>5.8440000000000006E-2</v>
      </c>
      <c r="AI272" s="107">
        <f t="shared" ref="AI272:BG272" si="107">0.79*AI281+(1-0.79)*AI282</f>
        <v>4.7109999999999999E-2</v>
      </c>
      <c r="AJ272" s="107">
        <f t="shared" si="107"/>
        <v>0.04</v>
      </c>
      <c r="AK272" s="107">
        <f t="shared" si="107"/>
        <v>0.04</v>
      </c>
      <c r="AL272" s="107">
        <f t="shared" si="107"/>
        <v>0.04</v>
      </c>
      <c r="AM272" s="107">
        <f t="shared" si="107"/>
        <v>0.04</v>
      </c>
      <c r="AN272" s="107">
        <f t="shared" si="107"/>
        <v>0.04</v>
      </c>
      <c r="AO272" s="107">
        <f t="shared" si="107"/>
        <v>0.04</v>
      </c>
      <c r="AP272" s="107">
        <f t="shared" si="107"/>
        <v>0.04</v>
      </c>
      <c r="AQ272" s="107">
        <f t="shared" si="107"/>
        <v>0.04</v>
      </c>
      <c r="AR272" s="107">
        <f t="shared" si="107"/>
        <v>0.04</v>
      </c>
      <c r="AS272" s="107">
        <f t="shared" si="107"/>
        <v>0.04</v>
      </c>
      <c r="AT272" s="107">
        <f t="shared" si="107"/>
        <v>0.04</v>
      </c>
      <c r="AU272" s="107">
        <f t="shared" si="107"/>
        <v>0.04</v>
      </c>
      <c r="AV272" s="107">
        <f t="shared" si="107"/>
        <v>0.04</v>
      </c>
      <c r="AW272" s="107">
        <f t="shared" si="107"/>
        <v>0.04</v>
      </c>
      <c r="AX272" s="107">
        <f t="shared" si="107"/>
        <v>0.04</v>
      </c>
      <c r="AY272" s="107">
        <f t="shared" si="107"/>
        <v>0.04</v>
      </c>
      <c r="AZ272" s="107">
        <f t="shared" si="107"/>
        <v>0.04</v>
      </c>
      <c r="BA272" s="107">
        <f t="shared" si="107"/>
        <v>0.04</v>
      </c>
      <c r="BB272" s="107">
        <f t="shared" si="107"/>
        <v>0.04</v>
      </c>
      <c r="BC272" s="107">
        <f t="shared" si="107"/>
        <v>0.04</v>
      </c>
      <c r="BD272" s="107">
        <f t="shared" si="107"/>
        <v>0.04</v>
      </c>
      <c r="BE272" s="107">
        <f t="shared" si="107"/>
        <v>0.04</v>
      </c>
      <c r="BF272" s="107">
        <f t="shared" si="107"/>
        <v>0.04</v>
      </c>
      <c r="BG272" s="107">
        <f t="shared" si="107"/>
        <v>0.04</v>
      </c>
    </row>
    <row r="273" spans="1:59" ht="13.75" customHeight="1">
      <c r="A273" s="171" t="s">
        <v>166</v>
      </c>
      <c r="B273" s="165" t="s">
        <v>384</v>
      </c>
      <c r="C273" s="165"/>
      <c r="D273" s="165" t="s">
        <v>168</v>
      </c>
      <c r="E273" s="172"/>
      <c r="F273" s="168" t="s">
        <v>394</v>
      </c>
      <c r="G273" s="168" t="s">
        <v>3</v>
      </c>
      <c r="H273" s="173" t="s">
        <v>387</v>
      </c>
      <c r="I273" s="168" t="s">
        <v>395</v>
      </c>
      <c r="U273" s="107">
        <v>-1.7000000000000001E-2</v>
      </c>
      <c r="V273" s="107">
        <v>8.7999999999999995E-2</v>
      </c>
      <c r="W273" s="107">
        <v>5.1999999999999998E-2</v>
      </c>
      <c r="X273" s="107">
        <v>6.2549639155632164E-2</v>
      </c>
      <c r="Y273" s="107">
        <v>7.0000000000000007E-2</v>
      </c>
      <c r="Z273" s="107">
        <v>4.2999999999999997E-2</v>
      </c>
      <c r="AA273" s="107">
        <v>0.03</v>
      </c>
      <c r="AB273" s="107">
        <v>0.03</v>
      </c>
      <c r="AC273" s="107">
        <v>4.4083526682134666E-2</v>
      </c>
      <c r="AD273" s="107">
        <v>4.6666666666666634E-2</v>
      </c>
      <c r="AE273" s="107">
        <v>0.05</v>
      </c>
      <c r="AF273" s="107">
        <v>8.8999999999999996E-2</v>
      </c>
      <c r="AG273" s="107">
        <v>3.5000000000000003E-2</v>
      </c>
      <c r="AH273" s="107">
        <v>0.05</v>
      </c>
      <c r="AI273" s="107">
        <v>4.2999999999999997E-2</v>
      </c>
      <c r="AJ273" s="107">
        <f>(50%*(1+AJ242)+50%*(1+AJ5))-1</f>
        <v>4.0000000000000036E-2</v>
      </c>
      <c r="AK273" s="107">
        <f t="shared" ref="AK273:BG273" si="108">(50%*(1+AK242)+50%*(1+AK5))-1</f>
        <v>4.0000000000000036E-2</v>
      </c>
      <c r="AL273" s="107">
        <f t="shared" si="108"/>
        <v>4.0000000000000036E-2</v>
      </c>
      <c r="AM273" s="107">
        <f t="shared" si="108"/>
        <v>4.0000000000000036E-2</v>
      </c>
      <c r="AN273" s="107">
        <f t="shared" si="108"/>
        <v>4.0000000000000036E-2</v>
      </c>
      <c r="AO273" s="107">
        <f t="shared" si="108"/>
        <v>4.0000000000000036E-2</v>
      </c>
      <c r="AP273" s="107">
        <f t="shared" si="108"/>
        <v>4.0000000000000036E-2</v>
      </c>
      <c r="AQ273" s="107">
        <f t="shared" si="108"/>
        <v>4.0000000000000036E-2</v>
      </c>
      <c r="AR273" s="107">
        <f t="shared" si="108"/>
        <v>4.0000000000000036E-2</v>
      </c>
      <c r="AS273" s="107">
        <f t="shared" si="108"/>
        <v>4.0000000000000036E-2</v>
      </c>
      <c r="AT273" s="107">
        <f t="shared" si="108"/>
        <v>4.0000000000000036E-2</v>
      </c>
      <c r="AU273" s="107">
        <f t="shared" si="108"/>
        <v>4.0000000000000036E-2</v>
      </c>
      <c r="AV273" s="107">
        <f t="shared" si="108"/>
        <v>4.0000000000000036E-2</v>
      </c>
      <c r="AW273" s="107">
        <f t="shared" si="108"/>
        <v>4.0000000000000036E-2</v>
      </c>
      <c r="AX273" s="107">
        <f t="shared" si="108"/>
        <v>4.0000000000000036E-2</v>
      </c>
      <c r="AY273" s="107">
        <f t="shared" si="108"/>
        <v>4.0000000000000036E-2</v>
      </c>
      <c r="AZ273" s="107">
        <f t="shared" si="108"/>
        <v>4.0000000000000036E-2</v>
      </c>
      <c r="BA273" s="107">
        <f t="shared" si="108"/>
        <v>4.0000000000000036E-2</v>
      </c>
      <c r="BB273" s="107">
        <f t="shared" si="108"/>
        <v>4.0000000000000036E-2</v>
      </c>
      <c r="BC273" s="107">
        <f t="shared" si="108"/>
        <v>4.0000000000000036E-2</v>
      </c>
      <c r="BD273" s="107">
        <f t="shared" si="108"/>
        <v>4.0000000000000036E-2</v>
      </c>
      <c r="BE273" s="107">
        <f t="shared" si="108"/>
        <v>4.0000000000000036E-2</v>
      </c>
      <c r="BF273" s="107">
        <f t="shared" si="108"/>
        <v>4.0000000000000036E-2</v>
      </c>
      <c r="BG273" s="107">
        <f t="shared" si="108"/>
        <v>4.0000000000000036E-2</v>
      </c>
    </row>
    <row r="274" spans="1:59" ht="13.75" customHeight="1">
      <c r="A274" s="171" t="s">
        <v>166</v>
      </c>
      <c r="B274" s="165" t="s">
        <v>384</v>
      </c>
      <c r="C274" s="165"/>
      <c r="D274" s="165" t="s">
        <v>168</v>
      </c>
      <c r="E274" s="172"/>
      <c r="F274" s="168" t="s">
        <v>396</v>
      </c>
      <c r="G274" s="168" t="s">
        <v>3</v>
      </c>
      <c r="H274" s="173"/>
      <c r="I274" s="168" t="s">
        <v>397</v>
      </c>
      <c r="U274" s="107">
        <v>-5.2352524807350864E-3</v>
      </c>
      <c r="V274" s="107">
        <v>0.18490300060414855</v>
      </c>
      <c r="W274" s="107">
        <v>6.8577741268447401E-2</v>
      </c>
      <c r="X274" s="107">
        <v>6.8837839412193347E-2</v>
      </c>
      <c r="Y274" s="107">
        <v>-3.1326497860560965E-2</v>
      </c>
      <c r="Z274" s="107">
        <v>-8.0000000000000002E-3</v>
      </c>
      <c r="AA274" s="107">
        <v>-1.4647563466444469E-3</v>
      </c>
      <c r="AB274" s="107">
        <v>6.0907979048838712E-3</v>
      </c>
      <c r="AC274" s="107">
        <f t="shared" ref="AC274:AF274" si="109">0.79*AC278+(1-0.79)*AC279</f>
        <v>-1.265333943882436E-2</v>
      </c>
      <c r="AD274" s="107">
        <f t="shared" si="109"/>
        <v>0.22629228532599871</v>
      </c>
      <c r="AE274" s="107">
        <f t="shared" si="109"/>
        <v>0.2446239332566752</v>
      </c>
      <c r="AF274" s="107">
        <f t="shared" si="109"/>
        <v>0.13818632678963572</v>
      </c>
      <c r="AG274" s="107">
        <f t="shared" ref="AG274:AX274" si="110">0.654002198531415*AG278+(1-0.654002198531415)*AG279</f>
        <v>0.12465220438100356</v>
      </c>
      <c r="AH274" s="107">
        <f t="shared" si="110"/>
        <v>9.6023284997934236E-2</v>
      </c>
      <c r="AI274" s="107">
        <f t="shared" si="110"/>
        <v>-3.593024724912184E-2</v>
      </c>
      <c r="AJ274" s="107">
        <f t="shared" si="110"/>
        <v>0.04</v>
      </c>
      <c r="AK274" s="107">
        <f t="shared" si="110"/>
        <v>0.04</v>
      </c>
      <c r="AL274" s="107">
        <f t="shared" si="110"/>
        <v>0.04</v>
      </c>
      <c r="AM274" s="107">
        <f t="shared" si="110"/>
        <v>0.04</v>
      </c>
      <c r="AN274" s="107">
        <f t="shared" si="110"/>
        <v>0.04</v>
      </c>
      <c r="AO274" s="107">
        <f t="shared" si="110"/>
        <v>0.04</v>
      </c>
      <c r="AP274" s="107">
        <f t="shared" si="110"/>
        <v>0.04</v>
      </c>
      <c r="AQ274" s="107">
        <f t="shared" si="110"/>
        <v>0.04</v>
      </c>
      <c r="AR274" s="107">
        <f t="shared" si="110"/>
        <v>0.04</v>
      </c>
      <c r="AS274" s="107">
        <f t="shared" si="110"/>
        <v>0.04</v>
      </c>
      <c r="AT274" s="107">
        <f t="shared" si="110"/>
        <v>0.04</v>
      </c>
      <c r="AU274" s="107">
        <f t="shared" si="110"/>
        <v>0.04</v>
      </c>
      <c r="AV274" s="107">
        <f t="shared" si="110"/>
        <v>0.04</v>
      </c>
      <c r="AW274" s="107">
        <f t="shared" si="110"/>
        <v>0.04</v>
      </c>
      <c r="AX274" s="107">
        <f t="shared" si="110"/>
        <v>0.04</v>
      </c>
      <c r="AY274" s="107">
        <f t="shared" ref="AY274:BG274" si="111">0.79*AY278+(1-0.79)*AY279</f>
        <v>0.04</v>
      </c>
      <c r="AZ274" s="107">
        <f t="shared" si="111"/>
        <v>0.04</v>
      </c>
      <c r="BA274" s="107">
        <f t="shared" si="111"/>
        <v>0.04</v>
      </c>
      <c r="BB274" s="107">
        <f t="shared" si="111"/>
        <v>0.04</v>
      </c>
      <c r="BC274" s="107">
        <f t="shared" si="111"/>
        <v>0.04</v>
      </c>
      <c r="BD274" s="107">
        <f t="shared" si="111"/>
        <v>0.04</v>
      </c>
      <c r="BE274" s="107">
        <f t="shared" si="111"/>
        <v>0.04</v>
      </c>
      <c r="BF274" s="107">
        <f t="shared" si="111"/>
        <v>0.04</v>
      </c>
      <c r="BG274" s="107">
        <f t="shared" si="111"/>
        <v>0.04</v>
      </c>
    </row>
    <row r="275" spans="1:59" ht="13.75" customHeight="1">
      <c r="A275" s="171" t="s">
        <v>166</v>
      </c>
      <c r="B275" s="165" t="s">
        <v>384</v>
      </c>
      <c r="C275" s="165"/>
      <c r="D275" s="165" t="s">
        <v>370</v>
      </c>
      <c r="E275" s="172"/>
      <c r="F275" s="168" t="s">
        <v>398</v>
      </c>
      <c r="G275" s="168" t="s">
        <v>3</v>
      </c>
      <c r="H275" s="173"/>
      <c r="I275" s="168" t="s">
        <v>399</v>
      </c>
      <c r="U275" s="107">
        <v>2.5999999999999999E-2</v>
      </c>
      <c r="V275" s="107">
        <v>8.3000000000000004E-2</v>
      </c>
      <c r="W275" s="107">
        <v>4.9000000000000002E-2</v>
      </c>
      <c r="X275" s="107">
        <v>3.7999999999999999E-2</v>
      </c>
      <c r="Y275" s="107">
        <v>7.4999999999999997E-2</v>
      </c>
      <c r="Z275" s="107">
        <v>5.5E-2</v>
      </c>
      <c r="AA275" s="107">
        <v>5.5E-2</v>
      </c>
      <c r="AB275" s="107">
        <v>3.0000000000000027E-2</v>
      </c>
      <c r="AC275" s="107">
        <v>3.0000000000000027E-2</v>
      </c>
      <c r="AD275" s="107">
        <v>3.0000000000000027E-2</v>
      </c>
      <c r="AE275" s="107">
        <v>4.2000000000000003E-2</v>
      </c>
      <c r="AF275" s="107">
        <v>0.10190546219510432</v>
      </c>
      <c r="AG275" s="107">
        <v>0.03</v>
      </c>
      <c r="AH275" s="107">
        <v>5.5E-2</v>
      </c>
      <c r="AI275" s="107">
        <f t="shared" ref="AI275:BG275" si="112">AI3</f>
        <v>4.0391390824965567E-2</v>
      </c>
      <c r="AJ275" s="107">
        <f t="shared" si="112"/>
        <v>0.04</v>
      </c>
      <c r="AK275" s="107">
        <f t="shared" si="112"/>
        <v>0.04</v>
      </c>
      <c r="AL275" s="107">
        <f t="shared" si="112"/>
        <v>0.04</v>
      </c>
      <c r="AM275" s="107">
        <f t="shared" si="112"/>
        <v>0.04</v>
      </c>
      <c r="AN275" s="107">
        <f t="shared" si="112"/>
        <v>0.04</v>
      </c>
      <c r="AO275" s="107">
        <f t="shared" si="112"/>
        <v>0.04</v>
      </c>
      <c r="AP275" s="107">
        <f t="shared" si="112"/>
        <v>0.04</v>
      </c>
      <c r="AQ275" s="107">
        <f t="shared" si="112"/>
        <v>0.04</v>
      </c>
      <c r="AR275" s="107">
        <f t="shared" si="112"/>
        <v>0.04</v>
      </c>
      <c r="AS275" s="107">
        <f t="shared" si="112"/>
        <v>0.04</v>
      </c>
      <c r="AT275" s="107">
        <f t="shared" si="112"/>
        <v>0.04</v>
      </c>
      <c r="AU275" s="107">
        <f t="shared" si="112"/>
        <v>0.04</v>
      </c>
      <c r="AV275" s="107">
        <f t="shared" si="112"/>
        <v>0.04</v>
      </c>
      <c r="AW275" s="107">
        <f t="shared" si="112"/>
        <v>0.04</v>
      </c>
      <c r="AX275" s="107">
        <f t="shared" si="112"/>
        <v>0.04</v>
      </c>
      <c r="AY275" s="107">
        <f t="shared" si="112"/>
        <v>0.04</v>
      </c>
      <c r="AZ275" s="107">
        <f t="shared" si="112"/>
        <v>0.04</v>
      </c>
      <c r="BA275" s="107">
        <f t="shared" si="112"/>
        <v>0.04</v>
      </c>
      <c r="BB275" s="107">
        <f t="shared" si="112"/>
        <v>0.04</v>
      </c>
      <c r="BC275" s="107">
        <f t="shared" si="112"/>
        <v>0.04</v>
      </c>
      <c r="BD275" s="107">
        <f t="shared" si="112"/>
        <v>0.04</v>
      </c>
      <c r="BE275" s="107">
        <f t="shared" si="112"/>
        <v>0.04</v>
      </c>
      <c r="BF275" s="107">
        <f t="shared" si="112"/>
        <v>0.04</v>
      </c>
      <c r="BG275" s="107">
        <f t="shared" si="112"/>
        <v>0.04</v>
      </c>
    </row>
    <row r="276" spans="1:59" ht="13.75" customHeight="1">
      <c r="A276" s="171" t="s">
        <v>166</v>
      </c>
      <c r="B276" s="165" t="s">
        <v>384</v>
      </c>
      <c r="C276" s="165"/>
      <c r="D276" s="165"/>
      <c r="E276" s="167"/>
      <c r="F276" s="168" t="s">
        <v>400</v>
      </c>
      <c r="G276" s="168" t="s">
        <v>219</v>
      </c>
      <c r="H276" s="168"/>
      <c r="I276" s="168"/>
      <c r="X276" s="110"/>
      <c r="Y276" s="110"/>
      <c r="Z276" s="110"/>
      <c r="AA276" s="110"/>
      <c r="AB276" s="110"/>
      <c r="AC276" s="110"/>
      <c r="AI276" s="116"/>
      <c r="AJ276" s="116"/>
      <c r="AK276" s="116"/>
      <c r="AL276" s="116"/>
      <c r="AM276" s="116"/>
      <c r="AN276" s="116"/>
      <c r="AO276" s="116"/>
      <c r="AP276" s="116"/>
      <c r="AQ276" s="116"/>
      <c r="AR276" s="116"/>
      <c r="AS276" s="116"/>
      <c r="AT276" s="116"/>
      <c r="AU276" s="116"/>
      <c r="AV276" s="116"/>
      <c r="AW276" s="116"/>
      <c r="AX276" s="116"/>
      <c r="AY276" s="116"/>
      <c r="AZ276" s="116"/>
      <c r="BA276" s="116"/>
      <c r="BB276" s="116"/>
      <c r="BC276" s="116"/>
      <c r="BD276" s="116"/>
      <c r="BE276" s="116"/>
      <c r="BF276" s="116"/>
      <c r="BG276" s="116"/>
    </row>
    <row r="277" spans="1:59" ht="13.75" customHeight="1">
      <c r="A277" s="171" t="s">
        <v>166</v>
      </c>
      <c r="B277" s="165" t="s">
        <v>384</v>
      </c>
      <c r="C277" s="165"/>
      <c r="D277" s="165"/>
      <c r="E277" s="167"/>
      <c r="F277" s="168" t="s">
        <v>401</v>
      </c>
      <c r="G277" s="109" t="s">
        <v>402</v>
      </c>
      <c r="H277" s="168"/>
      <c r="I277" s="168"/>
      <c r="X277" s="110"/>
      <c r="Y277" s="110"/>
      <c r="Z277" s="110"/>
      <c r="AA277" s="110"/>
      <c r="AB277" s="110"/>
      <c r="AC277" s="110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  <c r="AX277" s="116"/>
      <c r="AY277" s="116"/>
      <c r="AZ277" s="116"/>
      <c r="BA277" s="116"/>
      <c r="BB277" s="116"/>
      <c r="BC277" s="116"/>
      <c r="BD277" s="116"/>
      <c r="BE277" s="116"/>
      <c r="BF277" s="116"/>
      <c r="BG277" s="116"/>
    </row>
    <row r="278" spans="1:59" ht="13.75" customHeight="1">
      <c r="A278" s="171" t="s">
        <v>166</v>
      </c>
      <c r="B278" s="165" t="s">
        <v>384</v>
      </c>
      <c r="C278" s="165"/>
      <c r="D278" s="165" t="s">
        <v>168</v>
      </c>
      <c r="E278" s="167"/>
      <c r="F278" s="168" t="s">
        <v>403</v>
      </c>
      <c r="G278" s="168" t="s">
        <v>3</v>
      </c>
      <c r="H278" s="168"/>
      <c r="I278" s="168" t="s">
        <v>404</v>
      </c>
      <c r="X278" s="107">
        <v>-8.9907334512494108E-2</v>
      </c>
      <c r="Y278" s="107">
        <v>-7.5158910121978062E-2</v>
      </c>
      <c r="Z278" s="107">
        <v>5.0000000000000001E-3</v>
      </c>
      <c r="AA278" s="107">
        <v>3.9646668079993397E-3</v>
      </c>
      <c r="AB278" s="107">
        <v>3.6513668429540846E-2</v>
      </c>
      <c r="AC278" s="107">
        <v>-4.2767156600441725E-3</v>
      </c>
      <c r="AD278" s="107">
        <v>0.22272701615451362</v>
      </c>
      <c r="AE278" s="107">
        <v>0.26066925864846024</v>
      </c>
      <c r="AF278" s="107">
        <v>0.14070611272980349</v>
      </c>
      <c r="AG278" s="107">
        <v>0.13174453919428286</v>
      </c>
      <c r="AH278" s="107">
        <v>8.6354610370002138E-2</v>
      </c>
      <c r="AI278" s="107">
        <v>-2.8704868503466208E-2</v>
      </c>
      <c r="AJ278" s="107">
        <f t="shared" ref="AJ278:AX278" si="113">AJ5</f>
        <v>0.04</v>
      </c>
      <c r="AK278" s="107">
        <f t="shared" si="113"/>
        <v>0.04</v>
      </c>
      <c r="AL278" s="107">
        <f t="shared" si="113"/>
        <v>0.04</v>
      </c>
      <c r="AM278" s="107">
        <f t="shared" si="113"/>
        <v>0.04</v>
      </c>
      <c r="AN278" s="107">
        <f t="shared" si="113"/>
        <v>0.04</v>
      </c>
      <c r="AO278" s="107">
        <f t="shared" si="113"/>
        <v>0.04</v>
      </c>
      <c r="AP278" s="107">
        <f t="shared" si="113"/>
        <v>0.04</v>
      </c>
      <c r="AQ278" s="107">
        <f t="shared" si="113"/>
        <v>0.04</v>
      </c>
      <c r="AR278" s="107">
        <f t="shared" si="113"/>
        <v>0.04</v>
      </c>
      <c r="AS278" s="107">
        <f t="shared" si="113"/>
        <v>0.04</v>
      </c>
      <c r="AT278" s="107">
        <f t="shared" si="113"/>
        <v>0.04</v>
      </c>
      <c r="AU278" s="107">
        <f t="shared" si="113"/>
        <v>0.04</v>
      </c>
      <c r="AV278" s="107">
        <f t="shared" si="113"/>
        <v>0.04</v>
      </c>
      <c r="AW278" s="107">
        <f t="shared" si="113"/>
        <v>0.04</v>
      </c>
      <c r="AX278" s="107">
        <f t="shared" si="113"/>
        <v>0.04</v>
      </c>
      <c r="AY278" s="107">
        <f t="shared" ref="AY278:BG278" si="114">AY3</f>
        <v>0.04</v>
      </c>
      <c r="AZ278" s="107">
        <f t="shared" si="114"/>
        <v>0.04</v>
      </c>
      <c r="BA278" s="107">
        <f t="shared" si="114"/>
        <v>0.04</v>
      </c>
      <c r="BB278" s="107">
        <f t="shared" si="114"/>
        <v>0.04</v>
      </c>
      <c r="BC278" s="107">
        <f t="shared" si="114"/>
        <v>0.04</v>
      </c>
      <c r="BD278" s="107">
        <f t="shared" si="114"/>
        <v>0.04</v>
      </c>
      <c r="BE278" s="107">
        <f t="shared" si="114"/>
        <v>0.04</v>
      </c>
      <c r="BF278" s="107">
        <f t="shared" si="114"/>
        <v>0.04</v>
      </c>
      <c r="BG278" s="107">
        <f t="shared" si="114"/>
        <v>0.04</v>
      </c>
    </row>
    <row r="279" spans="1:59" ht="13.75" customHeight="1">
      <c r="A279" s="171" t="s">
        <v>166</v>
      </c>
      <c r="B279" s="165" t="s">
        <v>384</v>
      </c>
      <c r="C279" s="165"/>
      <c r="D279" s="165" t="s">
        <v>168</v>
      </c>
      <c r="E279" s="167"/>
      <c r="F279" s="168" t="s">
        <v>405</v>
      </c>
      <c r="G279" s="168" t="s">
        <v>3</v>
      </c>
      <c r="H279" s="168"/>
      <c r="I279" s="168" t="s">
        <v>404</v>
      </c>
      <c r="X279" s="107">
        <v>0.74933493123264094</v>
      </c>
      <c r="Y279" s="107">
        <v>7.1905055194522172E-2</v>
      </c>
      <c r="Z279" s="107">
        <v>-3.9E-2</v>
      </c>
      <c r="AA279" s="107">
        <v>4.641396119079455E-2</v>
      </c>
      <c r="AB279" s="107">
        <v>6.7068068989095231E-2</v>
      </c>
      <c r="AC279" s="107">
        <v>-4.4165400320902215E-2</v>
      </c>
      <c r="AD279" s="107">
        <v>0.23970448839968084</v>
      </c>
      <c r="AE279" s="107">
        <v>0.1842629472590076</v>
      </c>
      <c r="AF279" s="107">
        <v>0.12870713206233786</v>
      </c>
      <c r="AG279" s="107">
        <v>0.11124633145083496</v>
      </c>
      <c r="AH279" s="107">
        <v>0.1142989342555687</v>
      </c>
      <c r="AI279" s="107">
        <v>-4.9587598725992388E-2</v>
      </c>
      <c r="AJ279" s="107">
        <f t="shared" ref="AJ279:AX279" si="115">AJ5</f>
        <v>0.04</v>
      </c>
      <c r="AK279" s="107">
        <f t="shared" si="115"/>
        <v>0.04</v>
      </c>
      <c r="AL279" s="107">
        <f t="shared" si="115"/>
        <v>0.04</v>
      </c>
      <c r="AM279" s="107">
        <f t="shared" si="115"/>
        <v>0.04</v>
      </c>
      <c r="AN279" s="107">
        <f t="shared" si="115"/>
        <v>0.04</v>
      </c>
      <c r="AO279" s="107">
        <f t="shared" si="115"/>
        <v>0.04</v>
      </c>
      <c r="AP279" s="107">
        <f t="shared" si="115"/>
        <v>0.04</v>
      </c>
      <c r="AQ279" s="107">
        <f t="shared" si="115"/>
        <v>0.04</v>
      </c>
      <c r="AR279" s="107">
        <f t="shared" si="115"/>
        <v>0.04</v>
      </c>
      <c r="AS279" s="107">
        <f t="shared" si="115"/>
        <v>0.04</v>
      </c>
      <c r="AT279" s="107">
        <f t="shared" si="115"/>
        <v>0.04</v>
      </c>
      <c r="AU279" s="107">
        <f t="shared" si="115"/>
        <v>0.04</v>
      </c>
      <c r="AV279" s="107">
        <f t="shared" si="115"/>
        <v>0.04</v>
      </c>
      <c r="AW279" s="107">
        <f t="shared" si="115"/>
        <v>0.04</v>
      </c>
      <c r="AX279" s="107">
        <f t="shared" si="115"/>
        <v>0.04</v>
      </c>
      <c r="AY279" s="107">
        <f t="shared" ref="AY279:BG279" si="116">AY3</f>
        <v>0.04</v>
      </c>
      <c r="AZ279" s="107">
        <f t="shared" si="116"/>
        <v>0.04</v>
      </c>
      <c r="BA279" s="107">
        <f t="shared" si="116"/>
        <v>0.04</v>
      </c>
      <c r="BB279" s="107">
        <f t="shared" si="116"/>
        <v>0.04</v>
      </c>
      <c r="BC279" s="107">
        <f t="shared" si="116"/>
        <v>0.04</v>
      </c>
      <c r="BD279" s="107">
        <f t="shared" si="116"/>
        <v>0.04</v>
      </c>
      <c r="BE279" s="107">
        <f t="shared" si="116"/>
        <v>0.04</v>
      </c>
      <c r="BF279" s="107">
        <f t="shared" si="116"/>
        <v>0.04</v>
      </c>
      <c r="BG279" s="107">
        <f t="shared" si="116"/>
        <v>0.04</v>
      </c>
    </row>
    <row r="280" spans="1:59" ht="13.75" customHeight="1">
      <c r="A280" s="171" t="s">
        <v>166</v>
      </c>
      <c r="B280" s="165" t="s">
        <v>384</v>
      </c>
      <c r="C280" s="165"/>
      <c r="D280" s="165" t="s">
        <v>168</v>
      </c>
      <c r="E280" s="167"/>
      <c r="F280" s="168" t="s">
        <v>406</v>
      </c>
      <c r="G280" s="168" t="s">
        <v>3</v>
      </c>
      <c r="H280" s="168" t="s">
        <v>407</v>
      </c>
      <c r="I280" s="168" t="s">
        <v>408</v>
      </c>
      <c r="X280" s="107">
        <v>-4.0000000000000001E-3</v>
      </c>
      <c r="Y280" s="107">
        <v>1.7000000000000001E-2</v>
      </c>
      <c r="Z280" s="107">
        <v>5.0000000000000001E-3</v>
      </c>
      <c r="AA280" s="107">
        <v>1.6E-2</v>
      </c>
      <c r="AB280" s="107">
        <v>-1E-3</v>
      </c>
      <c r="AC280" s="107">
        <v>-2.3E-2</v>
      </c>
      <c r="AD280" s="107">
        <v>5.3999999999999999E-2</v>
      </c>
      <c r="AE280" s="107">
        <v>1.4999999999999999E-2</v>
      </c>
      <c r="AF280" s="107">
        <v>0.01</v>
      </c>
      <c r="AG280" s="107">
        <v>-4.1000000000000003E-3</v>
      </c>
      <c r="AH280" s="107">
        <v>2E-3</v>
      </c>
      <c r="AI280" s="107">
        <v>5.0000000000000001E-3</v>
      </c>
      <c r="AJ280" s="107">
        <f t="shared" ref="AJ280:BG280" si="117">0.4823*AJ2-0.003</f>
        <v>1.823E-3</v>
      </c>
      <c r="AK280" s="107">
        <f t="shared" si="117"/>
        <v>1.823E-3</v>
      </c>
      <c r="AL280" s="107">
        <f t="shared" si="117"/>
        <v>1.823E-3</v>
      </c>
      <c r="AM280" s="107">
        <f t="shared" si="117"/>
        <v>1.823E-3</v>
      </c>
      <c r="AN280" s="107">
        <f t="shared" si="117"/>
        <v>1.823E-3</v>
      </c>
      <c r="AO280" s="107">
        <f t="shared" si="117"/>
        <v>1.823E-3</v>
      </c>
      <c r="AP280" s="107">
        <f t="shared" si="117"/>
        <v>1.823E-3</v>
      </c>
      <c r="AQ280" s="107">
        <f t="shared" si="117"/>
        <v>1.823E-3</v>
      </c>
      <c r="AR280" s="107">
        <f t="shared" si="117"/>
        <v>1.823E-3</v>
      </c>
      <c r="AS280" s="107">
        <f t="shared" si="117"/>
        <v>1.823E-3</v>
      </c>
      <c r="AT280" s="107">
        <f t="shared" si="117"/>
        <v>1.823E-3</v>
      </c>
      <c r="AU280" s="107">
        <f t="shared" si="117"/>
        <v>1.823E-3</v>
      </c>
      <c r="AV280" s="107">
        <f t="shared" si="117"/>
        <v>1.823E-3</v>
      </c>
      <c r="AW280" s="107">
        <f t="shared" si="117"/>
        <v>1.823E-3</v>
      </c>
      <c r="AX280" s="107">
        <f t="shared" si="117"/>
        <v>1.823E-3</v>
      </c>
      <c r="AY280" s="107">
        <f t="shared" si="117"/>
        <v>1.823E-3</v>
      </c>
      <c r="AZ280" s="107">
        <f t="shared" si="117"/>
        <v>1.823E-3</v>
      </c>
      <c r="BA280" s="107">
        <f t="shared" si="117"/>
        <v>1.823E-3</v>
      </c>
      <c r="BB280" s="107">
        <f t="shared" si="117"/>
        <v>1.823E-3</v>
      </c>
      <c r="BC280" s="107">
        <f t="shared" si="117"/>
        <v>1.823E-3</v>
      </c>
      <c r="BD280" s="107">
        <f t="shared" si="117"/>
        <v>1.823E-3</v>
      </c>
      <c r="BE280" s="107">
        <f t="shared" si="117"/>
        <v>1.823E-3</v>
      </c>
      <c r="BF280" s="107">
        <f t="shared" si="117"/>
        <v>1.823E-3</v>
      </c>
      <c r="BG280" s="107">
        <f t="shared" si="117"/>
        <v>1.823E-3</v>
      </c>
    </row>
    <row r="281" spans="1:59" ht="13.75" customHeight="1">
      <c r="A281" s="171" t="s">
        <v>166</v>
      </c>
      <c r="B281" s="165" t="s">
        <v>384</v>
      </c>
      <c r="C281" s="165"/>
      <c r="D281" s="165" t="s">
        <v>168</v>
      </c>
      <c r="E281" s="167"/>
      <c r="F281" s="168" t="s">
        <v>409</v>
      </c>
      <c r="G281" s="168" t="s">
        <v>3</v>
      </c>
      <c r="H281" s="168"/>
      <c r="I281" s="168" t="s">
        <v>410</v>
      </c>
      <c r="X281" s="107">
        <v>-1.2093974257885831E-2</v>
      </c>
      <c r="Y281" s="107">
        <v>4.267967941529216E-2</v>
      </c>
      <c r="Z281" s="107">
        <v>4.9139709037637758E-5</v>
      </c>
      <c r="AA281" s="107">
        <v>3.576433753584074E-2</v>
      </c>
      <c r="AB281" s="107">
        <v>3.2730681648099891E-2</v>
      </c>
      <c r="AC281" s="107">
        <v>-5.9838521525394817E-2</v>
      </c>
      <c r="AD281" s="107">
        <v>0.16034331952154934</v>
      </c>
      <c r="AE281" s="107">
        <v>0.03</v>
      </c>
      <c r="AF281" s="107">
        <v>0.106</v>
      </c>
      <c r="AG281" s="107">
        <v>2.5999999999999999E-2</v>
      </c>
      <c r="AH281" s="107">
        <v>6.6000000000000003E-2</v>
      </c>
      <c r="AI281" s="107">
        <v>4.9000000000000002E-2</v>
      </c>
      <c r="AJ281" s="107">
        <f>AJ242</f>
        <v>0.04</v>
      </c>
      <c r="AK281" s="107">
        <f t="shared" ref="AK281:BG281" si="118">AK242</f>
        <v>0.04</v>
      </c>
      <c r="AL281" s="107">
        <f t="shared" si="118"/>
        <v>0.04</v>
      </c>
      <c r="AM281" s="107">
        <f t="shared" si="118"/>
        <v>0.04</v>
      </c>
      <c r="AN281" s="107">
        <f t="shared" si="118"/>
        <v>0.04</v>
      </c>
      <c r="AO281" s="107">
        <f t="shared" si="118"/>
        <v>0.04</v>
      </c>
      <c r="AP281" s="107">
        <f t="shared" si="118"/>
        <v>0.04</v>
      </c>
      <c r="AQ281" s="107">
        <f t="shared" si="118"/>
        <v>0.04</v>
      </c>
      <c r="AR281" s="107">
        <f t="shared" si="118"/>
        <v>0.04</v>
      </c>
      <c r="AS281" s="107">
        <f t="shared" si="118"/>
        <v>0.04</v>
      </c>
      <c r="AT281" s="107">
        <f t="shared" si="118"/>
        <v>0.04</v>
      </c>
      <c r="AU281" s="107">
        <f t="shared" si="118"/>
        <v>0.04</v>
      </c>
      <c r="AV281" s="107">
        <f t="shared" si="118"/>
        <v>0.04</v>
      </c>
      <c r="AW281" s="107">
        <f t="shared" si="118"/>
        <v>0.04</v>
      </c>
      <c r="AX281" s="107">
        <f t="shared" si="118"/>
        <v>0.04</v>
      </c>
      <c r="AY281" s="107">
        <f t="shared" si="118"/>
        <v>0.04</v>
      </c>
      <c r="AZ281" s="107">
        <f t="shared" si="118"/>
        <v>0.04</v>
      </c>
      <c r="BA281" s="107">
        <f t="shared" si="118"/>
        <v>0.04</v>
      </c>
      <c r="BB281" s="107">
        <f t="shared" si="118"/>
        <v>0.04</v>
      </c>
      <c r="BC281" s="107">
        <f t="shared" si="118"/>
        <v>0.04</v>
      </c>
      <c r="BD281" s="107">
        <f t="shared" si="118"/>
        <v>0.04</v>
      </c>
      <c r="BE281" s="107">
        <f t="shared" si="118"/>
        <v>0.04</v>
      </c>
      <c r="BF281" s="107">
        <f t="shared" si="118"/>
        <v>0.04</v>
      </c>
      <c r="BG281" s="107">
        <f t="shared" si="118"/>
        <v>0.04</v>
      </c>
    </row>
    <row r="282" spans="1:59" ht="13.75" customHeight="1">
      <c r="A282" s="171" t="s">
        <v>166</v>
      </c>
      <c r="B282" s="165" t="s">
        <v>384</v>
      </c>
      <c r="C282" s="165"/>
      <c r="D282" s="165" t="s">
        <v>168</v>
      </c>
      <c r="E282" s="167"/>
      <c r="F282" s="168" t="s">
        <v>411</v>
      </c>
      <c r="G282" s="168" t="s">
        <v>3</v>
      </c>
      <c r="H282" s="168"/>
      <c r="I282" s="168" t="s">
        <v>412</v>
      </c>
      <c r="X282" s="107">
        <v>0.16249878597645373</v>
      </c>
      <c r="Y282" s="107">
        <v>-5.862435883193795E-2</v>
      </c>
      <c r="Z282" s="107">
        <v>6.0982983670252455E-3</v>
      </c>
      <c r="AA282" s="107">
        <v>3.3343640736278379E-2</v>
      </c>
      <c r="AB282" s="107">
        <v>1.7842083490067218E-3</v>
      </c>
      <c r="AC282" s="107">
        <v>-2.019905966827118E-2</v>
      </c>
      <c r="AD282" s="107">
        <v>7.1046017107086357E-2</v>
      </c>
      <c r="AE282" s="107">
        <v>0.24399999999999999</v>
      </c>
      <c r="AF282" s="123">
        <v>9.06E-2</v>
      </c>
      <c r="AG282" s="107">
        <v>8.0000000000000002E-3</v>
      </c>
      <c r="AH282" s="107">
        <v>0.03</v>
      </c>
      <c r="AI282" s="107">
        <v>0.04</v>
      </c>
      <c r="AJ282" s="107">
        <f>AJ5</f>
        <v>0.04</v>
      </c>
      <c r="AK282" s="107">
        <f t="shared" ref="AK282:AX282" si="119">AK5</f>
        <v>0.04</v>
      </c>
      <c r="AL282" s="107">
        <f t="shared" si="119"/>
        <v>0.04</v>
      </c>
      <c r="AM282" s="107">
        <f t="shared" si="119"/>
        <v>0.04</v>
      </c>
      <c r="AN282" s="107">
        <f t="shared" si="119"/>
        <v>0.04</v>
      </c>
      <c r="AO282" s="107">
        <f t="shared" si="119"/>
        <v>0.04</v>
      </c>
      <c r="AP282" s="107">
        <f t="shared" si="119"/>
        <v>0.04</v>
      </c>
      <c r="AQ282" s="107">
        <f t="shared" si="119"/>
        <v>0.04</v>
      </c>
      <c r="AR282" s="107">
        <f t="shared" si="119"/>
        <v>0.04</v>
      </c>
      <c r="AS282" s="107">
        <f t="shared" si="119"/>
        <v>0.04</v>
      </c>
      <c r="AT282" s="107">
        <f t="shared" si="119"/>
        <v>0.04</v>
      </c>
      <c r="AU282" s="107">
        <f t="shared" si="119"/>
        <v>0.04</v>
      </c>
      <c r="AV282" s="107">
        <f t="shared" si="119"/>
        <v>0.04</v>
      </c>
      <c r="AW282" s="107">
        <f t="shared" si="119"/>
        <v>0.04</v>
      </c>
      <c r="AX282" s="107">
        <f t="shared" si="119"/>
        <v>0.04</v>
      </c>
      <c r="AY282" s="107">
        <f t="shared" ref="AY282:BG282" si="120">AY3</f>
        <v>0.04</v>
      </c>
      <c r="AZ282" s="107">
        <f t="shared" si="120"/>
        <v>0.04</v>
      </c>
      <c r="BA282" s="107">
        <f t="shared" si="120"/>
        <v>0.04</v>
      </c>
      <c r="BB282" s="107">
        <f t="shared" si="120"/>
        <v>0.04</v>
      </c>
      <c r="BC282" s="107">
        <f t="shared" si="120"/>
        <v>0.04</v>
      </c>
      <c r="BD282" s="107">
        <f t="shared" si="120"/>
        <v>0.04</v>
      </c>
      <c r="BE282" s="107">
        <f t="shared" si="120"/>
        <v>0.04</v>
      </c>
      <c r="BF282" s="107">
        <f t="shared" si="120"/>
        <v>0.04</v>
      </c>
      <c r="BG282" s="107">
        <f t="shared" si="120"/>
        <v>0.04</v>
      </c>
    </row>
    <row r="283" spans="1:59" ht="13.75" customHeight="1" outlineLevel="1">
      <c r="A283" s="171"/>
      <c r="B283" s="165"/>
      <c r="C283" s="165"/>
      <c r="D283" s="165"/>
      <c r="E283" s="167"/>
      <c r="F283" s="168"/>
      <c r="G283" s="168"/>
      <c r="H283" s="168"/>
      <c r="I283" s="168"/>
      <c r="X283" s="109"/>
      <c r="Y283" s="109"/>
      <c r="Z283" s="109"/>
    </row>
    <row r="284" spans="1:59" ht="13.75" customHeight="1" outlineLevel="1">
      <c r="A284" s="171"/>
      <c r="B284" s="165"/>
      <c r="C284" s="165"/>
      <c r="D284" s="165"/>
      <c r="E284" s="167"/>
      <c r="F284" s="168"/>
      <c r="G284" s="168"/>
      <c r="H284" s="168"/>
      <c r="I284" s="168"/>
      <c r="X284" s="109"/>
      <c r="Y284" s="109"/>
      <c r="Z284" s="109"/>
    </row>
    <row r="285" spans="1:59" ht="13.75" customHeight="1" outlineLevel="1">
      <c r="A285" s="171"/>
      <c r="B285" s="165"/>
      <c r="C285" s="165"/>
      <c r="D285" s="165"/>
      <c r="E285" s="167"/>
      <c r="F285" s="168"/>
      <c r="G285" s="168"/>
      <c r="H285" s="168"/>
      <c r="I285" s="168"/>
      <c r="X285" s="109"/>
      <c r="Y285" s="109"/>
      <c r="Z285" s="109"/>
    </row>
    <row r="286" spans="1:59" ht="13.75" customHeight="1" outlineLevel="1">
      <c r="A286" s="171"/>
      <c r="B286" s="165"/>
      <c r="C286" s="165"/>
      <c r="D286" s="165"/>
      <c r="E286" s="167"/>
      <c r="F286" s="168"/>
      <c r="G286" s="168"/>
      <c r="H286" s="168"/>
      <c r="I286" s="168"/>
      <c r="X286" s="109"/>
      <c r="Y286" s="109"/>
      <c r="Z286" s="109"/>
    </row>
    <row r="287" spans="1:59" ht="13.75" customHeight="1" outlineLevel="1">
      <c r="A287" s="171"/>
      <c r="B287" s="165"/>
      <c r="C287" s="165"/>
      <c r="D287" s="165"/>
      <c r="E287" s="167"/>
      <c r="F287" s="168"/>
      <c r="G287" s="168"/>
      <c r="H287" s="168"/>
      <c r="I287" s="168"/>
      <c r="X287" s="109"/>
      <c r="Y287" s="109"/>
      <c r="Z287" s="109"/>
    </row>
    <row r="288" spans="1:59" ht="13.75" customHeight="1" outlineLevel="1">
      <c r="A288" s="171"/>
      <c r="B288" s="165"/>
      <c r="C288" s="165"/>
      <c r="D288" s="165"/>
      <c r="E288" s="167"/>
      <c r="F288" s="168"/>
      <c r="G288" s="168"/>
      <c r="H288" s="168"/>
      <c r="I288" s="168"/>
      <c r="X288" s="109"/>
      <c r="Y288" s="109"/>
      <c r="Z288" s="109"/>
    </row>
    <row r="289" spans="1:59" ht="13.75" customHeight="1" outlineLevel="1">
      <c r="A289" s="171"/>
      <c r="B289" s="165"/>
      <c r="C289" s="165"/>
      <c r="D289" s="165"/>
      <c r="E289" s="167"/>
      <c r="F289" s="168"/>
      <c r="G289" s="168"/>
      <c r="H289" s="168"/>
      <c r="I289" s="168"/>
      <c r="X289" s="109"/>
      <c r="Y289" s="109"/>
      <c r="Z289" s="109"/>
    </row>
    <row r="290" spans="1:59" ht="13.75" customHeight="1" outlineLevel="1">
      <c r="A290" s="171"/>
      <c r="B290" s="165"/>
      <c r="C290" s="165"/>
      <c r="D290" s="165"/>
      <c r="E290" s="167"/>
      <c r="F290" s="168"/>
      <c r="G290" s="168"/>
      <c r="H290" s="168"/>
      <c r="I290" s="168"/>
      <c r="X290" s="109"/>
      <c r="Y290" s="109"/>
      <c r="Z290" s="109"/>
    </row>
    <row r="291" spans="1:59" ht="13.75" customHeight="1" outlineLevel="1">
      <c r="A291" s="171"/>
      <c r="B291" s="165"/>
      <c r="C291" s="165"/>
      <c r="D291" s="165"/>
      <c r="E291" s="167"/>
      <c r="F291" s="168"/>
      <c r="G291" s="168"/>
      <c r="H291" s="168"/>
      <c r="I291" s="168"/>
      <c r="X291" s="109"/>
      <c r="Y291" s="109"/>
      <c r="Z291" s="109"/>
    </row>
    <row r="292" spans="1:59" ht="13.75" customHeight="1" outlineLevel="1">
      <c r="A292" s="171"/>
      <c r="B292" s="165"/>
      <c r="C292" s="165"/>
      <c r="D292" s="165"/>
      <c r="E292" s="167"/>
      <c r="F292" s="168"/>
      <c r="G292" s="168"/>
      <c r="H292" s="168"/>
      <c r="I292" s="168"/>
      <c r="X292" s="109"/>
      <c r="Y292" s="109"/>
      <c r="Z292" s="109"/>
    </row>
    <row r="293" spans="1:59" ht="13.75" customHeight="1" outlineLevel="1">
      <c r="A293" s="171"/>
      <c r="B293" s="165"/>
      <c r="C293" s="165"/>
      <c r="D293" s="165"/>
      <c r="E293" s="167"/>
      <c r="F293" s="168"/>
      <c r="G293" s="168"/>
      <c r="H293" s="168"/>
      <c r="I293" s="168"/>
      <c r="X293" s="109"/>
      <c r="Y293" s="109"/>
      <c r="Z293" s="109"/>
    </row>
    <row r="294" spans="1:59" ht="13.75" customHeight="1" outlineLevel="1">
      <c r="A294" s="171"/>
      <c r="B294" s="165"/>
      <c r="C294" s="165"/>
      <c r="D294" s="165"/>
      <c r="E294" s="167"/>
      <c r="F294" s="168"/>
      <c r="G294" s="168"/>
      <c r="H294" s="168"/>
      <c r="I294" s="168"/>
      <c r="X294" s="109"/>
      <c r="Y294" s="109"/>
      <c r="Z294" s="109"/>
    </row>
    <row r="295" spans="1:59" ht="13.75" customHeight="1" outlineLevel="1">
      <c r="A295" s="171"/>
      <c r="B295" s="165"/>
      <c r="C295" s="165"/>
      <c r="D295" s="165"/>
      <c r="E295" s="167"/>
      <c r="F295" s="168"/>
      <c r="G295" s="168"/>
      <c r="H295" s="168"/>
      <c r="I295" s="168"/>
      <c r="X295" s="109"/>
      <c r="Y295" s="109"/>
      <c r="Z295" s="109"/>
    </row>
    <row r="296" spans="1:59" ht="13.75" customHeight="1" outlineLevel="1">
      <c r="A296" s="171"/>
      <c r="B296" s="165"/>
      <c r="C296" s="165"/>
      <c r="D296" s="165"/>
      <c r="E296" s="167"/>
      <c r="F296" s="168"/>
      <c r="G296" s="168"/>
      <c r="H296" s="168"/>
      <c r="I296" s="168"/>
      <c r="X296" s="109"/>
      <c r="Y296" s="109"/>
      <c r="Z296" s="109"/>
    </row>
    <row r="297" spans="1:59" ht="13.75" customHeight="1" outlineLevel="1">
      <c r="A297" s="171"/>
      <c r="B297" s="165"/>
      <c r="C297" s="165"/>
      <c r="D297" s="165"/>
      <c r="E297" s="167"/>
      <c r="F297" s="168"/>
      <c r="G297" s="168"/>
      <c r="H297" s="168"/>
      <c r="I297" s="168"/>
      <c r="X297" s="109"/>
      <c r="Z297" s="109"/>
    </row>
    <row r="298" spans="1:59" ht="13.75" customHeight="1" outlineLevel="1">
      <c r="A298" s="171"/>
      <c r="B298" s="165"/>
      <c r="C298" s="165"/>
      <c r="D298" s="165"/>
      <c r="E298" s="167"/>
      <c r="F298" s="168"/>
      <c r="G298" s="168"/>
      <c r="H298" s="168"/>
      <c r="I298" s="168"/>
      <c r="X298" s="109"/>
      <c r="Y298" s="109"/>
      <c r="Z298" s="109"/>
    </row>
    <row r="299" spans="1:59" ht="13.75" customHeight="1" outlineLevel="1">
      <c r="A299" s="171"/>
      <c r="B299" s="165"/>
      <c r="C299" s="165"/>
      <c r="D299" s="165"/>
      <c r="E299" s="167"/>
      <c r="F299" s="168"/>
      <c r="G299" s="168"/>
      <c r="H299" s="168"/>
      <c r="I299" s="168"/>
      <c r="X299" s="109"/>
      <c r="Y299" s="109"/>
      <c r="Z299" s="109"/>
    </row>
    <row r="300" spans="1:59" ht="13.75" customHeight="1" outlineLevel="1">
      <c r="A300" s="171"/>
      <c r="B300" s="165"/>
      <c r="C300" s="165"/>
      <c r="D300" s="165"/>
      <c r="E300" s="167"/>
      <c r="F300" s="168"/>
      <c r="G300" s="168"/>
      <c r="H300" s="168"/>
      <c r="I300" s="168"/>
      <c r="X300" s="109"/>
      <c r="Y300" s="109"/>
      <c r="Z300" s="109"/>
    </row>
    <row r="301" spans="1:59" ht="13.75" customHeight="1" outlineLevel="1">
      <c r="A301" s="171"/>
      <c r="B301" s="165"/>
      <c r="C301" s="165"/>
      <c r="D301" s="165"/>
      <c r="E301" s="167"/>
      <c r="F301" s="168"/>
      <c r="G301" s="168"/>
      <c r="H301" s="168"/>
      <c r="I301" s="168"/>
      <c r="X301" s="109"/>
      <c r="Y301" s="109"/>
      <c r="Z301" s="109"/>
    </row>
    <row r="302" spans="1:59" ht="13.75" customHeight="1" outlineLevel="1">
      <c r="A302" s="171"/>
      <c r="B302" s="165"/>
      <c r="C302" s="165"/>
      <c r="D302" s="165"/>
      <c r="E302" s="167"/>
      <c r="F302" s="168"/>
      <c r="G302" s="168"/>
      <c r="H302" s="168"/>
      <c r="I302" s="168"/>
      <c r="X302" s="109"/>
      <c r="Y302" s="109"/>
      <c r="Z302" s="109"/>
    </row>
    <row r="303" spans="1:59" ht="13.75" customHeight="1">
      <c r="A303" s="171" t="s">
        <v>166</v>
      </c>
      <c r="B303" s="165" t="s">
        <v>413</v>
      </c>
      <c r="C303" s="165" t="s">
        <v>414</v>
      </c>
      <c r="D303" s="165" t="s">
        <v>168</v>
      </c>
      <c r="E303" s="167"/>
      <c r="F303" s="168" t="s">
        <v>415</v>
      </c>
      <c r="G303" s="168" t="s">
        <v>3</v>
      </c>
      <c r="H303" s="168"/>
      <c r="I303" s="168" t="s">
        <v>416</v>
      </c>
      <c r="X303" s="107">
        <v>3.3747481507627963E-2</v>
      </c>
      <c r="Y303" s="107">
        <v>-6.367098137471483E-2</v>
      </c>
      <c r="Z303" s="107">
        <v>0.20417103016517757</v>
      </c>
      <c r="AA303" s="107">
        <v>0.31192947621629585</v>
      </c>
      <c r="AB303" s="107">
        <v>7.073236948519801E-3</v>
      </c>
      <c r="AC303" s="107">
        <v>-0.24210144151463664</v>
      </c>
      <c r="AD303" s="107">
        <v>0.36774758093487891</v>
      </c>
      <c r="AE303" s="107">
        <v>0.42998681998709798</v>
      </c>
      <c r="AF303" s="107">
        <f>( (AF221*AF14)/(AE221*AE14) - 1 )*0.6145078+0.0279878</f>
        <v>3.2390024413411142E-2</v>
      </c>
      <c r="AG303" s="107">
        <f t="shared" ref="AG303:BG303" si="121">( (AG221*AG14)/(AF221*AF14) - 1 )*0.6145078+0.0279878</f>
        <v>-6.2054286419980682E-2</v>
      </c>
      <c r="AH303" s="107">
        <f t="shared" si="121"/>
        <v>8.2882535525052564E-2</v>
      </c>
      <c r="AI303" s="107">
        <f t="shared" si="121"/>
        <v>2.888491022914005E-2</v>
      </c>
      <c r="AJ303" s="107">
        <f t="shared" si="121"/>
        <v>3.4147217349625808E-2</v>
      </c>
      <c r="AK303" s="107">
        <f t="shared" si="121"/>
        <v>4.5019211908112422E-2</v>
      </c>
      <c r="AL303" s="107">
        <f t="shared" si="121"/>
        <v>4.706152246703204E-2</v>
      </c>
      <c r="AM303" s="107">
        <f t="shared" si="121"/>
        <v>4.7789457163888882E-2</v>
      </c>
      <c r="AN303" s="107">
        <f t="shared" si="121"/>
        <v>4.6094107655284398E-2</v>
      </c>
      <c r="AO303" s="107">
        <f t="shared" si="121"/>
        <v>4.6157373516354828E-2</v>
      </c>
      <c r="AP303" s="107">
        <f t="shared" si="121"/>
        <v>4.6684453909226736E-2</v>
      </c>
      <c r="AQ303" s="107">
        <f t="shared" si="121"/>
        <v>4.688914433609085E-2</v>
      </c>
      <c r="AR303" s="107">
        <f t="shared" si="121"/>
        <v>4.7280202519756585E-2</v>
      </c>
      <c r="AS303" s="107">
        <f t="shared" si="121"/>
        <v>4.6757482285461775E-2</v>
      </c>
      <c r="AT303" s="107">
        <f t="shared" si="121"/>
        <v>4.711384647314823E-2</v>
      </c>
      <c r="AU303" s="107">
        <f t="shared" si="121"/>
        <v>4.7858093235608926E-2</v>
      </c>
      <c r="AV303" s="107">
        <f t="shared" si="121"/>
        <v>4.7895120989425249E-2</v>
      </c>
      <c r="AW303" s="107">
        <f t="shared" si="121"/>
        <v>4.8137769999358052E-2</v>
      </c>
      <c r="AX303" s="107">
        <f t="shared" si="121"/>
        <v>4.8638636246128193E-2</v>
      </c>
      <c r="AY303" s="107">
        <f t="shared" si="121"/>
        <v>4.8175862148018181E-2</v>
      </c>
      <c r="AZ303" s="107">
        <f t="shared" si="121"/>
        <v>4.6423034000000016E-2</v>
      </c>
      <c r="BA303" s="107">
        <f t="shared" si="121"/>
        <v>4.6423034000000016E-2</v>
      </c>
      <c r="BB303" s="107">
        <f t="shared" si="121"/>
        <v>4.6423034000000016E-2</v>
      </c>
      <c r="BC303" s="107">
        <f t="shared" si="121"/>
        <v>4.0277956000000011E-2</v>
      </c>
      <c r="BD303" s="107">
        <f t="shared" si="121"/>
        <v>4.0277956000000011E-2</v>
      </c>
      <c r="BE303" s="107">
        <f t="shared" si="121"/>
        <v>4.0277956000000011E-2</v>
      </c>
      <c r="BF303" s="107">
        <f t="shared" si="121"/>
        <v>4.0277956000000011E-2</v>
      </c>
      <c r="BG303" s="107">
        <f t="shared" si="121"/>
        <v>4.0277956000000011E-2</v>
      </c>
    </row>
    <row r="304" spans="1:59" ht="13.75" customHeight="1">
      <c r="A304" s="171" t="s">
        <v>166</v>
      </c>
      <c r="B304" s="165" t="s">
        <v>413</v>
      </c>
      <c r="C304" s="165" t="s">
        <v>417</v>
      </c>
      <c r="D304" s="165" t="s">
        <v>370</v>
      </c>
      <c r="E304" s="167"/>
      <c r="F304" s="168" t="s">
        <v>418</v>
      </c>
      <c r="G304" s="168" t="s">
        <v>3</v>
      </c>
      <c r="H304" s="168"/>
      <c r="I304" s="168" t="s">
        <v>419</v>
      </c>
      <c r="X304" s="107">
        <v>0.1</v>
      </c>
      <c r="Y304" s="107">
        <v>0.09</v>
      </c>
      <c r="Z304" s="107">
        <v>0.06</v>
      </c>
      <c r="AA304" s="107">
        <v>5.3999999999999999E-2</v>
      </c>
      <c r="AB304" s="107">
        <v>3.5000000000000003E-2</v>
      </c>
      <c r="AC304" s="107">
        <v>3.5000000000000003E-2</v>
      </c>
      <c r="AD304" s="107">
        <v>3.6999999999999998E-2</v>
      </c>
      <c r="AE304" s="107">
        <f>(1+5.8%)*5/12+(1+5.8%)*(1+11%)*7/12-1</f>
        <v>0.1258883333333336</v>
      </c>
      <c r="AF304" s="107">
        <v>0.13364986687548908</v>
      </c>
      <c r="AG304" s="107">
        <f>7.1%-1%</f>
        <v>6.0999999999999992E-2</v>
      </c>
      <c r="AH304" s="107">
        <f>4.6%-1%</f>
        <v>3.5999999999999997E-2</v>
      </c>
      <c r="AI304" s="107">
        <f t="shared" ref="AI304:BG304" si="122">AVERAGE(AH3:AK3)-0.1%</f>
        <v>3.9961103172781107E-2</v>
      </c>
      <c r="AJ304" s="107">
        <f t="shared" si="122"/>
        <v>3.9097847706241397E-2</v>
      </c>
      <c r="AK304" s="107">
        <f t="shared" si="122"/>
        <v>3.9E-2</v>
      </c>
      <c r="AL304" s="107">
        <f t="shared" si="122"/>
        <v>3.9E-2</v>
      </c>
      <c r="AM304" s="107">
        <f t="shared" si="122"/>
        <v>3.9E-2</v>
      </c>
      <c r="AN304" s="107">
        <f t="shared" si="122"/>
        <v>3.9E-2</v>
      </c>
      <c r="AO304" s="107">
        <f t="shared" si="122"/>
        <v>3.9E-2</v>
      </c>
      <c r="AP304" s="107">
        <f t="shared" si="122"/>
        <v>3.9E-2</v>
      </c>
      <c r="AQ304" s="107">
        <f t="shared" si="122"/>
        <v>3.9E-2</v>
      </c>
      <c r="AR304" s="107">
        <f t="shared" si="122"/>
        <v>3.9E-2</v>
      </c>
      <c r="AS304" s="107">
        <f t="shared" si="122"/>
        <v>3.9E-2</v>
      </c>
      <c r="AT304" s="107">
        <f t="shared" si="122"/>
        <v>3.9E-2</v>
      </c>
      <c r="AU304" s="107">
        <f t="shared" si="122"/>
        <v>3.9E-2</v>
      </c>
      <c r="AV304" s="107">
        <f t="shared" si="122"/>
        <v>3.9E-2</v>
      </c>
      <c r="AW304" s="107">
        <f t="shared" si="122"/>
        <v>3.9E-2</v>
      </c>
      <c r="AX304" s="107">
        <f t="shared" si="122"/>
        <v>3.9E-2</v>
      </c>
      <c r="AY304" s="107">
        <f t="shared" si="122"/>
        <v>3.9E-2</v>
      </c>
      <c r="AZ304" s="107">
        <f t="shared" si="122"/>
        <v>3.9E-2</v>
      </c>
      <c r="BA304" s="107">
        <f t="shared" si="122"/>
        <v>3.9E-2</v>
      </c>
      <c r="BB304" s="107">
        <f t="shared" si="122"/>
        <v>3.9E-2</v>
      </c>
      <c r="BC304" s="107">
        <f t="shared" si="122"/>
        <v>3.9E-2</v>
      </c>
      <c r="BD304" s="107">
        <f t="shared" si="122"/>
        <v>3.9E-2</v>
      </c>
      <c r="BE304" s="107">
        <f t="shared" si="122"/>
        <v>3.9E-2</v>
      </c>
      <c r="BF304" s="107">
        <f t="shared" si="122"/>
        <v>3.9E-2</v>
      </c>
      <c r="BG304" s="107">
        <f t="shared" si="122"/>
        <v>3.9E-2</v>
      </c>
    </row>
    <row r="305" spans="1:59" ht="13.75" customHeight="1">
      <c r="A305" s="171" t="s">
        <v>166</v>
      </c>
      <c r="B305" s="165" t="s">
        <v>413</v>
      </c>
      <c r="C305" s="165" t="s">
        <v>414</v>
      </c>
      <c r="D305" s="165" t="s">
        <v>377</v>
      </c>
      <c r="E305" s="167"/>
      <c r="F305" s="168" t="s">
        <v>420</v>
      </c>
      <c r="G305" s="168" t="s">
        <v>3</v>
      </c>
      <c r="H305" s="168"/>
      <c r="I305" s="168"/>
      <c r="X305" s="107">
        <v>0.18641641353332994</v>
      </c>
      <c r="Y305" s="107">
        <v>4.6254984157586332E-2</v>
      </c>
      <c r="Z305" s="107">
        <v>-4.3319361742664042E-2</v>
      </c>
      <c r="AA305" s="107">
        <v>0.22210136598235053</v>
      </c>
      <c r="AB305" s="107">
        <v>-2.6833832095734866E-2</v>
      </c>
      <c r="AC305" s="107">
        <v>1.9203122093317537E-2</v>
      </c>
      <c r="AD305" s="107">
        <v>0.28121996294532159</v>
      </c>
      <c r="AE305" s="107">
        <v>0.12</v>
      </c>
      <c r="AF305" s="107">
        <v>0.25</v>
      </c>
      <c r="AG305" s="107">
        <f>+AG3</f>
        <v>7.4118161371848679E-2</v>
      </c>
      <c r="AH305" s="107">
        <f>+AH3</f>
        <v>4.3453021866158847E-2</v>
      </c>
      <c r="AI305" s="107">
        <f>+AI3</f>
        <v>4.0391390824965567E-2</v>
      </c>
      <c r="AJ305" s="107">
        <f t="shared" ref="AJ305:BF305" si="123">(1+( 30%* (1+(  (AJ194/AJ35) / (AI194/AI35) -1) ) +70% * (1+AJ29)-1 ) ) * (AJ15/AI15) -1</f>
        <v>4.4846705829006961E-2</v>
      </c>
      <c r="AK305" s="107">
        <f t="shared" si="123"/>
        <v>4.4846705829007183E-2</v>
      </c>
      <c r="AL305" s="107">
        <f t="shared" si="123"/>
        <v>4.4846705829006961E-2</v>
      </c>
      <c r="AM305" s="107">
        <f t="shared" si="123"/>
        <v>4.4846705829006961E-2</v>
      </c>
      <c r="AN305" s="107">
        <f t="shared" si="123"/>
        <v>4.4846705829006961E-2</v>
      </c>
      <c r="AO305" s="107">
        <f t="shared" si="123"/>
        <v>4.4846705829006961E-2</v>
      </c>
      <c r="AP305" s="107">
        <f t="shared" si="123"/>
        <v>4.4846705829006961E-2</v>
      </c>
      <c r="AQ305" s="107">
        <f t="shared" si="123"/>
        <v>4.4846705829006961E-2</v>
      </c>
      <c r="AR305" s="107">
        <f t="shared" si="123"/>
        <v>4.4846705829006961E-2</v>
      </c>
      <c r="AS305" s="107">
        <f t="shared" si="123"/>
        <v>4.4846705829006961E-2</v>
      </c>
      <c r="AT305" s="107">
        <f t="shared" si="123"/>
        <v>4.4846705829007183E-2</v>
      </c>
      <c r="AU305" s="107">
        <f t="shared" si="123"/>
        <v>4.4846705829007183E-2</v>
      </c>
      <c r="AV305" s="107">
        <f t="shared" si="123"/>
        <v>4.4846705829006961E-2</v>
      </c>
      <c r="AW305" s="107">
        <f t="shared" si="123"/>
        <v>4.4846705829006739E-2</v>
      </c>
      <c r="AX305" s="107">
        <f t="shared" si="123"/>
        <v>4.4846705829007183E-2</v>
      </c>
      <c r="AY305" s="107">
        <f t="shared" si="123"/>
        <v>4.4846705829006961E-2</v>
      </c>
      <c r="AZ305" s="107">
        <f t="shared" si="123"/>
        <v>4.4846705829006961E-2</v>
      </c>
      <c r="BA305" s="107">
        <f t="shared" si="123"/>
        <v>4.4846705829006961E-2</v>
      </c>
      <c r="BB305" s="107">
        <f t="shared" si="123"/>
        <v>4.4846705829006961E-2</v>
      </c>
      <c r="BC305" s="107">
        <f t="shared" si="123"/>
        <v>3.4702563053968349E-2</v>
      </c>
      <c r="BD305" s="107">
        <f t="shared" si="123"/>
        <v>3.4702563053968127E-2</v>
      </c>
      <c r="BE305" s="107">
        <f t="shared" si="123"/>
        <v>3.4702563053968127E-2</v>
      </c>
      <c r="BF305" s="107">
        <f t="shared" si="123"/>
        <v>3.4702563053968127E-2</v>
      </c>
      <c r="BG305" s="107">
        <f>(1+( 30%* (1+(  (BG194/BG35) / (BF194/BF35) -1) ) +70% * (1+BG29)-1 ) ) * (BG15/BF15) -1</f>
        <v>3.4702563053968127E-2</v>
      </c>
    </row>
    <row r="306" spans="1:59" ht="13.75" customHeight="1">
      <c r="A306" s="171" t="s">
        <v>166</v>
      </c>
      <c r="B306" s="165" t="s">
        <v>413</v>
      </c>
      <c r="C306" s="165" t="s">
        <v>414</v>
      </c>
      <c r="D306" s="165" t="s">
        <v>377</v>
      </c>
      <c r="E306" s="167"/>
      <c r="F306" s="168" t="s">
        <v>421</v>
      </c>
      <c r="G306" s="168" t="s">
        <v>3</v>
      </c>
      <c r="H306" s="168"/>
      <c r="I306" s="168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M306" s="107"/>
    </row>
    <row r="307" spans="1:59" ht="13.75" customHeight="1">
      <c r="A307" s="171" t="s">
        <v>166</v>
      </c>
      <c r="B307" s="165" t="s">
        <v>413</v>
      </c>
      <c r="C307" s="165" t="s">
        <v>414</v>
      </c>
      <c r="D307" s="165" t="s">
        <v>377</v>
      </c>
      <c r="E307" s="167"/>
      <c r="F307" s="168" t="s">
        <v>422</v>
      </c>
      <c r="G307" s="168" t="s">
        <v>3</v>
      </c>
      <c r="H307" s="168"/>
      <c r="I307" s="168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M307" s="107"/>
    </row>
    <row r="308" spans="1:59" ht="13.75" customHeight="1">
      <c r="A308" s="171" t="s">
        <v>166</v>
      </c>
      <c r="B308" s="165" t="s">
        <v>413</v>
      </c>
      <c r="C308" s="165" t="s">
        <v>414</v>
      </c>
      <c r="D308" s="165" t="s">
        <v>377</v>
      </c>
      <c r="E308" s="167"/>
      <c r="F308" s="168" t="s">
        <v>423</v>
      </c>
      <c r="G308" s="168" t="s">
        <v>3</v>
      </c>
      <c r="H308" s="168"/>
      <c r="I308" s="168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M308" s="107"/>
    </row>
    <row r="309" spans="1:59" ht="13.75" customHeight="1">
      <c r="A309" s="171" t="s">
        <v>166</v>
      </c>
      <c r="B309" s="165" t="s">
        <v>413</v>
      </c>
      <c r="C309" s="165" t="s">
        <v>414</v>
      </c>
      <c r="D309" s="165" t="s">
        <v>377</v>
      </c>
      <c r="E309" s="167"/>
      <c r="F309" s="168" t="s">
        <v>424</v>
      </c>
      <c r="G309" s="168" t="s">
        <v>3</v>
      </c>
      <c r="H309" s="168"/>
      <c r="I309" s="168"/>
      <c r="X309" s="107">
        <v>0.2075009965900525</v>
      </c>
      <c r="Y309" s="107">
        <v>3.2790867282390446E-2</v>
      </c>
      <c r="Z309" s="107">
        <v>-1.7093962834656695E-2</v>
      </c>
      <c r="AA309" s="107">
        <v>0.16711057079615532</v>
      </c>
      <c r="AB309" s="107">
        <v>-2.1613365283477126E-3</v>
      </c>
      <c r="AC309" s="107">
        <v>-1.9033351429433409E-2</v>
      </c>
      <c r="AD309" s="107">
        <v>0.24615027126061184</v>
      </c>
      <c r="AE309" s="107">
        <v>0.04</v>
      </c>
      <c r="AF309" s="107">
        <v>0.13</v>
      </c>
      <c r="AG309" s="107">
        <v>0.02</v>
      </c>
      <c r="AH309" s="107">
        <f t="shared" ref="AH309:BG309" si="124">30%* (1+( (AH194*AH14) / (AG194*AG14) - 1 ) ) + 36%*(AH14/AG14) + 34%*(1+AH3)-1</f>
        <v>4.4437055063276443E-2</v>
      </c>
      <c r="AI309" s="107">
        <f t="shared" si="124"/>
        <v>2.1900388299836537E-2</v>
      </c>
      <c r="AJ309" s="107">
        <f t="shared" si="124"/>
        <v>3.3399999999999874E-2</v>
      </c>
      <c r="AK309" s="107">
        <f t="shared" si="124"/>
        <v>3.3400000000000096E-2</v>
      </c>
      <c r="AL309" s="107">
        <f t="shared" si="124"/>
        <v>3.3399999999999874E-2</v>
      </c>
      <c r="AM309" s="107">
        <f t="shared" si="124"/>
        <v>3.3399999999999874E-2</v>
      </c>
      <c r="AN309" s="107">
        <f t="shared" si="124"/>
        <v>3.3400000000000096E-2</v>
      </c>
      <c r="AO309" s="107">
        <f t="shared" si="124"/>
        <v>3.3399999999999874E-2</v>
      </c>
      <c r="AP309" s="107">
        <f t="shared" si="124"/>
        <v>3.3399999999999874E-2</v>
      </c>
      <c r="AQ309" s="107">
        <f t="shared" si="124"/>
        <v>3.3399999999999874E-2</v>
      </c>
      <c r="AR309" s="107">
        <f t="shared" si="124"/>
        <v>3.3399999999999874E-2</v>
      </c>
      <c r="AS309" s="107">
        <f t="shared" si="124"/>
        <v>3.3399999999999874E-2</v>
      </c>
      <c r="AT309" s="107">
        <f t="shared" si="124"/>
        <v>3.3399999999999874E-2</v>
      </c>
      <c r="AU309" s="107">
        <f t="shared" si="124"/>
        <v>3.3399999999999874E-2</v>
      </c>
      <c r="AV309" s="107">
        <f t="shared" si="124"/>
        <v>3.3399999999999874E-2</v>
      </c>
      <c r="AW309" s="107">
        <f t="shared" si="124"/>
        <v>3.3399999999999874E-2</v>
      </c>
      <c r="AX309" s="107">
        <f t="shared" si="124"/>
        <v>3.3399999999999874E-2</v>
      </c>
      <c r="AY309" s="107">
        <f t="shared" si="124"/>
        <v>3.3399999999999874E-2</v>
      </c>
      <c r="AZ309" s="107">
        <f t="shared" si="124"/>
        <v>3.3399999999999874E-2</v>
      </c>
      <c r="BA309" s="107">
        <f t="shared" si="124"/>
        <v>3.3399999999999874E-2</v>
      </c>
      <c r="BB309" s="107">
        <f t="shared" si="124"/>
        <v>3.3400000000000096E-2</v>
      </c>
      <c r="BC309" s="107">
        <f t="shared" si="124"/>
        <v>2.6800000000000157E-2</v>
      </c>
      <c r="BD309" s="107">
        <f t="shared" si="124"/>
        <v>2.6800000000000157E-2</v>
      </c>
      <c r="BE309" s="107">
        <f t="shared" si="124"/>
        <v>2.6800000000000157E-2</v>
      </c>
      <c r="BF309" s="107">
        <f t="shared" si="124"/>
        <v>2.6800000000000157E-2</v>
      </c>
      <c r="BG309" s="107">
        <f t="shared" si="124"/>
        <v>2.6799999999999935E-2</v>
      </c>
    </row>
    <row r="310" spans="1:59" ht="13.75" customHeight="1">
      <c r="A310" s="171" t="s">
        <v>166</v>
      </c>
      <c r="B310" s="165" t="s">
        <v>413</v>
      </c>
      <c r="C310" s="165" t="s">
        <v>414</v>
      </c>
      <c r="D310" s="165" t="s">
        <v>377</v>
      </c>
      <c r="E310" s="167"/>
      <c r="F310" s="168" t="s">
        <v>425</v>
      </c>
      <c r="G310" s="168" t="s">
        <v>3</v>
      </c>
      <c r="H310" s="168"/>
      <c r="I310" s="168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</row>
    <row r="311" spans="1:59" ht="13.75" customHeight="1">
      <c r="A311" s="171" t="s">
        <v>166</v>
      </c>
      <c r="B311" s="165" t="s">
        <v>413</v>
      </c>
      <c r="C311" s="165" t="s">
        <v>414</v>
      </c>
      <c r="D311" s="165" t="s">
        <v>377</v>
      </c>
      <c r="E311" s="167"/>
      <c r="F311" s="168" t="s">
        <v>426</v>
      </c>
      <c r="G311" s="168" t="s">
        <v>3</v>
      </c>
      <c r="H311" s="168"/>
      <c r="I311" s="168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</row>
    <row r="312" spans="1:59" ht="13.75" customHeight="1">
      <c r="A312" s="171" t="s">
        <v>166</v>
      </c>
      <c r="B312" s="165" t="s">
        <v>413</v>
      </c>
      <c r="C312" s="165" t="s">
        <v>414</v>
      </c>
      <c r="D312" s="165" t="s">
        <v>377</v>
      </c>
      <c r="E312" s="167"/>
      <c r="F312" s="168" t="s">
        <v>427</v>
      </c>
      <c r="G312" s="168" t="s">
        <v>3</v>
      </c>
      <c r="H312" s="168"/>
      <c r="I312" s="168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</row>
    <row r="313" spans="1:59" ht="13.75" customHeight="1">
      <c r="A313" s="171" t="s">
        <v>166</v>
      </c>
      <c r="B313" s="165" t="s">
        <v>413</v>
      </c>
      <c r="C313" s="165" t="s">
        <v>417</v>
      </c>
      <c r="D313" s="165" t="s">
        <v>168</v>
      </c>
      <c r="E313" s="167"/>
      <c r="F313" s="168" t="s">
        <v>428</v>
      </c>
      <c r="G313" s="168" t="s">
        <v>3</v>
      </c>
      <c r="H313" s="168"/>
      <c r="I313" s="168" t="s">
        <v>429</v>
      </c>
      <c r="X313" s="107">
        <v>2E-3</v>
      </c>
      <c r="Y313" s="107">
        <v>1.6E-2</v>
      </c>
      <c r="Z313" s="107">
        <v>6.3600000000000004E-2</v>
      </c>
      <c r="AA313" s="107">
        <v>4.4999999999999998E-2</v>
      </c>
      <c r="AB313" s="107">
        <v>1.5635285232225016E-3</v>
      </c>
      <c r="AC313" s="107">
        <v>-2.1681466958828333E-2</v>
      </c>
      <c r="AD313" s="107">
        <v>3.6999999999999998E-2</v>
      </c>
      <c r="AE313" s="107">
        <v>-9.4718496628043436E-4</v>
      </c>
      <c r="AF313" s="107">
        <f>AF547/6</f>
        <v>5.8345665123014784E-3</v>
      </c>
      <c r="AG313" s="107">
        <f t="shared" ref="AG313:BG313" si="125">AG547</f>
        <v>-1.4295554751105128E-2</v>
      </c>
      <c r="AH313" s="107">
        <f t="shared" si="125"/>
        <v>1.5316998182233144E-2</v>
      </c>
      <c r="AI313" s="107">
        <f t="shared" si="125"/>
        <v>1.7441909181286668E-2</v>
      </c>
      <c r="AJ313" s="107">
        <f t="shared" si="125"/>
        <v>0.01</v>
      </c>
      <c r="AK313" s="107">
        <f t="shared" si="125"/>
        <v>0.01</v>
      </c>
      <c r="AL313" s="107">
        <f t="shared" si="125"/>
        <v>0.01</v>
      </c>
      <c r="AM313" s="107">
        <f t="shared" si="125"/>
        <v>0.01</v>
      </c>
      <c r="AN313" s="107">
        <f t="shared" si="125"/>
        <v>0.01</v>
      </c>
      <c r="AO313" s="107">
        <f t="shared" si="125"/>
        <v>0.01</v>
      </c>
      <c r="AP313" s="107">
        <f t="shared" si="125"/>
        <v>0.01</v>
      </c>
      <c r="AQ313" s="107">
        <f t="shared" si="125"/>
        <v>0.01</v>
      </c>
      <c r="AR313" s="107">
        <f t="shared" si="125"/>
        <v>0.01</v>
      </c>
      <c r="AS313" s="107">
        <f t="shared" si="125"/>
        <v>0.01</v>
      </c>
      <c r="AT313" s="107">
        <f t="shared" si="125"/>
        <v>0.01</v>
      </c>
      <c r="AU313" s="107">
        <f t="shared" si="125"/>
        <v>0.01</v>
      </c>
      <c r="AV313" s="107">
        <f t="shared" si="125"/>
        <v>0.01</v>
      </c>
      <c r="AW313" s="107">
        <f t="shared" si="125"/>
        <v>0.01</v>
      </c>
      <c r="AX313" s="107">
        <f t="shared" si="125"/>
        <v>0.01</v>
      </c>
      <c r="AY313" s="107">
        <f t="shared" si="125"/>
        <v>0.01</v>
      </c>
      <c r="AZ313" s="107">
        <f t="shared" si="125"/>
        <v>0.01</v>
      </c>
      <c r="BA313" s="107">
        <f t="shared" si="125"/>
        <v>0.01</v>
      </c>
      <c r="BB313" s="107">
        <f t="shared" si="125"/>
        <v>0.01</v>
      </c>
      <c r="BC313" s="107">
        <f t="shared" si="125"/>
        <v>0.01</v>
      </c>
      <c r="BD313" s="107">
        <f t="shared" si="125"/>
        <v>0.01</v>
      </c>
      <c r="BE313" s="107">
        <f t="shared" si="125"/>
        <v>0.01</v>
      </c>
      <c r="BF313" s="107">
        <f t="shared" si="125"/>
        <v>0.01</v>
      </c>
      <c r="BG313" s="107">
        <f t="shared" si="125"/>
        <v>0.01</v>
      </c>
    </row>
    <row r="314" spans="1:59" ht="13.75" customHeight="1">
      <c r="A314" s="171" t="s">
        <v>166</v>
      </c>
      <c r="B314" s="165" t="s">
        <v>413</v>
      </c>
      <c r="C314" s="165" t="s">
        <v>430</v>
      </c>
      <c r="D314" s="165" t="s">
        <v>168</v>
      </c>
      <c r="E314" s="167"/>
      <c r="F314" s="168" t="s">
        <v>431</v>
      </c>
      <c r="G314" s="168" t="s">
        <v>432</v>
      </c>
      <c r="H314" s="168"/>
      <c r="I314" s="168"/>
      <c r="X314" s="133">
        <v>202.1</v>
      </c>
      <c r="Y314" s="133">
        <v>228</v>
      </c>
      <c r="Z314" s="133">
        <v>253.2</v>
      </c>
      <c r="AA314" s="133">
        <v>255.4</v>
      </c>
      <c r="AB314" s="133">
        <v>276.10000000000002</v>
      </c>
      <c r="AC314" s="133">
        <v>235.1</v>
      </c>
      <c r="AD314" s="133">
        <v>238.1</v>
      </c>
      <c r="AE314" s="133">
        <v>256.01420000000002</v>
      </c>
      <c r="AF314" s="133">
        <v>277.64873941763108</v>
      </c>
      <c r="AG314" s="133">
        <v>286.45751820611457</v>
      </c>
      <c r="AH314" s="133">
        <v>296.03702196606667</v>
      </c>
      <c r="AI314" s="133">
        <v>295.24345795463654</v>
      </c>
      <c r="AJ314" s="133">
        <v>291.25343524827878</v>
      </c>
      <c r="AK314" s="133">
        <v>287.3000074609734</v>
      </c>
      <c r="AL314" s="133">
        <v>283.38238528323535</v>
      </c>
      <c r="AM314" s="133">
        <v>279.49976470406716</v>
      </c>
      <c r="AN314" s="133">
        <v>275.49169112102345</v>
      </c>
      <c r="AO314" s="133">
        <v>271.51085256791981</v>
      </c>
      <c r="AP314" s="133">
        <v>267.55594442595299</v>
      </c>
      <c r="AQ314" s="133">
        <v>263.62560036315261</v>
      </c>
      <c r="AR314" s="133">
        <v>259.71838569675771</v>
      </c>
      <c r="AS314" s="133">
        <v>255.83278995523892</v>
      </c>
      <c r="AT314" s="133">
        <v>251.96721852407825</v>
      </c>
      <c r="AU314" s="133">
        <v>248.1199832398421</v>
      </c>
      <c r="AV314" s="133">
        <v>244.28929177372095</v>
      </c>
      <c r="AW314" s="133">
        <v>240.47323561770088</v>
      </c>
      <c r="AX314" s="133">
        <v>236.6697764528549</v>
      </c>
      <c r="AY314" s="133">
        <v>232.87673063856434</v>
      </c>
      <c r="AZ314" s="133">
        <v>229.09175151217525</v>
      </c>
      <c r="BA314" s="133">
        <v>225.31230912855392</v>
      </c>
      <c r="BB314" s="133">
        <v>221.53566699558772</v>
      </c>
      <c r="BC314" s="133">
        <v>217.7588552714723</v>
      </c>
      <c r="BD314" s="133">
        <v>213.97863977826938</v>
      </c>
      <c r="BE314" s="133">
        <v>210.19148604804235</v>
      </c>
      <c r="BF314" s="133">
        <v>206.39351744551226</v>
      </c>
      <c r="BG314" s="133">
        <v>202.58046619495803</v>
      </c>
    </row>
    <row r="315" spans="1:59" ht="13.75" customHeight="1">
      <c r="A315" s="171" t="s">
        <v>166</v>
      </c>
      <c r="B315" s="165" t="s">
        <v>413</v>
      </c>
      <c r="C315" s="165" t="s">
        <v>430</v>
      </c>
      <c r="D315" s="165" t="s">
        <v>168</v>
      </c>
      <c r="E315" s="167"/>
      <c r="F315" s="168" t="s">
        <v>433</v>
      </c>
      <c r="G315" s="168" t="s">
        <v>432</v>
      </c>
      <c r="H315" s="168"/>
      <c r="I315" s="168"/>
      <c r="X315" s="133">
        <v>146</v>
      </c>
      <c r="Y315" s="133">
        <v>140.69999999999999</v>
      </c>
      <c r="Z315" s="133">
        <v>141.6</v>
      </c>
      <c r="AA315" s="133">
        <v>145.1</v>
      </c>
      <c r="AB315" s="133">
        <v>149.9</v>
      </c>
      <c r="AC315" s="133">
        <v>142.6</v>
      </c>
      <c r="AD315" s="133">
        <v>146.69999999999999</v>
      </c>
      <c r="AE315" s="133">
        <v>138.6764</v>
      </c>
      <c r="AF315" s="133">
        <v>140.85633712393465</v>
      </c>
      <c r="AG315" s="133">
        <v>124.14643276206564</v>
      </c>
      <c r="AH315" s="133">
        <v>122.53863892708645</v>
      </c>
      <c r="AI315" s="133">
        <v>120.94669348119803</v>
      </c>
      <c r="AJ315" s="133">
        <v>119.89100290289738</v>
      </c>
      <c r="AK315" s="133">
        <v>118.8405907774883</v>
      </c>
      <c r="AL315" s="133">
        <v>117.79543071270623</v>
      </c>
      <c r="AM315" s="133">
        <v>116.7554964482481</v>
      </c>
      <c r="AN315" s="133">
        <v>115.72076185511224</v>
      </c>
      <c r="AO315" s="133">
        <v>114.69120093494209</v>
      </c>
      <c r="AP315" s="133">
        <v>113.66678781937273</v>
      </c>
      <c r="AQ315" s="133">
        <v>112.64749676938126</v>
      </c>
      <c r="AR315" s="133">
        <v>111.63330217463974</v>
      </c>
      <c r="AS315" s="133">
        <v>110.62417855287191</v>
      </c>
      <c r="AT315" s="133">
        <v>109.62010054921291</v>
      </c>
      <c r="AU315" s="133">
        <v>108.62104293557221</v>
      </c>
      <c r="AV315" s="133">
        <v>107.62698060999972</v>
      </c>
      <c r="AW315" s="133">
        <v>106.63788859605512</v>
      </c>
      <c r="AX315" s="133">
        <v>105.65374204218023</v>
      </c>
      <c r="AY315" s="133">
        <v>104.6745162210747</v>
      </c>
      <c r="AZ315" s="133">
        <v>103.7001865290747</v>
      </c>
      <c r="BA315" s="133">
        <v>102.73072848553471</v>
      </c>
      <c r="BB315" s="133">
        <v>101.76611773221242</v>
      </c>
      <c r="BC315" s="133">
        <v>100.80633003265675</v>
      </c>
      <c r="BD315" s="133">
        <v>99.851341271598841</v>
      </c>
      <c r="BE315" s="133">
        <v>98.901127454346209</v>
      </c>
      <c r="BF315" s="133">
        <v>97.955664706179874</v>
      </c>
      <c r="BG315" s="133">
        <v>97.014929271754369</v>
      </c>
    </row>
    <row r="316" spans="1:59" ht="13.75" customHeight="1">
      <c r="A316" s="171" t="s">
        <v>166</v>
      </c>
      <c r="B316" s="165" t="s">
        <v>413</v>
      </c>
      <c r="C316" s="165" t="s">
        <v>430</v>
      </c>
      <c r="D316" s="165" t="s">
        <v>168</v>
      </c>
      <c r="E316" s="167"/>
      <c r="F316" s="168" t="s">
        <v>434</v>
      </c>
      <c r="G316" s="168" t="s">
        <v>432</v>
      </c>
      <c r="H316" s="168"/>
      <c r="I316" s="168"/>
      <c r="X316" s="133">
        <v>123.2</v>
      </c>
      <c r="Y316" s="133">
        <v>136.30000000000001</v>
      </c>
      <c r="Z316" s="133">
        <v>154.6</v>
      </c>
      <c r="AA316" s="133">
        <v>161.4</v>
      </c>
      <c r="AB316" s="133">
        <v>176</v>
      </c>
      <c r="AC316" s="133">
        <v>188.6</v>
      </c>
      <c r="AD316" s="133">
        <v>202.7</v>
      </c>
      <c r="AE316" s="133">
        <v>206.51589999999999</v>
      </c>
      <c r="AF316" s="133">
        <v>204.71418046070886</v>
      </c>
      <c r="AG316" s="133">
        <v>193.73533246552262</v>
      </c>
      <c r="AH316" s="133">
        <v>200.16648994561336</v>
      </c>
      <c r="AI316" s="133">
        <v>211.26713421255704</v>
      </c>
      <c r="AJ316" s="133">
        <v>211.03972388195569</v>
      </c>
      <c r="AK316" s="133">
        <v>211.07031935844321</v>
      </c>
      <c r="AL316" s="133">
        <v>210.51330297820496</v>
      </c>
      <c r="AM316" s="133">
        <v>210.53836185128603</v>
      </c>
      <c r="AN316" s="133">
        <v>210.52854110010932</v>
      </c>
      <c r="AO316" s="133">
        <v>210.51881253898731</v>
      </c>
      <c r="AP316" s="133">
        <v>210.50917620498871</v>
      </c>
      <c r="AQ316" s="133">
        <v>210.49963213663949</v>
      </c>
      <c r="AR316" s="133">
        <v>210.48218139921099</v>
      </c>
      <c r="AS316" s="133">
        <v>210.46478301399478</v>
      </c>
      <c r="AT316" s="133">
        <v>210.4474368239342</v>
      </c>
      <c r="AU316" s="133">
        <v>210.43014267244382</v>
      </c>
      <c r="AV316" s="133">
        <v>210.41290040340789</v>
      </c>
      <c r="AW316" s="133">
        <v>210.39570986117909</v>
      </c>
      <c r="AX316" s="133">
        <v>210.37857089057695</v>
      </c>
      <c r="AY316" s="133">
        <v>210.36148333688664</v>
      </c>
      <c r="AZ316" s="133">
        <v>210.3444266810148</v>
      </c>
      <c r="BA316" s="133">
        <v>210.32740086709182</v>
      </c>
      <c r="BB316" s="133">
        <v>210.31040583934913</v>
      </c>
      <c r="BC316" s="133">
        <f t="shared" ref="BC316:BG317" si="126">BB316*(1+((BB316-BA316)/BA316))</f>
        <v>210.29341218485104</v>
      </c>
      <c r="BD316" s="133">
        <f t="shared" si="126"/>
        <v>210.27641990348658</v>
      </c>
      <c r="BE316" s="133">
        <f t="shared" si="126"/>
        <v>210.25942899514482</v>
      </c>
      <c r="BF316" s="133">
        <f t="shared" si="126"/>
        <v>210.2424394597148</v>
      </c>
      <c r="BG316" s="133">
        <f t="shared" si="126"/>
        <v>210.22545129708558</v>
      </c>
    </row>
    <row r="317" spans="1:59" ht="13.75" customHeight="1">
      <c r="A317" s="171" t="s">
        <v>166</v>
      </c>
      <c r="B317" s="165" t="s">
        <v>413</v>
      </c>
      <c r="C317" s="165" t="s">
        <v>430</v>
      </c>
      <c r="D317" s="165" t="s">
        <v>168</v>
      </c>
      <c r="E317" s="167"/>
      <c r="F317" s="168" t="s">
        <v>435</v>
      </c>
      <c r="G317" s="168" t="s">
        <v>432</v>
      </c>
      <c r="H317" s="168"/>
      <c r="I317" s="168"/>
      <c r="X317" s="133">
        <v>26.2</v>
      </c>
      <c r="Y317" s="133">
        <v>28.2</v>
      </c>
      <c r="Z317" s="133">
        <v>28.3</v>
      </c>
      <c r="AA317" s="133">
        <v>30.4</v>
      </c>
      <c r="AB317" s="133">
        <v>26.7</v>
      </c>
      <c r="AC317" s="133">
        <v>26.9</v>
      </c>
      <c r="AD317" s="133">
        <v>29</v>
      </c>
      <c r="AE317" s="133">
        <v>24.466900000000003</v>
      </c>
      <c r="AF317" s="133">
        <v>24.891596713320009</v>
      </c>
      <c r="AG317" s="133">
        <v>24.037902341825109</v>
      </c>
      <c r="AH317" s="133">
        <v>24.747924412079861</v>
      </c>
      <c r="AI317" s="133">
        <v>25.479247144442258</v>
      </c>
      <c r="AJ317" s="133">
        <v>26.338255607955006</v>
      </c>
      <c r="AK317" s="133">
        <v>27.076505041915617</v>
      </c>
      <c r="AL317" s="133">
        <v>27.385163991298366</v>
      </c>
      <c r="AM317" s="133">
        <v>27.65531063121135</v>
      </c>
      <c r="AN317" s="133">
        <v>27.770307091511256</v>
      </c>
      <c r="AO317" s="133">
        <v>27.885878534112663</v>
      </c>
      <c r="AP317" s="133">
        <v>28.002027833927073</v>
      </c>
      <c r="AQ317" s="133">
        <v>28.118757880240558</v>
      </c>
      <c r="AR317" s="133">
        <v>28.118757880240558</v>
      </c>
      <c r="AS317" s="133">
        <v>28.118757880240558</v>
      </c>
      <c r="AT317" s="133">
        <v>28.118757880240558</v>
      </c>
      <c r="AU317" s="133">
        <v>28.118757880240558</v>
      </c>
      <c r="AV317" s="133">
        <v>28.118757880240558</v>
      </c>
      <c r="AW317" s="133">
        <v>28.118757880240558</v>
      </c>
      <c r="AX317" s="133">
        <v>28.118757880240558</v>
      </c>
      <c r="AY317" s="133">
        <v>28.118757880240558</v>
      </c>
      <c r="AZ317" s="133">
        <v>28.118757880240558</v>
      </c>
      <c r="BA317" s="133">
        <v>28.118757880240558</v>
      </c>
      <c r="BB317" s="133">
        <v>28.118757880240558</v>
      </c>
      <c r="BC317" s="133">
        <f t="shared" si="126"/>
        <v>28.118757880240558</v>
      </c>
      <c r="BD317" s="133">
        <f t="shared" si="126"/>
        <v>28.118757880240558</v>
      </c>
      <c r="BE317" s="133">
        <f t="shared" si="126"/>
        <v>28.118757880240558</v>
      </c>
      <c r="BF317" s="133">
        <f t="shared" si="126"/>
        <v>28.118757880240558</v>
      </c>
      <c r="BG317" s="133">
        <f t="shared" si="126"/>
        <v>28.118757880240558</v>
      </c>
    </row>
    <row r="318" spans="1:59" ht="13.75" customHeight="1">
      <c r="A318" s="171" t="s">
        <v>166</v>
      </c>
      <c r="B318" s="165" t="s">
        <v>413</v>
      </c>
      <c r="C318" s="165" t="s">
        <v>430</v>
      </c>
      <c r="D318" s="165" t="s">
        <v>168</v>
      </c>
      <c r="E318" s="167"/>
      <c r="F318" s="168" t="s">
        <v>436</v>
      </c>
      <c r="G318" s="168" t="s">
        <v>437</v>
      </c>
      <c r="H318" s="168"/>
      <c r="I318" s="168"/>
      <c r="W318" s="120">
        <v>5273093</v>
      </c>
      <c r="X318" s="128">
        <v>3942884</v>
      </c>
      <c r="Y318" s="128">
        <v>3989275</v>
      </c>
      <c r="Z318" s="128">
        <v>4615042</v>
      </c>
      <c r="AA318" s="128">
        <v>5080861</v>
      </c>
      <c r="AB318" s="128">
        <v>5314942</v>
      </c>
      <c r="AC318" s="128">
        <v>5304930</v>
      </c>
      <c r="AD318" s="128">
        <v>5631509</v>
      </c>
      <c r="AE318" s="128">
        <v>4314289</v>
      </c>
      <c r="AF318" s="128">
        <v>4961432.3499999987</v>
      </c>
      <c r="AG318" s="128">
        <v>4985592.368400001</v>
      </c>
      <c r="AH318" s="128">
        <v>5334583.8341880003</v>
      </c>
      <c r="AI318" s="128">
        <v>5708004.7025811607</v>
      </c>
      <c r="AJ318" s="128">
        <v>6050484.9847360309</v>
      </c>
      <c r="AK318" s="128">
        <v>6292504.384125473</v>
      </c>
      <c r="AL318" s="128">
        <v>6544204.5594904916</v>
      </c>
      <c r="AM318" s="128">
        <v>6740530.6962752072</v>
      </c>
      <c r="AN318" s="128">
        <f>+AM318*(1+3%)</f>
        <v>6942746.6171634635</v>
      </c>
      <c r="AO318" s="128">
        <f t="shared" ref="AO318:BG318" si="127">+AN318*(1+3%)</f>
        <v>7151029.0156783676</v>
      </c>
      <c r="AP318" s="128">
        <f t="shared" si="127"/>
        <v>7365559.8861487191</v>
      </c>
      <c r="AQ318" s="128">
        <f t="shared" si="127"/>
        <v>7586526.6827331809</v>
      </c>
      <c r="AR318" s="128">
        <f t="shared" si="127"/>
        <v>7814122.4832151765</v>
      </c>
      <c r="AS318" s="128">
        <f t="shared" si="127"/>
        <v>8048546.1577116316</v>
      </c>
      <c r="AT318" s="128">
        <f t="shared" si="127"/>
        <v>8290002.5424429812</v>
      </c>
      <c r="AU318" s="128">
        <f t="shared" si="127"/>
        <v>8538702.6187162716</v>
      </c>
      <c r="AV318" s="128">
        <f t="shared" si="127"/>
        <v>8794863.6972777601</v>
      </c>
      <c r="AW318" s="128">
        <f t="shared" si="127"/>
        <v>9058709.6081960928</v>
      </c>
      <c r="AX318" s="128">
        <f t="shared" si="127"/>
        <v>9330470.8964419756</v>
      </c>
      <c r="AY318" s="128">
        <f t="shared" si="127"/>
        <v>9610385.0233352352</v>
      </c>
      <c r="AZ318" s="128">
        <f t="shared" si="127"/>
        <v>9898696.5740352925</v>
      </c>
      <c r="BA318" s="128">
        <f t="shared" si="127"/>
        <v>10195657.471256351</v>
      </c>
      <c r="BB318" s="128">
        <f t="shared" si="127"/>
        <v>10501527.195394041</v>
      </c>
      <c r="BC318" s="128">
        <f t="shared" si="127"/>
        <v>10816573.011255862</v>
      </c>
      <c r="BD318" s="128">
        <f t="shared" si="127"/>
        <v>11141070.201593539</v>
      </c>
      <c r="BE318" s="128">
        <f t="shared" si="127"/>
        <v>11475302.307641346</v>
      </c>
      <c r="BF318" s="128">
        <f t="shared" si="127"/>
        <v>11819561.376870587</v>
      </c>
      <c r="BG318" s="128">
        <f t="shared" si="127"/>
        <v>12174148.218176706</v>
      </c>
    </row>
    <row r="319" spans="1:59" ht="13.75" customHeight="1">
      <c r="A319" s="171" t="s">
        <v>166</v>
      </c>
      <c r="B319" s="165" t="s">
        <v>413</v>
      </c>
      <c r="C319" s="165" t="s">
        <v>430</v>
      </c>
      <c r="D319" s="165" t="s">
        <v>168</v>
      </c>
      <c r="E319" s="167"/>
      <c r="F319" s="168" t="s">
        <v>438</v>
      </c>
      <c r="G319" s="168" t="s">
        <v>3</v>
      </c>
      <c r="H319" s="168"/>
      <c r="I319" s="168"/>
      <c r="X319" s="107">
        <v>8.5498877125441242E-2</v>
      </c>
      <c r="Y319" s="107">
        <v>6.6794739175410234E-2</v>
      </c>
      <c r="Z319" s="107">
        <v>8.9901648427759939E-2</v>
      </c>
      <c r="AA319" s="107">
        <v>3.7747839349262957E-2</v>
      </c>
      <c r="AB319" s="107">
        <v>2.9148805878750794E-2</v>
      </c>
      <c r="AC319" s="107">
        <v>-2.320599785790789E-2</v>
      </c>
      <c r="AD319" s="107">
        <v>1.7543859649122862E-2</v>
      </c>
      <c r="AE319" s="155">
        <v>7.2303456434856805E-3</v>
      </c>
      <c r="AF319" s="155">
        <v>8.3956466950710684E-2</v>
      </c>
      <c r="AG319" s="155">
        <v>1.947705190764415E-2</v>
      </c>
      <c r="AH319" s="155">
        <v>2.6824948601944287E-2</v>
      </c>
      <c r="AI319" s="155">
        <v>2.5729286687800057E-2</v>
      </c>
      <c r="AJ319" s="155">
        <v>8.9856000256414159E-3</v>
      </c>
      <c r="AK319" s="155">
        <v>9.5109093318823668E-3</v>
      </c>
      <c r="AL319" s="155">
        <v>3.8729528974215111E-3</v>
      </c>
      <c r="AM319" s="155">
        <v>6.0950320729489249E-3</v>
      </c>
      <c r="AN319" s="155">
        <v>4.6059873295372089E-3</v>
      </c>
      <c r="AO319" s="155">
        <v>4.414886682426955E-3</v>
      </c>
      <c r="AP319" s="155">
        <v>4.7068802582099778E-3</v>
      </c>
      <c r="AQ319" s="155">
        <v>4.1087700635791258E-3</v>
      </c>
      <c r="AR319" s="155">
        <v>4.2578229848815319E-3</v>
      </c>
      <c r="AS319" s="155">
        <v>4.539449945259344E-3</v>
      </c>
      <c r="AT319" s="155">
        <v>4.8250509524809804E-3</v>
      </c>
      <c r="AU319" s="155">
        <v>5.1145313889526811E-3</v>
      </c>
      <c r="AV319" s="155">
        <v>5.4077835578472122E-3</v>
      </c>
      <c r="AW319" s="155">
        <v>5.7046857510105742E-3</v>
      </c>
      <c r="AX319" s="155">
        <v>4.9722996469323544E-3</v>
      </c>
      <c r="AY319" s="155">
        <v>5.3269180664088367E-3</v>
      </c>
      <c r="AZ319" s="155">
        <v>5.6311883462856205E-3</v>
      </c>
      <c r="BA319" s="155">
        <v>5.9393541397882998E-3</v>
      </c>
      <c r="BB319" s="155">
        <v>6.2512219879036213E-3</v>
      </c>
      <c r="BC319" s="155">
        <v>6.5665733150992445E-3</v>
      </c>
      <c r="BD319" s="155">
        <v>6.8851618996721431E-3</v>
      </c>
      <c r="BE319" s="155">
        <v>7.2067109270195218E-3</v>
      </c>
      <c r="BF319" s="155">
        <v>7.5309095276943072E-3</v>
      </c>
      <c r="BG319" s="155">
        <v>7.8574086761695749E-3</v>
      </c>
    </row>
    <row r="320" spans="1:59" ht="13.75" customHeight="1">
      <c r="A320" s="171" t="s">
        <v>166</v>
      </c>
      <c r="B320" s="165" t="s">
        <v>413</v>
      </c>
      <c r="C320" s="165" t="s">
        <v>414</v>
      </c>
      <c r="D320" s="165" t="s">
        <v>168</v>
      </c>
      <c r="E320" s="167"/>
      <c r="F320" s="168" t="s">
        <v>439</v>
      </c>
      <c r="G320" s="168" t="s">
        <v>3</v>
      </c>
      <c r="H320" s="168"/>
      <c r="I320" s="168"/>
      <c r="X320" s="107">
        <v>-4.0349339024561059E-2</v>
      </c>
      <c r="Y320" s="107">
        <v>-4.2060227229930192E-2</v>
      </c>
      <c r="Z320" s="107">
        <v>0.2056361280388681</v>
      </c>
      <c r="AA320" s="107">
        <v>0.11029572183023761</v>
      </c>
      <c r="AB320" s="107">
        <v>7.2747588646600692E-2</v>
      </c>
      <c r="AC320" s="107">
        <v>-0.50243841349415264</v>
      </c>
      <c r="AD320" s="107">
        <v>0.59464380596900557</v>
      </c>
      <c r="AE320" s="107">
        <v>-7.6427055101379482E-2</v>
      </c>
      <c r="AF320" s="107">
        <v>0.12657407407407417</v>
      </c>
      <c r="AG320" s="107">
        <v>3.4940193411114873E-2</v>
      </c>
      <c r="AH320" s="107">
        <v>6.6677168812536047E-2</v>
      </c>
      <c r="AI320" s="107">
        <v>5.6970437751582281E-2</v>
      </c>
      <c r="AJ320" s="107">
        <v>5.3151138068918025E-2</v>
      </c>
      <c r="AK320" s="107">
        <v>5.189032347816025E-2</v>
      </c>
      <c r="AL320" s="107">
        <v>4.730326282172137E-2</v>
      </c>
      <c r="AM320" s="107">
        <v>4.5166729161401742E-2</v>
      </c>
      <c r="AN320" s="107">
        <v>0.02</v>
      </c>
      <c r="AO320" s="107">
        <f t="shared" ref="AO320:AZ320" si="128">AN320</f>
        <v>0.02</v>
      </c>
      <c r="AP320" s="107">
        <f t="shared" si="128"/>
        <v>0.02</v>
      </c>
      <c r="AQ320" s="107">
        <f t="shared" si="128"/>
        <v>0.02</v>
      </c>
      <c r="AR320" s="107">
        <f t="shared" si="128"/>
        <v>0.02</v>
      </c>
      <c r="AS320" s="107">
        <f t="shared" si="128"/>
        <v>0.02</v>
      </c>
      <c r="AT320" s="107">
        <f t="shared" si="128"/>
        <v>0.02</v>
      </c>
      <c r="AU320" s="107">
        <f t="shared" si="128"/>
        <v>0.02</v>
      </c>
      <c r="AV320" s="107">
        <f t="shared" si="128"/>
        <v>0.02</v>
      </c>
      <c r="AW320" s="107">
        <f t="shared" si="128"/>
        <v>0.02</v>
      </c>
      <c r="AX320" s="107">
        <f t="shared" si="128"/>
        <v>0.02</v>
      </c>
      <c r="AY320" s="107">
        <f t="shared" si="128"/>
        <v>0.02</v>
      </c>
      <c r="AZ320" s="107">
        <f t="shared" si="128"/>
        <v>0.02</v>
      </c>
      <c r="BA320" s="107">
        <f>AZ320</f>
        <v>0.02</v>
      </c>
      <c r="BB320" s="107">
        <f>BA320</f>
        <v>0.02</v>
      </c>
      <c r="BC320" s="107">
        <f t="shared" ref="BC320:BG320" si="129">BB320</f>
        <v>0.02</v>
      </c>
      <c r="BD320" s="107">
        <f t="shared" si="129"/>
        <v>0.02</v>
      </c>
      <c r="BE320" s="107">
        <f t="shared" si="129"/>
        <v>0.02</v>
      </c>
      <c r="BF320" s="107">
        <f t="shared" si="129"/>
        <v>0.02</v>
      </c>
      <c r="BG320" s="107">
        <f t="shared" si="129"/>
        <v>0.02</v>
      </c>
    </row>
    <row r="321" spans="1:59" ht="13.75" customHeight="1">
      <c r="A321" s="171" t="s">
        <v>166</v>
      </c>
      <c r="B321" s="165" t="s">
        <v>413</v>
      </c>
      <c r="C321" s="165" t="s">
        <v>417</v>
      </c>
      <c r="D321" s="165" t="s">
        <v>168</v>
      </c>
      <c r="E321" s="167"/>
      <c r="F321" s="168" t="s">
        <v>440</v>
      </c>
      <c r="G321" s="168" t="s">
        <v>441</v>
      </c>
      <c r="H321" s="168"/>
      <c r="I321" s="168"/>
      <c r="X321" s="128">
        <v>450</v>
      </c>
      <c r="Y321" s="128">
        <v>697.91666666666663</v>
      </c>
      <c r="Z321" s="128">
        <v>1327.0833333333333</v>
      </c>
      <c r="AA321" s="128">
        <v>1750</v>
      </c>
      <c r="AB321" s="128">
        <v>1773.6250000000002</v>
      </c>
      <c r="AC321" s="128">
        <v>912.5</v>
      </c>
      <c r="AD321" s="128">
        <v>972.91666666666663</v>
      </c>
      <c r="AE321" s="128">
        <v>1518.75</v>
      </c>
      <c r="AF321" s="128">
        <v>1950</v>
      </c>
      <c r="AG321" s="128">
        <v>1900</v>
      </c>
      <c r="AH321" s="128">
        <v>1966.4839825679173</v>
      </c>
      <c r="AI321" s="128">
        <v>2042.9980174550037</v>
      </c>
      <c r="AJ321" s="128">
        <v>2128.7179381532042</v>
      </c>
      <c r="AK321" s="128">
        <v>2217.8666556793323</v>
      </c>
      <c r="AL321" s="128">
        <v>2310.5813219065058</v>
      </c>
      <c r="AM321" s="128">
        <v>2407.0045747827662</v>
      </c>
      <c r="AN321" s="128">
        <f t="shared" ref="AN321:AX321" si="130">AM321*(1+AN5*3/4)</f>
        <v>2479.2147120262493</v>
      </c>
      <c r="AO321" s="128">
        <f t="shared" si="130"/>
        <v>2553.5911533870367</v>
      </c>
      <c r="AP321" s="128">
        <f t="shared" si="130"/>
        <v>2630.198887988648</v>
      </c>
      <c r="AQ321" s="128">
        <f t="shared" si="130"/>
        <v>2709.1048546283077</v>
      </c>
      <c r="AR321" s="128">
        <f t="shared" si="130"/>
        <v>2790.3780002671569</v>
      </c>
      <c r="AS321" s="128">
        <f t="shared" si="130"/>
        <v>2874.0893402751717</v>
      </c>
      <c r="AT321" s="128">
        <f t="shared" si="130"/>
        <v>2960.3120204834267</v>
      </c>
      <c r="AU321" s="128">
        <f t="shared" si="130"/>
        <v>3049.1213810979298</v>
      </c>
      <c r="AV321" s="128">
        <f t="shared" si="130"/>
        <v>3140.5950225308679</v>
      </c>
      <c r="AW321" s="128">
        <f t="shared" si="130"/>
        <v>3234.8128732067939</v>
      </c>
      <c r="AX321" s="128">
        <f t="shared" si="130"/>
        <v>3331.8572594029979</v>
      </c>
      <c r="AY321" s="128">
        <f t="shared" ref="AY321:BG321" si="131">AX321*(1+AY5)</f>
        <v>3465.1315497791179</v>
      </c>
      <c r="AZ321" s="128">
        <f t="shared" si="131"/>
        <v>3603.7368117702827</v>
      </c>
      <c r="BA321" s="128">
        <f t="shared" si="131"/>
        <v>3747.886284241094</v>
      </c>
      <c r="BB321" s="128">
        <f t="shared" si="131"/>
        <v>3897.801735610738</v>
      </c>
      <c r="BC321" s="128">
        <f t="shared" si="131"/>
        <v>4053.7138050351678</v>
      </c>
      <c r="BD321" s="128">
        <f t="shared" si="131"/>
        <v>4215.862357236575</v>
      </c>
      <c r="BE321" s="128">
        <f t="shared" si="131"/>
        <v>4384.496851526038</v>
      </c>
      <c r="BF321" s="128">
        <f t="shared" si="131"/>
        <v>4559.8767255870798</v>
      </c>
      <c r="BG321" s="128">
        <f t="shared" si="131"/>
        <v>4742.2717946105631</v>
      </c>
    </row>
    <row r="322" spans="1:59" ht="13.75" customHeight="1">
      <c r="A322" s="171" t="s">
        <v>166</v>
      </c>
      <c r="B322" s="165" t="s">
        <v>413</v>
      </c>
      <c r="C322" s="165" t="s">
        <v>417</v>
      </c>
      <c r="D322" s="165" t="s">
        <v>168</v>
      </c>
      <c r="E322" s="167"/>
      <c r="F322" s="168" t="s">
        <v>442</v>
      </c>
      <c r="G322" s="168" t="s">
        <v>443</v>
      </c>
      <c r="H322" s="168"/>
      <c r="I322" s="168"/>
      <c r="X322" s="133">
        <v>16.399999999999999</v>
      </c>
      <c r="Y322" s="133">
        <v>20</v>
      </c>
      <c r="Z322" s="133">
        <v>36.9</v>
      </c>
      <c r="AA322" s="133">
        <v>42.603999999999999</v>
      </c>
      <c r="AB322" s="133">
        <v>37.820999999999998</v>
      </c>
      <c r="AC322" s="133">
        <v>22</v>
      </c>
      <c r="AD322" s="133">
        <v>20.117000000000001</v>
      </c>
      <c r="AE322" s="133">
        <v>20.23</v>
      </c>
      <c r="AF322" s="133">
        <v>15</v>
      </c>
      <c r="AG322" s="112">
        <v>10</v>
      </c>
      <c r="AH322" s="112">
        <v>10</v>
      </c>
      <c r="AI322" s="112">
        <v>19</v>
      </c>
      <c r="AJ322" s="112">
        <v>19</v>
      </c>
      <c r="AK322" s="112">
        <v>19</v>
      </c>
      <c r="AL322" s="112">
        <v>19</v>
      </c>
      <c r="AM322" s="112">
        <v>19</v>
      </c>
      <c r="AN322" s="112">
        <v>19</v>
      </c>
      <c r="AO322" s="112">
        <v>19</v>
      </c>
      <c r="AP322" s="112">
        <v>19</v>
      </c>
      <c r="AQ322" s="112">
        <v>19</v>
      </c>
      <c r="AR322" s="112">
        <v>19</v>
      </c>
      <c r="AS322" s="112">
        <v>19</v>
      </c>
      <c r="AT322" s="112">
        <v>19</v>
      </c>
      <c r="AU322" s="112">
        <v>19</v>
      </c>
      <c r="AV322" s="112">
        <v>19</v>
      </c>
      <c r="AW322" s="112">
        <v>19</v>
      </c>
      <c r="AX322" s="112">
        <v>19</v>
      </c>
      <c r="AY322" s="112">
        <v>20</v>
      </c>
      <c r="AZ322" s="112">
        <v>21</v>
      </c>
      <c r="BA322" s="112">
        <v>22</v>
      </c>
      <c r="BB322" s="112">
        <v>23</v>
      </c>
      <c r="BC322" s="112">
        <f>BB322*(1+((BB322-BA322)/BA322))</f>
        <v>24.045454545454543</v>
      </c>
      <c r="BD322" s="112">
        <f>BC322*(1+((BC322-BB322)/BB322))</f>
        <v>25.138429752066113</v>
      </c>
      <c r="BE322" s="112">
        <f t="shared" ref="BE322:BG322" si="132">BD322*(1+((BD322-BC322)/BC322))</f>
        <v>26.281085649887299</v>
      </c>
      <c r="BF322" s="112">
        <f t="shared" si="132"/>
        <v>27.475680452154901</v>
      </c>
      <c r="BG322" s="112">
        <f t="shared" si="132"/>
        <v>28.724575018161939</v>
      </c>
    </row>
    <row r="323" spans="1:59" ht="13.75" customHeight="1" outlineLevel="1">
      <c r="A323" s="171" t="s">
        <v>166</v>
      </c>
      <c r="B323" s="165" t="s">
        <v>413</v>
      </c>
      <c r="C323" s="165" t="s">
        <v>417</v>
      </c>
      <c r="D323" s="165" t="s">
        <v>168</v>
      </c>
      <c r="E323" s="167"/>
      <c r="F323" s="168" t="s">
        <v>444</v>
      </c>
      <c r="G323" s="168" t="s">
        <v>441</v>
      </c>
      <c r="H323" s="168"/>
      <c r="I323" s="168"/>
      <c r="S323" s="128">
        <v>971.66666666666663</v>
      </c>
      <c r="T323" s="128">
        <v>1125.8333333333333</v>
      </c>
      <c r="U323" s="128">
        <v>1280</v>
      </c>
      <c r="V323" s="128">
        <v>1083.05125</v>
      </c>
      <c r="W323" s="128">
        <v>764.74416666666673</v>
      </c>
      <c r="X323" s="128">
        <v>597.5</v>
      </c>
      <c r="Y323" s="128">
        <v>521.66666666666663</v>
      </c>
      <c r="Z323" s="128">
        <v>556.25</v>
      </c>
      <c r="AA323" s="128">
        <v>660.41666666666663</v>
      </c>
      <c r="AB323" s="128">
        <v>950</v>
      </c>
      <c r="AC323" s="128">
        <v>958.33333333333337</v>
      </c>
      <c r="AD323" s="128">
        <v>1029.1666666666667</v>
      </c>
      <c r="AE323" s="128">
        <v>1333.3333333333333</v>
      </c>
      <c r="AF323" s="128">
        <v>1500</v>
      </c>
      <c r="AG323" s="128">
        <v>1425</v>
      </c>
      <c r="AH323" s="128">
        <v>1450.3470183540185</v>
      </c>
      <c r="AI323" s="128">
        <v>1479.0487423572267</v>
      </c>
      <c r="AJ323" s="128">
        <v>1510.6297172043712</v>
      </c>
      <c r="AK323" s="128">
        <v>1542.8423115484586</v>
      </c>
      <c r="AL323" s="128">
        <v>1575.6991577794279</v>
      </c>
      <c r="AM323" s="128">
        <v>1609.2131409350166</v>
      </c>
      <c r="AN323" s="128">
        <f t="shared" ref="AN323:AX323" si="133">AM323*(1+AN5/2)</f>
        <v>1641.3974037537168</v>
      </c>
      <c r="AO323" s="128">
        <f t="shared" si="133"/>
        <v>1674.2253518287912</v>
      </c>
      <c r="AP323" s="128">
        <f t="shared" si="133"/>
        <v>1707.7098588653671</v>
      </c>
      <c r="AQ323" s="128">
        <f t="shared" si="133"/>
        <v>1741.8640560426745</v>
      </c>
      <c r="AR323" s="128">
        <f t="shared" si="133"/>
        <v>1776.701337163528</v>
      </c>
      <c r="AS323" s="128">
        <f t="shared" si="133"/>
        <v>1812.2353639067985</v>
      </c>
      <c r="AT323" s="128">
        <f t="shared" si="133"/>
        <v>1848.4800711849346</v>
      </c>
      <c r="AU323" s="128">
        <f t="shared" si="133"/>
        <v>1885.4496726086334</v>
      </c>
      <c r="AV323" s="128">
        <f t="shared" si="133"/>
        <v>1923.1586660608061</v>
      </c>
      <c r="AW323" s="128">
        <f t="shared" si="133"/>
        <v>1961.6218393820222</v>
      </c>
      <c r="AX323" s="128">
        <f t="shared" si="133"/>
        <v>2000.8542761696626</v>
      </c>
      <c r="AY323" s="128">
        <f t="shared" ref="AY323:BG323" si="134">AX323*(1+AY$5/2)</f>
        <v>2040.8713616930559</v>
      </c>
      <c r="AZ323" s="128">
        <f t="shared" si="134"/>
        <v>2081.6887889269169</v>
      </c>
      <c r="BA323" s="128">
        <f t="shared" si="134"/>
        <v>2123.3225647054551</v>
      </c>
      <c r="BB323" s="128">
        <f t="shared" si="134"/>
        <v>2165.7890159995641</v>
      </c>
      <c r="BC323" s="128">
        <f t="shared" si="134"/>
        <v>2209.1047963195556</v>
      </c>
      <c r="BD323" s="128">
        <f t="shared" si="134"/>
        <v>2253.2868922459465</v>
      </c>
      <c r="BE323" s="128">
        <f t="shared" si="134"/>
        <v>2298.3526300908657</v>
      </c>
      <c r="BF323" s="128">
        <f t="shared" si="134"/>
        <v>2344.3196826926828</v>
      </c>
      <c r="BG323" s="128">
        <f t="shared" si="134"/>
        <v>2391.2060763465365</v>
      </c>
    </row>
    <row r="324" spans="1:59" ht="13.75" customHeight="1" outlineLevel="1">
      <c r="A324" s="171" t="s">
        <v>166</v>
      </c>
      <c r="B324" s="165" t="s">
        <v>413</v>
      </c>
      <c r="C324" s="165" t="s">
        <v>417</v>
      </c>
      <c r="D324" s="165" t="s">
        <v>168</v>
      </c>
      <c r="E324" s="167"/>
      <c r="F324" s="168" t="s">
        <v>445</v>
      </c>
      <c r="G324" s="168" t="s">
        <v>3</v>
      </c>
      <c r="H324" s="168"/>
      <c r="I324" s="168"/>
      <c r="Q324" s="107">
        <v>0.15140845070422526</v>
      </c>
      <c r="R324" s="107">
        <v>-0.21630988786952088</v>
      </c>
      <c r="S324" s="107">
        <v>0.20031217481789798</v>
      </c>
      <c r="T324" s="107">
        <v>0.15604681404421328</v>
      </c>
      <c r="U324" s="107">
        <v>0.10348706411698538</v>
      </c>
      <c r="V324" s="107">
        <v>5.8783554196398136E-2</v>
      </c>
      <c r="W324" s="107">
        <v>3.145057766367132E-2</v>
      </c>
      <c r="X324" s="107">
        <v>-7.9340385812072145E-2</v>
      </c>
      <c r="Y324" s="107">
        <v>0.10273741128759717</v>
      </c>
      <c r="Z324" s="107">
        <v>0.19000919399325777</v>
      </c>
      <c r="AA324" s="107">
        <v>0.14318825650270406</v>
      </c>
      <c r="AB324" s="107">
        <v>0.1236765037170533</v>
      </c>
      <c r="AC324" s="107">
        <v>0.16511026463512435</v>
      </c>
      <c r="AD324" s="107">
        <v>0.11890590666549672</v>
      </c>
      <c r="AE324" s="107">
        <v>4.3896127899454296E-3</v>
      </c>
      <c r="AF324" s="107">
        <v>0.12462253300823467</v>
      </c>
      <c r="AG324" s="107">
        <v>6.2385063301633306E-2</v>
      </c>
      <c r="AH324" s="107">
        <v>5.2647422790408696E-2</v>
      </c>
      <c r="AI324" s="107">
        <v>3.8766514479322681E-2</v>
      </c>
      <c r="AJ324" s="107">
        <v>3.5642284339342592E-2</v>
      </c>
      <c r="AK324" s="107">
        <v>3.3690629293862698E-2</v>
      </c>
      <c r="AL324" s="107">
        <v>3.2964363602310379E-2</v>
      </c>
      <c r="AM324" s="107">
        <v>3.1869704507457311E-2</v>
      </c>
      <c r="AN324" s="107">
        <v>0.03</v>
      </c>
      <c r="AO324" s="107">
        <f t="shared" ref="AO324:BG324" si="135">+AN324</f>
        <v>0.03</v>
      </c>
      <c r="AP324" s="107">
        <f t="shared" si="135"/>
        <v>0.03</v>
      </c>
      <c r="AQ324" s="107">
        <f t="shared" si="135"/>
        <v>0.03</v>
      </c>
      <c r="AR324" s="107">
        <f t="shared" si="135"/>
        <v>0.03</v>
      </c>
      <c r="AS324" s="107">
        <f t="shared" si="135"/>
        <v>0.03</v>
      </c>
      <c r="AT324" s="107">
        <f t="shared" si="135"/>
        <v>0.03</v>
      </c>
      <c r="AU324" s="107">
        <f t="shared" si="135"/>
        <v>0.03</v>
      </c>
      <c r="AV324" s="107">
        <f t="shared" si="135"/>
        <v>0.03</v>
      </c>
      <c r="AW324" s="107">
        <f t="shared" si="135"/>
        <v>0.03</v>
      </c>
      <c r="AX324" s="107">
        <f t="shared" si="135"/>
        <v>0.03</v>
      </c>
      <c r="AY324" s="107">
        <f t="shared" si="135"/>
        <v>0.03</v>
      </c>
      <c r="AZ324" s="107">
        <f t="shared" si="135"/>
        <v>0.03</v>
      </c>
      <c r="BA324" s="107">
        <f t="shared" si="135"/>
        <v>0.03</v>
      </c>
      <c r="BB324" s="107">
        <f t="shared" si="135"/>
        <v>0.03</v>
      </c>
      <c r="BC324" s="107">
        <f t="shared" si="135"/>
        <v>0.03</v>
      </c>
      <c r="BD324" s="107">
        <f t="shared" si="135"/>
        <v>0.03</v>
      </c>
      <c r="BE324" s="107">
        <f t="shared" si="135"/>
        <v>0.03</v>
      </c>
      <c r="BF324" s="107">
        <f t="shared" si="135"/>
        <v>0.03</v>
      </c>
      <c r="BG324" s="107">
        <f t="shared" si="135"/>
        <v>0.03</v>
      </c>
    </row>
    <row r="325" spans="1:59" ht="13.75" customHeight="1" outlineLevel="1">
      <c r="A325" s="171" t="s">
        <v>166</v>
      </c>
      <c r="B325" s="165" t="s">
        <v>413</v>
      </c>
      <c r="C325" s="165" t="s">
        <v>414</v>
      </c>
      <c r="D325" s="165" t="s">
        <v>168</v>
      </c>
      <c r="E325" s="167"/>
      <c r="F325" s="168" t="s">
        <v>446</v>
      </c>
      <c r="G325" s="168" t="s">
        <v>3</v>
      </c>
      <c r="H325" s="168"/>
      <c r="I325" s="168"/>
      <c r="X325" s="107">
        <v>-0.16492083993052098</v>
      </c>
      <c r="Y325" s="107">
        <v>-0.15255721133965194</v>
      </c>
      <c r="Z325" s="107">
        <v>0.32269592095810884</v>
      </c>
      <c r="AA325" s="107">
        <v>0.12076818601514416</v>
      </c>
      <c r="AB325" s="107">
        <v>8.3105885775112354E-2</v>
      </c>
      <c r="AC325" s="107">
        <v>-0.76922335179826584</v>
      </c>
      <c r="AD325" s="156">
        <v>0.71350011313218742</v>
      </c>
      <c r="AE325" s="107">
        <v>2.9343036924097454E-2</v>
      </c>
      <c r="AF325" s="107">
        <v>0.19471947194719497</v>
      </c>
      <c r="AG325" s="107">
        <v>0.12048192771084332</v>
      </c>
      <c r="AH325" s="107">
        <v>9.1397849462365288E-2</v>
      </c>
      <c r="AI325" s="107">
        <v>7.8817733990147909E-2</v>
      </c>
      <c r="AJ325" s="107">
        <v>7.0776255707762692E-2</v>
      </c>
      <c r="AK325" s="107">
        <v>7.0362473347548082E-2</v>
      </c>
      <c r="AL325" s="107">
        <v>5.9760956175298752E-2</v>
      </c>
      <c r="AM325" s="107">
        <v>5.6390977443609103E-2</v>
      </c>
      <c r="AN325" s="107">
        <v>0.02</v>
      </c>
      <c r="AO325" s="107">
        <f t="shared" ref="AO325:BD326" si="136">AN325</f>
        <v>0.02</v>
      </c>
      <c r="AP325" s="107">
        <f t="shared" si="136"/>
        <v>0.02</v>
      </c>
      <c r="AQ325" s="107">
        <f t="shared" si="136"/>
        <v>0.02</v>
      </c>
      <c r="AR325" s="107">
        <f t="shared" si="136"/>
        <v>0.02</v>
      </c>
      <c r="AS325" s="107">
        <f t="shared" si="136"/>
        <v>0.02</v>
      </c>
      <c r="AT325" s="107">
        <f t="shared" si="136"/>
        <v>0.02</v>
      </c>
      <c r="AU325" s="107">
        <f t="shared" si="136"/>
        <v>0.02</v>
      </c>
      <c r="AV325" s="107">
        <f t="shared" si="136"/>
        <v>0.02</v>
      </c>
      <c r="AW325" s="107">
        <f t="shared" si="136"/>
        <v>0.02</v>
      </c>
      <c r="AX325" s="107">
        <f t="shared" si="136"/>
        <v>0.02</v>
      </c>
      <c r="AY325" s="107">
        <f t="shared" si="136"/>
        <v>0.02</v>
      </c>
      <c r="AZ325" s="107">
        <f t="shared" si="136"/>
        <v>0.02</v>
      </c>
      <c r="BA325" s="107">
        <f t="shared" si="136"/>
        <v>0.02</v>
      </c>
      <c r="BB325" s="107">
        <f t="shared" si="136"/>
        <v>0.02</v>
      </c>
      <c r="BC325" s="107">
        <f t="shared" si="136"/>
        <v>0.02</v>
      </c>
      <c r="BD325" s="107">
        <f t="shared" si="136"/>
        <v>0.02</v>
      </c>
      <c r="BE325" s="107">
        <f t="shared" ref="BE325:BG326" si="137">BD325</f>
        <v>0.02</v>
      </c>
      <c r="BF325" s="107">
        <f t="shared" si="137"/>
        <v>0.02</v>
      </c>
      <c r="BG325" s="107">
        <f t="shared" si="137"/>
        <v>0.02</v>
      </c>
    </row>
    <row r="326" spans="1:59" ht="13.75" customHeight="1" outlineLevel="1">
      <c r="A326" s="171" t="s">
        <v>166</v>
      </c>
      <c r="B326" s="165" t="s">
        <v>413</v>
      </c>
      <c r="C326" s="165" t="s">
        <v>414</v>
      </c>
      <c r="D326" s="165" t="s">
        <v>168</v>
      </c>
      <c r="E326" s="167"/>
      <c r="F326" s="168" t="s">
        <v>447</v>
      </c>
      <c r="G326" s="168" t="s">
        <v>3</v>
      </c>
      <c r="H326" s="168"/>
      <c r="I326" s="168"/>
      <c r="X326" s="107">
        <v>0.13603010050821651</v>
      </c>
      <c r="Y326" s="107">
        <v>7.2944976798719585E-2</v>
      </c>
      <c r="Z326" s="107">
        <v>0.10940673262953249</v>
      </c>
      <c r="AA326" s="107">
        <v>0.10003168724899392</v>
      </c>
      <c r="AB326" s="107">
        <v>5.9772373762017939E-2</v>
      </c>
      <c r="AC326" s="107">
        <v>-0.23016862690538342</v>
      </c>
      <c r="AD326" s="156">
        <v>0.55828129455246756</v>
      </c>
      <c r="AE326" s="107">
        <v>-0.11200925540067508</v>
      </c>
      <c r="AF326" s="107">
        <v>0.10000000000000009</v>
      </c>
      <c r="AG326" s="107">
        <v>0</v>
      </c>
      <c r="AH326" s="107">
        <v>5.5363263646981631E-2</v>
      </c>
      <c r="AI326" s="107">
        <v>4.6630190384274517E-2</v>
      </c>
      <c r="AJ326" s="107">
        <v>4.45526899688935E-2</v>
      </c>
      <c r="AK326" s="107">
        <v>4.2652410353967163E-2</v>
      </c>
      <c r="AL326" s="107">
        <v>4.0907602505313667E-2</v>
      </c>
      <c r="AM326" s="107">
        <v>3.9299936331385066E-2</v>
      </c>
      <c r="AN326" s="107">
        <v>0.02</v>
      </c>
      <c r="AO326" s="107">
        <f t="shared" si="136"/>
        <v>0.02</v>
      </c>
      <c r="AP326" s="107">
        <f t="shared" si="136"/>
        <v>0.02</v>
      </c>
      <c r="AQ326" s="107">
        <f t="shared" si="136"/>
        <v>0.02</v>
      </c>
      <c r="AR326" s="107">
        <f t="shared" si="136"/>
        <v>0.02</v>
      </c>
      <c r="AS326" s="107">
        <f t="shared" si="136"/>
        <v>0.02</v>
      </c>
      <c r="AT326" s="107">
        <f t="shared" si="136"/>
        <v>0.02</v>
      </c>
      <c r="AU326" s="107">
        <f t="shared" si="136"/>
        <v>0.02</v>
      </c>
      <c r="AV326" s="107">
        <f t="shared" si="136"/>
        <v>0.02</v>
      </c>
      <c r="AW326" s="107">
        <f t="shared" si="136"/>
        <v>0.02</v>
      </c>
      <c r="AX326" s="107">
        <f t="shared" si="136"/>
        <v>0.02</v>
      </c>
      <c r="AY326" s="107">
        <f t="shared" si="136"/>
        <v>0.02</v>
      </c>
      <c r="AZ326" s="107">
        <f t="shared" si="136"/>
        <v>0.02</v>
      </c>
      <c r="BA326" s="107">
        <f t="shared" si="136"/>
        <v>0.02</v>
      </c>
      <c r="BB326" s="107">
        <f t="shared" si="136"/>
        <v>0.02</v>
      </c>
      <c r="BC326" s="107">
        <f t="shared" si="136"/>
        <v>0.02</v>
      </c>
      <c r="BD326" s="107">
        <f t="shared" si="136"/>
        <v>0.02</v>
      </c>
      <c r="BE326" s="107">
        <f t="shared" si="137"/>
        <v>0.02</v>
      </c>
      <c r="BF326" s="107">
        <f t="shared" si="137"/>
        <v>0.02</v>
      </c>
      <c r="BG326" s="107">
        <f t="shared" si="137"/>
        <v>0.02</v>
      </c>
    </row>
    <row r="327" spans="1:59" ht="13.75" customHeight="1" outlineLevel="1">
      <c r="A327" s="171" t="s">
        <v>166</v>
      </c>
      <c r="B327" s="165" t="s">
        <v>413</v>
      </c>
      <c r="C327" s="165"/>
      <c r="D327" s="165"/>
      <c r="E327" s="167"/>
      <c r="F327" s="168"/>
      <c r="G327" s="168"/>
      <c r="H327" s="168"/>
      <c r="I327" s="168"/>
    </row>
    <row r="328" spans="1:59" ht="13.75" customHeight="1" outlineLevel="1">
      <c r="A328" s="171" t="s">
        <v>166</v>
      </c>
      <c r="B328" s="165" t="s">
        <v>413</v>
      </c>
      <c r="C328" s="165"/>
      <c r="D328" s="165"/>
      <c r="E328" s="167"/>
      <c r="F328" s="168"/>
      <c r="G328" s="168"/>
      <c r="H328" s="168"/>
      <c r="I328" s="168"/>
    </row>
    <row r="329" spans="1:59" ht="13.75" customHeight="1" outlineLevel="1">
      <c r="A329" s="171" t="s">
        <v>166</v>
      </c>
      <c r="B329" s="165" t="s">
        <v>413</v>
      </c>
      <c r="C329" s="165"/>
      <c r="D329" s="165"/>
      <c r="E329" s="167"/>
      <c r="F329" s="168"/>
      <c r="G329" s="168"/>
      <c r="H329" s="168"/>
      <c r="I329" s="168"/>
    </row>
    <row r="330" spans="1:59" ht="13.75" customHeight="1" outlineLevel="1">
      <c r="A330" s="171" t="s">
        <v>166</v>
      </c>
      <c r="B330" s="165" t="s">
        <v>413</v>
      </c>
      <c r="C330" s="165"/>
      <c r="D330" s="165"/>
      <c r="E330" s="167"/>
      <c r="F330" s="168"/>
      <c r="G330" s="168"/>
      <c r="H330" s="168"/>
      <c r="I330" s="168"/>
    </row>
    <row r="331" spans="1:59" ht="13.75" customHeight="1" outlineLevel="1">
      <c r="A331" s="171" t="s">
        <v>166</v>
      </c>
      <c r="B331" s="165" t="s">
        <v>413</v>
      </c>
      <c r="C331" s="165"/>
      <c r="D331" s="165"/>
      <c r="E331" s="167"/>
      <c r="F331" s="168"/>
      <c r="G331" s="168"/>
      <c r="H331" s="168"/>
      <c r="I331" s="168"/>
    </row>
    <row r="332" spans="1:59" ht="13.75" customHeight="1" outlineLevel="1">
      <c r="A332" s="171"/>
      <c r="B332" s="165"/>
      <c r="C332" s="165"/>
      <c r="D332" s="165"/>
      <c r="E332" s="167"/>
      <c r="F332" s="168"/>
      <c r="G332" s="168"/>
      <c r="H332" s="168"/>
      <c r="I332" s="168"/>
    </row>
    <row r="333" spans="1:59" ht="13.75" customHeight="1" outlineLevel="1">
      <c r="A333" s="171"/>
      <c r="B333" s="165"/>
      <c r="C333" s="165"/>
      <c r="D333" s="165"/>
      <c r="E333" s="167"/>
      <c r="F333" s="168"/>
      <c r="G333" s="168"/>
      <c r="H333" s="168"/>
      <c r="I333" s="168"/>
    </row>
    <row r="334" spans="1:59" ht="13.75" customHeight="1" outlineLevel="1">
      <c r="A334" s="171"/>
      <c r="B334" s="165"/>
      <c r="C334" s="165"/>
      <c r="D334" s="165"/>
      <c r="E334" s="167"/>
      <c r="F334" s="168"/>
      <c r="G334" s="168"/>
      <c r="H334" s="168"/>
      <c r="I334" s="168"/>
    </row>
    <row r="335" spans="1:59" ht="13.75" customHeight="1" outlineLevel="1">
      <c r="A335" s="171"/>
      <c r="B335" s="165"/>
      <c r="C335" s="165"/>
      <c r="D335" s="165"/>
      <c r="E335" s="167"/>
      <c r="F335" s="168"/>
      <c r="G335" s="168"/>
      <c r="H335" s="168"/>
      <c r="I335" s="168"/>
    </row>
    <row r="336" spans="1:59" ht="13.75" customHeight="1" outlineLevel="1">
      <c r="A336" s="171"/>
      <c r="B336" s="165"/>
      <c r="C336" s="165"/>
      <c r="D336" s="165"/>
      <c r="E336" s="167"/>
      <c r="F336" s="168"/>
      <c r="G336" s="168"/>
      <c r="H336" s="168"/>
      <c r="I336" s="168"/>
    </row>
    <row r="337" spans="1:59" ht="13.75" customHeight="1" outlineLevel="1">
      <c r="A337" s="171"/>
      <c r="B337" s="165"/>
      <c r="C337" s="165"/>
      <c r="D337" s="165"/>
      <c r="E337" s="167"/>
      <c r="F337" s="168"/>
      <c r="G337" s="168"/>
      <c r="H337" s="168"/>
      <c r="I337" s="168"/>
    </row>
    <row r="338" spans="1:59" ht="13.75" customHeight="1">
      <c r="A338" s="171" t="s">
        <v>166</v>
      </c>
      <c r="B338" s="165" t="s">
        <v>448</v>
      </c>
      <c r="C338" s="165"/>
      <c r="D338" s="165" t="s">
        <v>168</v>
      </c>
      <c r="E338" s="167"/>
      <c r="F338" s="168" t="s">
        <v>449</v>
      </c>
      <c r="G338" s="168" t="s">
        <v>4</v>
      </c>
      <c r="H338" s="168"/>
      <c r="I338" s="168"/>
      <c r="U338" s="128"/>
      <c r="V338" s="128"/>
      <c r="W338" s="128">
        <v>2212.9166666666665</v>
      </c>
      <c r="X338" s="128">
        <v>1569.8333333333333</v>
      </c>
      <c r="Y338" s="128">
        <v>1365.6666666666667</v>
      </c>
      <c r="Z338" s="128">
        <v>1880.75</v>
      </c>
      <c r="AA338" s="128">
        <v>2097</v>
      </c>
      <c r="AB338" s="128">
        <v>1535.25</v>
      </c>
      <c r="AC338" s="128">
        <v>1148.1666666666667</v>
      </c>
      <c r="AD338" s="128">
        <v>1967.9166666666667</v>
      </c>
      <c r="AE338" s="128">
        <v>2006</v>
      </c>
      <c r="AF338" s="128">
        <v>1868.6717884615482</v>
      </c>
      <c r="AG338" s="129">
        <v>1708.5544418744867</v>
      </c>
      <c r="AH338" s="129">
        <v>1968.2616707403938</v>
      </c>
      <c r="AI338" s="129">
        <v>2033.5983002465848</v>
      </c>
      <c r="AJ338" s="129">
        <v>2056.037438810627</v>
      </c>
      <c r="AK338" s="129">
        <v>2056.037438810627</v>
      </c>
      <c r="AL338" s="129">
        <v>2056.037438810627</v>
      </c>
      <c r="AM338" s="129">
        <v>2056.037438810627</v>
      </c>
      <c r="AN338" s="129">
        <v>2056.037438810627</v>
      </c>
      <c r="AO338" s="129">
        <v>2056.037438810627</v>
      </c>
      <c r="AP338" s="129">
        <v>2056.037438810627</v>
      </c>
      <c r="AQ338" s="129">
        <v>2056.037438810627</v>
      </c>
      <c r="AR338" s="129">
        <v>2056.037438810627</v>
      </c>
      <c r="AS338" s="129">
        <v>2056.037438810627</v>
      </c>
      <c r="AT338" s="129">
        <v>2056.037438810627</v>
      </c>
      <c r="AU338" s="129">
        <v>2056.037438810627</v>
      </c>
      <c r="AV338" s="129">
        <v>2056.037438810627</v>
      </c>
      <c r="AW338" s="129">
        <v>2056.037438810627</v>
      </c>
      <c r="AX338" s="129">
        <v>2056.037438810627</v>
      </c>
      <c r="AY338" s="129">
        <v>2056.037438810627</v>
      </c>
      <c r="AZ338" s="129">
        <v>2056.037438810627</v>
      </c>
      <c r="BA338" s="129">
        <v>2056.037438810627</v>
      </c>
      <c r="BB338" s="129">
        <v>2056.037438810627</v>
      </c>
      <c r="BC338" s="129">
        <f t="shared" ref="BC338:BG342" si="138">BB338*(1+((BB338-BA338)/BA338))</f>
        <v>2056.037438810627</v>
      </c>
      <c r="BD338" s="129">
        <f t="shared" si="138"/>
        <v>2056.037438810627</v>
      </c>
      <c r="BE338" s="129">
        <f t="shared" si="138"/>
        <v>2056.037438810627</v>
      </c>
      <c r="BF338" s="129">
        <f t="shared" si="138"/>
        <v>2056.037438810627</v>
      </c>
      <c r="BG338" s="129">
        <f t="shared" si="138"/>
        <v>2056.037438810627</v>
      </c>
    </row>
    <row r="339" spans="1:59" ht="13.75" customHeight="1">
      <c r="A339" s="171" t="s">
        <v>166</v>
      </c>
      <c r="B339" s="165" t="s">
        <v>448</v>
      </c>
      <c r="C339" s="165"/>
      <c r="D339" s="165" t="s">
        <v>377</v>
      </c>
      <c r="E339" s="167"/>
      <c r="F339" s="168" t="s">
        <v>450</v>
      </c>
      <c r="G339" s="168" t="s">
        <v>4</v>
      </c>
      <c r="H339" s="168"/>
      <c r="I339" s="168" t="s">
        <v>451</v>
      </c>
      <c r="U339" s="128"/>
      <c r="V339" s="128"/>
      <c r="W339" s="128"/>
      <c r="X339" s="128"/>
      <c r="Y339" s="128"/>
      <c r="Z339" s="128"/>
      <c r="AA339" s="128">
        <v>2297</v>
      </c>
      <c r="AB339" s="128">
        <v>2531.25</v>
      </c>
      <c r="AC339" s="128">
        <v>2173.8868725902157</v>
      </c>
      <c r="AD339" s="128">
        <v>2357.7921733969361</v>
      </c>
      <c r="AE339" s="128">
        <v>2558.6089942709536</v>
      </c>
      <c r="AF339" s="128">
        <v>2687.6703168495969</v>
      </c>
      <c r="AG339" s="129">
        <v>2803.8332629840775</v>
      </c>
      <c r="AH339" s="129">
        <v>2803.8332629840775</v>
      </c>
      <c r="AI339" s="129">
        <v>2803.8332629840775</v>
      </c>
      <c r="AJ339" s="129">
        <v>2807.1164467756089</v>
      </c>
      <c r="AK339" s="129">
        <v>2810.4127633023058</v>
      </c>
      <c r="AL339" s="129">
        <v>2813.7222650951098</v>
      </c>
      <c r="AM339" s="129">
        <v>2817.0450048950852</v>
      </c>
      <c r="AN339" s="129">
        <v>2828.3131849146657</v>
      </c>
      <c r="AO339" s="129">
        <v>2839.6264376543245</v>
      </c>
      <c r="AP339" s="129">
        <v>2850.984943404942</v>
      </c>
      <c r="AQ339" s="129">
        <v>2862.3888831785616</v>
      </c>
      <c r="AR339" s="129">
        <v>2873.838438711276</v>
      </c>
      <c r="AS339" s="129">
        <v>2885.3337924661209</v>
      </c>
      <c r="AT339" s="129">
        <v>2896.8751276359853</v>
      </c>
      <c r="AU339" s="129">
        <v>2908.4626281465294</v>
      </c>
      <c r="AV339" s="129">
        <v>2920.0964786591153</v>
      </c>
      <c r="AW339" s="129">
        <v>2931.7768645737519</v>
      </c>
      <c r="AX339" s="129">
        <v>2943.5039720320469</v>
      </c>
      <c r="AY339" s="129">
        <v>2955.2779879201753</v>
      </c>
      <c r="AZ339" s="129">
        <v>2955.2779879201753</v>
      </c>
      <c r="BA339" s="129">
        <v>2955.2779879201753</v>
      </c>
      <c r="BB339" s="129">
        <v>2955.2779879201753</v>
      </c>
      <c r="BC339" s="129">
        <f t="shared" si="138"/>
        <v>2955.2779879201753</v>
      </c>
      <c r="BD339" s="129">
        <f t="shared" si="138"/>
        <v>2955.2779879201753</v>
      </c>
      <c r="BE339" s="129">
        <f t="shared" si="138"/>
        <v>2955.2779879201753</v>
      </c>
      <c r="BF339" s="129">
        <f t="shared" si="138"/>
        <v>2955.2779879201753</v>
      </c>
      <c r="BG339" s="129">
        <f t="shared" si="138"/>
        <v>2955.2779879201753</v>
      </c>
    </row>
    <row r="340" spans="1:59" ht="13.75" customHeight="1">
      <c r="A340" s="171" t="s">
        <v>166</v>
      </c>
      <c r="B340" s="165" t="s">
        <v>448</v>
      </c>
      <c r="C340" s="165"/>
      <c r="D340" s="165" t="s">
        <v>168</v>
      </c>
      <c r="E340" s="167"/>
      <c r="F340" s="168" t="s">
        <v>452</v>
      </c>
      <c r="G340" s="168" t="s">
        <v>4</v>
      </c>
      <c r="H340" s="168"/>
      <c r="I340" s="168" t="s">
        <v>453</v>
      </c>
      <c r="U340" s="128">
        <v>400.8502125</v>
      </c>
      <c r="V340" s="186">
        <v>499.14800624999998</v>
      </c>
      <c r="W340" s="186">
        <v>388.20847499999996</v>
      </c>
      <c r="X340" s="186">
        <v>309</v>
      </c>
      <c r="Y340" s="186">
        <v>228</v>
      </c>
      <c r="Z340" s="186">
        <v>336</v>
      </c>
      <c r="AA340" s="186">
        <v>404</v>
      </c>
      <c r="AB340" s="186">
        <v>268.45</v>
      </c>
      <c r="AC340" s="186">
        <v>242.00491666666667</v>
      </c>
      <c r="AD340" s="186">
        <v>350</v>
      </c>
      <c r="AE340" s="186">
        <v>379.89514356489553</v>
      </c>
      <c r="AF340" s="186">
        <v>301.84106966147061</v>
      </c>
      <c r="AG340" s="187">
        <v>290.15802201117862</v>
      </c>
      <c r="AH340" s="187">
        <v>307.40259763351725</v>
      </c>
      <c r="AI340" s="187">
        <v>300.84109147188929</v>
      </c>
      <c r="AJ340" s="187">
        <v>300.01727488096225</v>
      </c>
      <c r="AK340" s="187">
        <v>300.01727488096225</v>
      </c>
      <c r="AL340" s="187">
        <v>300.01727488096225</v>
      </c>
      <c r="AM340" s="187">
        <v>300.01727488096225</v>
      </c>
      <c r="AN340" s="187">
        <v>300.01727488096225</v>
      </c>
      <c r="AO340" s="187">
        <v>300.01727488096225</v>
      </c>
      <c r="AP340" s="187">
        <v>300.01727488096225</v>
      </c>
      <c r="AQ340" s="187">
        <v>300.01727488096225</v>
      </c>
      <c r="AR340" s="187">
        <v>300.01727488096225</v>
      </c>
      <c r="AS340" s="187">
        <v>300.01727488096225</v>
      </c>
      <c r="AT340" s="187">
        <v>300.01727488096225</v>
      </c>
      <c r="AU340" s="187">
        <v>300.01727488096225</v>
      </c>
      <c r="AV340" s="187">
        <v>300.01727488096225</v>
      </c>
      <c r="AW340" s="187">
        <v>300.01727488096225</v>
      </c>
      <c r="AX340" s="187">
        <v>300.01727488096225</v>
      </c>
      <c r="AY340" s="187">
        <v>300.01727488096225</v>
      </c>
      <c r="AZ340" s="187">
        <v>300.01727488096225</v>
      </c>
      <c r="BA340" s="187">
        <v>300.01727488096225</v>
      </c>
      <c r="BB340" s="187">
        <v>300.01727488096225</v>
      </c>
      <c r="BC340" s="187">
        <f t="shared" si="138"/>
        <v>300.01727488096225</v>
      </c>
      <c r="BD340" s="187">
        <f t="shared" si="138"/>
        <v>300.01727488096225</v>
      </c>
      <c r="BE340" s="187">
        <f t="shared" si="138"/>
        <v>300.01727488096225</v>
      </c>
      <c r="BF340" s="187">
        <f t="shared" si="138"/>
        <v>300.01727488096225</v>
      </c>
      <c r="BG340" s="187">
        <f t="shared" si="138"/>
        <v>300.01727488096225</v>
      </c>
    </row>
    <row r="341" spans="1:59" ht="13.75" customHeight="1">
      <c r="A341" s="171" t="s">
        <v>166</v>
      </c>
      <c r="B341" s="165" t="s">
        <v>448</v>
      </c>
      <c r="C341" s="165"/>
      <c r="D341" s="165" t="s">
        <v>168</v>
      </c>
      <c r="E341" s="167"/>
      <c r="F341" s="168" t="s">
        <v>454</v>
      </c>
      <c r="G341" s="168" t="s">
        <v>291</v>
      </c>
      <c r="H341" s="168"/>
      <c r="I341" s="168"/>
      <c r="U341" s="128">
        <v>34302.92</v>
      </c>
      <c r="V341" s="128">
        <v>33093.68</v>
      </c>
      <c r="W341" s="128">
        <v>35358</v>
      </c>
      <c r="X341" s="128">
        <v>50289</v>
      </c>
      <c r="Y341" s="128">
        <v>46841</v>
      </c>
      <c r="Z341" s="128">
        <v>50028.72</v>
      </c>
      <c r="AA341" s="128">
        <v>63088.539951190418</v>
      </c>
      <c r="AB341" s="128">
        <v>65199</v>
      </c>
      <c r="AC341" s="128">
        <v>60187.062225749447</v>
      </c>
      <c r="AD341" s="128">
        <v>102995.6</v>
      </c>
      <c r="AE341" s="128">
        <v>99907</v>
      </c>
      <c r="AF341" s="128">
        <v>70907.220506559956</v>
      </c>
      <c r="AG341" s="128">
        <v>71228.705687111404</v>
      </c>
      <c r="AH341" s="128">
        <v>71879.030844661829</v>
      </c>
      <c r="AI341" s="128">
        <v>72928.397007280451</v>
      </c>
      <c r="AJ341" s="128">
        <v>74792.612494111076</v>
      </c>
      <c r="AK341" s="128">
        <v>76593.618602969262</v>
      </c>
      <c r="AL341" s="128">
        <v>78437.992938928757</v>
      </c>
      <c r="AM341" s="128">
        <v>80326.779808898151</v>
      </c>
      <c r="AN341" s="128">
        <v>82261.048666696413</v>
      </c>
      <c r="AO341" s="128">
        <v>84241.894718590469</v>
      </c>
      <c r="AP341" s="128">
        <v>86270.439543414119</v>
      </c>
      <c r="AQ341" s="128">
        <v>88347.83172761953</v>
      </c>
      <c r="AR341" s="128">
        <v>90475.247515620606</v>
      </c>
      <c r="AS341" s="128">
        <v>92653.891475796758</v>
      </c>
      <c r="AT341" s="128">
        <v>94884.997182533945</v>
      </c>
      <c r="AU341" s="128">
        <v>97169.827914689376</v>
      </c>
      <c r="AV341" s="128">
        <v>99509.677370875099</v>
      </c>
      <c r="AW341" s="128">
        <v>101905.87040196577</v>
      </c>
      <c r="AX341" s="128">
        <v>104359.76376124512</v>
      </c>
      <c r="AY341" s="128">
        <v>106872.74687261591</v>
      </c>
      <c r="AZ341" s="128">
        <v>109446.24261730851</v>
      </c>
      <c r="BA341" s="128">
        <v>112081.70813953329</v>
      </c>
      <c r="BB341" s="128">
        <v>114780.63567153325</v>
      </c>
      <c r="BC341" s="128">
        <f t="shared" si="138"/>
        <v>117544.55337850376</v>
      </c>
      <c r="BD341" s="128">
        <f t="shared" si="138"/>
        <v>120375.02622385811</v>
      </c>
      <c r="BE341" s="128">
        <f t="shared" si="138"/>
        <v>123273.65685532859</v>
      </c>
      <c r="BF341" s="128">
        <f t="shared" si="138"/>
        <v>126242.08651240489</v>
      </c>
      <c r="BG341" s="128">
        <f t="shared" si="138"/>
        <v>129281.99595562358</v>
      </c>
    </row>
    <row r="342" spans="1:59" ht="13.75" customHeight="1">
      <c r="A342" s="171" t="s">
        <v>166</v>
      </c>
      <c r="B342" s="165" t="s">
        <v>448</v>
      </c>
      <c r="C342" s="165"/>
      <c r="D342" s="165" t="s">
        <v>168</v>
      </c>
      <c r="E342" s="167"/>
      <c r="F342" s="168" t="s">
        <v>455</v>
      </c>
      <c r="G342" s="168" t="s">
        <v>291</v>
      </c>
      <c r="H342" s="168"/>
      <c r="I342" s="168"/>
      <c r="U342" s="128">
        <v>8486.2800000000007</v>
      </c>
      <c r="V342" s="128">
        <v>8995.5</v>
      </c>
      <c r="W342" s="128">
        <v>7818</v>
      </c>
      <c r="X342" s="128">
        <v>9984</v>
      </c>
      <c r="Y342" s="128">
        <v>11617</v>
      </c>
      <c r="Z342" s="128">
        <v>11633</v>
      </c>
      <c r="AA342" s="128">
        <v>12014.562399999999</v>
      </c>
      <c r="AB342" s="128">
        <v>12476</v>
      </c>
      <c r="AC342" s="128">
        <v>13342.761666666667</v>
      </c>
      <c r="AD342" s="128">
        <v>13024.14</v>
      </c>
      <c r="AE342" s="128">
        <v>14876</v>
      </c>
      <c r="AF342" s="128">
        <v>15908.907057186181</v>
      </c>
      <c r="AG342" s="129">
        <v>14024.629406689219</v>
      </c>
      <c r="AH342" s="129">
        <v>14592.011112448528</v>
      </c>
      <c r="AI342" s="129">
        <v>15181.402736213677</v>
      </c>
      <c r="AJ342" s="129">
        <v>15546.970914101703</v>
      </c>
      <c r="AK342" s="129">
        <v>15921.341973713272</v>
      </c>
      <c r="AL342" s="129">
        <v>16304.727888440286</v>
      </c>
      <c r="AM342" s="129">
        <v>16697.345735993928</v>
      </c>
      <c r="AN342" s="129">
        <v>17099.417821316663</v>
      </c>
      <c r="AO342" s="129">
        <v>17511.171802453966</v>
      </c>
      <c r="AP342" s="129">
        <v>17932.840819457058</v>
      </c>
      <c r="AQ342" s="129">
        <v>18364.663626389585</v>
      </c>
      <c r="AR342" s="129">
        <v>18806.884726513046</v>
      </c>
      <c r="AS342" s="129">
        <v>19259.754510727485</v>
      </c>
      <c r="AT342" s="129">
        <v>19723.5293993458</v>
      </c>
      <c r="AU342" s="129">
        <v>20198.471987282046</v>
      </c>
      <c r="AV342" s="129">
        <v>20684.851192735798</v>
      </c>
      <c r="AW342" s="129">
        <v>21182.942409456875</v>
      </c>
      <c r="AX342" s="129">
        <v>21693.027662676599</v>
      </c>
      <c r="AY342" s="129">
        <v>22215.395768793853</v>
      </c>
      <c r="AZ342" s="129">
        <v>22750.342498906415</v>
      </c>
      <c r="BA342" s="129">
        <v>23298.17074628008</v>
      </c>
      <c r="BB342" s="129">
        <v>23859.190697850507</v>
      </c>
      <c r="BC342" s="129">
        <f t="shared" si="138"/>
        <v>24433.720009854751</v>
      </c>
      <c r="BD342" s="129">
        <f t="shared" si="138"/>
        <v>25022.083987692055</v>
      </c>
      <c r="BE342" s="129">
        <f t="shared" si="138"/>
        <v>25624.615770115681</v>
      </c>
      <c r="BF342" s="129">
        <f t="shared" si="138"/>
        <v>26241.656517860069</v>
      </c>
      <c r="BG342" s="129">
        <f t="shared" si="138"/>
        <v>26873.555606810143</v>
      </c>
    </row>
    <row r="343" spans="1:59" ht="13.75" customHeight="1">
      <c r="A343" s="171" t="s">
        <v>166</v>
      </c>
      <c r="B343" s="165" t="s">
        <v>448</v>
      </c>
      <c r="C343" s="165"/>
      <c r="D343" s="165" t="s">
        <v>168</v>
      </c>
      <c r="E343" s="167"/>
      <c r="F343" s="168" t="s">
        <v>456</v>
      </c>
      <c r="G343" s="168" t="s">
        <v>291</v>
      </c>
      <c r="H343" s="168"/>
      <c r="I343" s="168" t="s">
        <v>457</v>
      </c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</row>
    <row r="344" spans="1:59" ht="13.75" customHeight="1">
      <c r="A344" s="171" t="s">
        <v>166</v>
      </c>
      <c r="B344" s="165" t="s">
        <v>448</v>
      </c>
      <c r="C344" s="165"/>
      <c r="D344" s="165" t="s">
        <v>168</v>
      </c>
      <c r="E344" s="167"/>
      <c r="F344" s="168" t="s">
        <v>458</v>
      </c>
      <c r="G344" s="168" t="s">
        <v>291</v>
      </c>
      <c r="H344" s="168"/>
      <c r="I344" s="168"/>
      <c r="U344" s="128">
        <v>26328.38</v>
      </c>
      <c r="V344" s="128">
        <v>27279.35</v>
      </c>
      <c r="W344" s="128">
        <v>23080</v>
      </c>
      <c r="X344" s="128">
        <v>0</v>
      </c>
      <c r="Y344" s="128">
        <v>0</v>
      </c>
      <c r="Z344" s="128">
        <v>0</v>
      </c>
      <c r="AA344" s="128">
        <v>0</v>
      </c>
      <c r="AB344" s="128">
        <v>0</v>
      </c>
      <c r="AC344" s="128">
        <v>0</v>
      </c>
      <c r="AD344" s="128">
        <v>0</v>
      </c>
      <c r="AE344" s="128">
        <v>0</v>
      </c>
      <c r="AF344" s="128">
        <v>0</v>
      </c>
      <c r="AG344" s="128">
        <v>0</v>
      </c>
      <c r="AH344" s="128">
        <v>0</v>
      </c>
      <c r="AI344" s="128">
        <v>0</v>
      </c>
      <c r="AJ344" s="128">
        <v>0</v>
      </c>
      <c r="AK344" s="128">
        <v>0</v>
      </c>
      <c r="AL344" s="128">
        <v>0</v>
      </c>
      <c r="AM344" s="128">
        <v>0</v>
      </c>
      <c r="AN344" s="128">
        <v>0</v>
      </c>
      <c r="AO344" s="128">
        <v>0</v>
      </c>
      <c r="AP344" s="128">
        <v>0</v>
      </c>
      <c r="AQ344" s="128">
        <v>0</v>
      </c>
      <c r="AR344" s="128">
        <v>0</v>
      </c>
      <c r="AS344" s="128">
        <v>0</v>
      </c>
      <c r="AT344" s="128">
        <v>0</v>
      </c>
      <c r="AU344" s="128">
        <v>0</v>
      </c>
      <c r="AV344" s="128">
        <v>0</v>
      </c>
      <c r="AW344" s="128">
        <v>0</v>
      </c>
      <c r="AX344" s="128">
        <v>0</v>
      </c>
      <c r="AY344" s="128">
        <v>0</v>
      </c>
      <c r="AZ344" s="128">
        <v>0</v>
      </c>
      <c r="BA344" s="128">
        <v>0</v>
      </c>
      <c r="BB344" s="128">
        <v>0</v>
      </c>
      <c r="BC344" s="128">
        <f>BB344</f>
        <v>0</v>
      </c>
      <c r="BD344" s="128">
        <f t="shared" ref="BD344:BG344" si="139">BC344</f>
        <v>0</v>
      </c>
      <c r="BE344" s="128">
        <f t="shared" si="139"/>
        <v>0</v>
      </c>
      <c r="BF344" s="128">
        <f t="shared" si="139"/>
        <v>0</v>
      </c>
      <c r="BG344" s="128">
        <f t="shared" si="139"/>
        <v>0</v>
      </c>
    </row>
    <row r="345" spans="1:59" ht="13.75" customHeight="1" outlineLevel="1">
      <c r="A345" s="171" t="s">
        <v>166</v>
      </c>
      <c r="B345" s="165" t="s">
        <v>448</v>
      </c>
      <c r="C345" s="165"/>
      <c r="D345" s="165" t="s">
        <v>168</v>
      </c>
      <c r="E345" s="167"/>
      <c r="F345" s="168" t="s">
        <v>459</v>
      </c>
      <c r="G345" s="168" t="s">
        <v>4</v>
      </c>
      <c r="H345" s="168"/>
      <c r="I345" s="168"/>
      <c r="W345" s="151">
        <v>1197.0833333333333</v>
      </c>
      <c r="X345" s="128">
        <v>691.25</v>
      </c>
      <c r="Y345" s="128">
        <v>642.54166666666663</v>
      </c>
      <c r="Z345" s="128">
        <v>823.70833333333337</v>
      </c>
      <c r="AA345" s="128">
        <v>828.5763888888888</v>
      </c>
      <c r="AB345" s="128">
        <v>646.58333333333337</v>
      </c>
      <c r="AC345" s="128">
        <v>494.45833333333331</v>
      </c>
      <c r="AD345" s="128">
        <v>928.27499999999998</v>
      </c>
      <c r="AE345" s="128">
        <v>1064</v>
      </c>
      <c r="AF345" s="128">
        <v>914.58619579855622</v>
      </c>
      <c r="AG345" s="128">
        <v>704.33426854861511</v>
      </c>
      <c r="AH345" s="128">
        <v>858.44416315681212</v>
      </c>
      <c r="AI345" s="129">
        <v>897.21482476382062</v>
      </c>
      <c r="AJ345" s="129">
        <v>910.5301771870237</v>
      </c>
      <c r="AK345" s="129">
        <v>910.5301771870237</v>
      </c>
      <c r="AL345" s="129">
        <v>910.5301771870237</v>
      </c>
      <c r="AM345" s="129">
        <v>910.5301771870237</v>
      </c>
      <c r="AN345" s="129">
        <v>910.5301771870237</v>
      </c>
      <c r="AO345" s="129">
        <v>910.5301771870237</v>
      </c>
      <c r="AP345" s="129">
        <v>910.5301771870237</v>
      </c>
      <c r="AQ345" s="129">
        <v>910.5301771870237</v>
      </c>
      <c r="AR345" s="129">
        <v>910.5301771870237</v>
      </c>
      <c r="AS345" s="129">
        <v>910.5301771870237</v>
      </c>
      <c r="AT345" s="129">
        <v>910.5301771870237</v>
      </c>
      <c r="AU345" s="129">
        <v>910.5301771870237</v>
      </c>
      <c r="AV345" s="129">
        <v>910.5301771870237</v>
      </c>
      <c r="AW345" s="129">
        <v>910.5301771870237</v>
      </c>
      <c r="AX345" s="129">
        <v>910.5301771870237</v>
      </c>
      <c r="AY345" s="129">
        <v>910.5301771870237</v>
      </c>
      <c r="AZ345" s="129">
        <v>910.5301771870237</v>
      </c>
      <c r="BA345" s="129">
        <v>910.5301771870237</v>
      </c>
      <c r="BB345" s="129">
        <v>910.5301771870237</v>
      </c>
      <c r="BC345" s="129">
        <f t="shared" ref="BC345:BG346" si="140">BB345*(1+((BB345-BA345)/BA345))</f>
        <v>910.5301771870237</v>
      </c>
      <c r="BD345" s="129">
        <f t="shared" si="140"/>
        <v>910.5301771870237</v>
      </c>
      <c r="BE345" s="129">
        <f t="shared" si="140"/>
        <v>910.5301771870237</v>
      </c>
      <c r="BF345" s="129">
        <f t="shared" si="140"/>
        <v>910.5301771870237</v>
      </c>
      <c r="BG345" s="129">
        <f t="shared" si="140"/>
        <v>910.5301771870237</v>
      </c>
    </row>
    <row r="346" spans="1:59" ht="13.75" customHeight="1" outlineLevel="1">
      <c r="A346" s="171" t="s">
        <v>166</v>
      </c>
      <c r="B346" s="165" t="s">
        <v>448</v>
      </c>
      <c r="C346" s="165"/>
      <c r="D346" s="165" t="s">
        <v>168</v>
      </c>
      <c r="E346" s="167"/>
      <c r="F346" s="168" t="s">
        <v>460</v>
      </c>
      <c r="G346" s="168" t="s">
        <v>4</v>
      </c>
      <c r="H346" s="168"/>
      <c r="I346" s="168"/>
      <c r="X346" s="116">
        <v>0</v>
      </c>
      <c r="Y346" s="128">
        <v>1095.8490566037735</v>
      </c>
      <c r="Z346" s="128">
        <v>1193.4615384615386</v>
      </c>
      <c r="AA346" s="128">
        <v>1258.2352941176471</v>
      </c>
      <c r="AB346" s="128">
        <v>898.07692307692309</v>
      </c>
      <c r="AC346" s="128">
        <v>747.88461538461536</v>
      </c>
      <c r="AD346" s="128">
        <v>1046.7924528301887</v>
      </c>
      <c r="AE346" s="128">
        <v>1018</v>
      </c>
      <c r="AF346" s="128">
        <v>915.14354903550247</v>
      </c>
      <c r="AG346" s="128">
        <v>695.51345490528638</v>
      </c>
      <c r="AH346" s="128">
        <v>896.18332968943639</v>
      </c>
      <c r="AI346" s="129">
        <v>944.96748475554875</v>
      </c>
      <c r="AJ346" s="129">
        <v>944.96748475554875</v>
      </c>
      <c r="AK346" s="129">
        <v>944.96748475554875</v>
      </c>
      <c r="AL346" s="129">
        <v>944.96748475554875</v>
      </c>
      <c r="AM346" s="129">
        <v>944.96748475554875</v>
      </c>
      <c r="AN346" s="129">
        <v>944.96748475554875</v>
      </c>
      <c r="AO346" s="129">
        <v>944.96748475554875</v>
      </c>
      <c r="AP346" s="129">
        <v>944.96748475554875</v>
      </c>
      <c r="AQ346" s="129">
        <v>944.96748475554875</v>
      </c>
      <c r="AR346" s="129">
        <v>944.96748475554875</v>
      </c>
      <c r="AS346" s="129">
        <v>944.96748475554875</v>
      </c>
      <c r="AT346" s="129">
        <v>944.96748475554875</v>
      </c>
      <c r="AU346" s="129">
        <v>944.96748475554875</v>
      </c>
      <c r="AV346" s="129">
        <v>944.96748475554875</v>
      </c>
      <c r="AW346" s="129">
        <v>944.96748475554875</v>
      </c>
      <c r="AX346" s="129">
        <v>944.96748475554875</v>
      </c>
      <c r="AY346" s="129">
        <v>944.96748475554875</v>
      </c>
      <c r="AZ346" s="129">
        <v>944.96748475554875</v>
      </c>
      <c r="BA346" s="129">
        <v>944.96748475554875</v>
      </c>
      <c r="BB346" s="129">
        <v>944.96748475554875</v>
      </c>
      <c r="BC346" s="129">
        <f t="shared" si="140"/>
        <v>944.96748475554875</v>
      </c>
      <c r="BD346" s="129">
        <f t="shared" si="140"/>
        <v>944.96748475554875</v>
      </c>
      <c r="BE346" s="129">
        <f t="shared" si="140"/>
        <v>944.96748475554875</v>
      </c>
      <c r="BF346" s="129">
        <f t="shared" si="140"/>
        <v>944.96748475554875</v>
      </c>
      <c r="BG346" s="129">
        <f t="shared" si="140"/>
        <v>944.96748475554875</v>
      </c>
    </row>
    <row r="347" spans="1:59" ht="13.75" customHeight="1" outlineLevel="1">
      <c r="A347" s="171"/>
      <c r="B347" s="165"/>
      <c r="C347" s="165"/>
      <c r="D347" s="165"/>
      <c r="E347" s="167"/>
      <c r="F347" s="168"/>
      <c r="G347" s="168"/>
      <c r="H347" s="168"/>
      <c r="I347" s="168"/>
      <c r="Y347" s="120"/>
      <c r="Z347" s="128"/>
      <c r="AA347" s="128"/>
      <c r="AB347" s="128"/>
      <c r="AC347" s="128"/>
      <c r="AD347" s="128"/>
      <c r="AE347" s="128"/>
      <c r="AF347" s="128"/>
      <c r="AG347" s="157"/>
      <c r="AH347" s="157"/>
    </row>
    <row r="348" spans="1:59" ht="13.75" customHeight="1" outlineLevel="1">
      <c r="A348" s="171"/>
      <c r="B348" s="165"/>
      <c r="C348" s="165"/>
      <c r="D348" s="165"/>
      <c r="E348" s="167"/>
      <c r="F348" s="168"/>
      <c r="G348" s="168"/>
      <c r="H348" s="168"/>
      <c r="I348" s="168"/>
      <c r="Y348" s="120"/>
      <c r="Z348" s="157"/>
      <c r="AA348" s="157"/>
      <c r="AB348" s="157"/>
      <c r="AC348" s="157"/>
      <c r="AD348" s="157"/>
      <c r="AE348" s="157"/>
      <c r="AF348" s="157"/>
      <c r="AG348" s="157"/>
      <c r="AH348" s="157"/>
    </row>
    <row r="349" spans="1:59" ht="13.75" customHeight="1" outlineLevel="1">
      <c r="A349" s="171"/>
      <c r="B349" s="165"/>
      <c r="C349" s="165"/>
      <c r="D349" s="165"/>
      <c r="E349" s="167"/>
      <c r="F349" s="168"/>
      <c r="G349" s="168"/>
      <c r="H349" s="168"/>
      <c r="I349" s="168"/>
      <c r="Y349" s="120"/>
      <c r="Z349" s="157"/>
      <c r="AA349" s="157"/>
      <c r="AB349" s="157"/>
      <c r="AC349" s="157"/>
      <c r="AD349" s="157"/>
      <c r="AE349" s="157"/>
      <c r="AF349" s="157"/>
      <c r="AG349" s="164"/>
      <c r="AH349" s="164"/>
      <c r="AI349" s="164"/>
    </row>
    <row r="350" spans="1:59" ht="13.75" customHeight="1" outlineLevel="1">
      <c r="A350" s="171"/>
      <c r="B350" s="165"/>
      <c r="C350" s="165"/>
      <c r="D350" s="165"/>
      <c r="E350" s="167"/>
      <c r="F350" s="168"/>
      <c r="G350" s="168"/>
      <c r="H350" s="168"/>
      <c r="I350" s="168"/>
      <c r="Y350" s="120"/>
      <c r="Z350" s="157"/>
      <c r="AA350" s="157"/>
      <c r="AB350" s="157"/>
      <c r="AC350" s="157"/>
      <c r="AD350" s="157"/>
      <c r="AE350" s="157"/>
      <c r="AF350" s="157"/>
      <c r="AG350" s="164"/>
      <c r="AH350" s="164"/>
      <c r="AI350" s="164"/>
    </row>
    <row r="351" spans="1:59" ht="13.75" customHeight="1" outlineLevel="1">
      <c r="A351" s="171"/>
      <c r="B351" s="165"/>
      <c r="C351" s="165"/>
      <c r="D351" s="165"/>
      <c r="E351" s="167"/>
      <c r="F351" s="168"/>
      <c r="G351" s="168"/>
      <c r="H351" s="168"/>
      <c r="I351" s="168"/>
      <c r="Y351" s="120"/>
      <c r="Z351" s="132"/>
      <c r="AA351" s="132"/>
      <c r="AB351" s="132"/>
      <c r="AC351" s="132"/>
      <c r="AD351" s="132"/>
      <c r="AE351" s="132"/>
      <c r="AF351" s="132"/>
      <c r="AG351" s="164"/>
      <c r="AH351" s="164"/>
      <c r="AI351" s="164"/>
    </row>
    <row r="352" spans="1:59" ht="13.75" customHeight="1" outlineLevel="1">
      <c r="A352" s="171"/>
      <c r="B352" s="165"/>
      <c r="C352" s="165"/>
      <c r="D352" s="165"/>
      <c r="E352" s="167"/>
      <c r="F352" s="168"/>
      <c r="G352" s="168"/>
      <c r="H352" s="168"/>
      <c r="I352" s="168"/>
      <c r="Y352" s="120"/>
      <c r="Z352" s="157"/>
      <c r="AA352" s="157"/>
      <c r="AB352" s="157"/>
      <c r="AC352" s="157"/>
      <c r="AD352" s="157"/>
      <c r="AE352" s="157"/>
      <c r="AF352" s="157"/>
      <c r="AG352" s="164"/>
      <c r="AH352" s="164"/>
      <c r="AI352" s="164"/>
    </row>
    <row r="353" spans="1:35" ht="13.75" customHeight="1" outlineLevel="1">
      <c r="A353" s="171"/>
      <c r="B353" s="165"/>
      <c r="C353" s="165"/>
      <c r="D353" s="165"/>
      <c r="E353" s="167"/>
      <c r="F353" s="168"/>
      <c r="G353" s="168"/>
      <c r="H353" s="168"/>
      <c r="I353" s="168"/>
      <c r="Y353" s="120"/>
      <c r="Z353" s="157"/>
      <c r="AA353" s="157"/>
      <c r="AB353" s="157"/>
      <c r="AC353" s="157"/>
      <c r="AD353" s="157"/>
      <c r="AE353" s="157"/>
      <c r="AF353" s="157"/>
      <c r="AG353" s="164"/>
      <c r="AH353" s="164"/>
      <c r="AI353" s="164"/>
    </row>
    <row r="354" spans="1:35" ht="13.75" customHeight="1" outlineLevel="1">
      <c r="A354" s="171"/>
      <c r="B354" s="165"/>
      <c r="C354" s="165"/>
      <c r="D354" s="165"/>
      <c r="E354" s="167"/>
      <c r="F354" s="168"/>
      <c r="G354" s="168"/>
      <c r="H354" s="168"/>
      <c r="I354" s="168"/>
      <c r="Z354" s="157"/>
      <c r="AA354" s="157"/>
      <c r="AB354" s="157"/>
      <c r="AC354" s="157"/>
      <c r="AD354" s="157"/>
      <c r="AE354" s="157"/>
      <c r="AF354" s="157"/>
      <c r="AG354" s="164"/>
      <c r="AH354" s="164"/>
      <c r="AI354" s="164"/>
    </row>
    <row r="355" spans="1:35" ht="13.75" customHeight="1" outlineLevel="1">
      <c r="A355" s="171"/>
      <c r="B355" s="165"/>
      <c r="C355" s="165"/>
      <c r="D355" s="165"/>
      <c r="E355" s="167"/>
      <c r="F355" s="168"/>
      <c r="G355" s="168"/>
      <c r="H355" s="168"/>
      <c r="I355" s="168"/>
      <c r="AG355" s="164"/>
      <c r="AH355" s="164"/>
      <c r="AI355" s="164"/>
    </row>
    <row r="356" spans="1:35" ht="13.75" customHeight="1" outlineLevel="1">
      <c r="A356" s="171"/>
      <c r="B356" s="165"/>
      <c r="C356" s="165"/>
      <c r="D356" s="165"/>
      <c r="E356" s="167"/>
      <c r="F356" s="168"/>
      <c r="G356" s="168"/>
      <c r="H356" s="168"/>
      <c r="I356" s="168"/>
      <c r="Z356" s="128"/>
      <c r="AA356" s="128"/>
      <c r="AB356" s="128"/>
      <c r="AC356" s="128"/>
      <c r="AD356" s="128"/>
      <c r="AE356" s="128"/>
      <c r="AF356" s="128"/>
      <c r="AG356" s="164"/>
      <c r="AH356" s="164"/>
      <c r="AI356" s="164"/>
    </row>
    <row r="357" spans="1:35" ht="13.75" customHeight="1" outlineLevel="1">
      <c r="A357" s="171"/>
      <c r="B357" s="165"/>
      <c r="C357" s="165"/>
      <c r="D357" s="165"/>
      <c r="E357" s="167"/>
      <c r="F357" s="168"/>
      <c r="G357" s="168"/>
      <c r="H357" s="168"/>
      <c r="I357" s="168"/>
      <c r="Z357" s="128"/>
      <c r="AA357" s="128"/>
      <c r="AB357" s="128"/>
      <c r="AC357" s="128"/>
      <c r="AD357" s="128"/>
      <c r="AE357" s="128"/>
      <c r="AF357" s="128"/>
      <c r="AG357" s="164"/>
      <c r="AH357" s="164"/>
      <c r="AI357" s="164"/>
    </row>
    <row r="358" spans="1:35" ht="13.75" customHeight="1" outlineLevel="1">
      <c r="A358" s="171"/>
      <c r="B358" s="165"/>
      <c r="C358" s="165"/>
      <c r="D358" s="165"/>
      <c r="E358" s="167"/>
      <c r="F358" s="168"/>
      <c r="G358" s="168"/>
      <c r="H358" s="168"/>
      <c r="I358" s="168"/>
      <c r="Z358" s="128"/>
      <c r="AA358" s="128"/>
      <c r="AB358" s="128"/>
      <c r="AC358" s="128"/>
      <c r="AD358" s="128"/>
      <c r="AE358" s="128"/>
      <c r="AF358" s="128"/>
      <c r="AG358" s="164"/>
      <c r="AH358" s="164"/>
      <c r="AI358" s="164"/>
    </row>
    <row r="359" spans="1:35" ht="13.75" customHeight="1" outlineLevel="1">
      <c r="A359" s="171"/>
      <c r="B359" s="165"/>
      <c r="C359" s="165"/>
      <c r="D359" s="165"/>
      <c r="E359" s="167"/>
      <c r="F359" s="168"/>
      <c r="G359" s="168"/>
      <c r="H359" s="168"/>
      <c r="I359" s="168"/>
      <c r="Z359" s="128"/>
      <c r="AA359" s="128"/>
      <c r="AB359" s="128"/>
      <c r="AC359" s="128"/>
      <c r="AD359" s="128"/>
      <c r="AE359" s="128"/>
      <c r="AF359" s="128"/>
      <c r="AG359" s="109"/>
      <c r="AH359" s="109"/>
    </row>
    <row r="360" spans="1:35" ht="13.75" customHeight="1" outlineLevel="1">
      <c r="A360" s="171"/>
      <c r="B360" s="165"/>
      <c r="C360" s="165"/>
      <c r="D360" s="165"/>
      <c r="E360" s="167"/>
      <c r="F360" s="168"/>
      <c r="G360" s="168"/>
      <c r="H360" s="168"/>
      <c r="I360" s="168"/>
      <c r="Z360" s="128"/>
      <c r="AA360" s="128"/>
      <c r="AB360" s="128"/>
      <c r="AC360" s="128"/>
      <c r="AD360" s="128"/>
      <c r="AE360" s="128"/>
      <c r="AF360" s="128"/>
      <c r="AG360" s="109"/>
      <c r="AH360" s="109"/>
    </row>
    <row r="361" spans="1:35" ht="13.75" customHeight="1" outlineLevel="1">
      <c r="A361" s="171"/>
      <c r="B361" s="165"/>
      <c r="C361" s="165"/>
      <c r="D361" s="165"/>
      <c r="E361" s="167"/>
      <c r="F361" s="168"/>
      <c r="G361" s="168"/>
      <c r="H361" s="168"/>
      <c r="I361" s="168"/>
      <c r="Z361" s="128"/>
      <c r="AA361" s="128"/>
      <c r="AB361" s="128"/>
      <c r="AC361" s="128"/>
      <c r="AD361" s="128"/>
      <c r="AE361" s="128"/>
      <c r="AF361" s="128"/>
      <c r="AG361" s="109"/>
      <c r="AH361" s="109"/>
    </row>
    <row r="362" spans="1:35" ht="13.75" customHeight="1" outlineLevel="1">
      <c r="A362" s="171"/>
      <c r="B362" s="165"/>
      <c r="C362" s="165"/>
      <c r="D362" s="165"/>
      <c r="E362" s="167"/>
      <c r="F362" s="168"/>
      <c r="G362" s="168"/>
      <c r="H362" s="168"/>
      <c r="I362" s="168"/>
      <c r="Z362" s="128"/>
      <c r="AA362" s="128"/>
      <c r="AB362" s="128"/>
      <c r="AC362" s="128"/>
      <c r="AD362" s="128"/>
      <c r="AE362" s="128"/>
      <c r="AF362" s="128"/>
      <c r="AG362" s="109"/>
      <c r="AH362" s="109"/>
    </row>
    <row r="363" spans="1:35" ht="13.75" customHeight="1" outlineLevel="1">
      <c r="A363" s="171"/>
      <c r="B363" s="165"/>
      <c r="C363" s="165"/>
      <c r="D363" s="165"/>
      <c r="E363" s="167"/>
      <c r="F363" s="168"/>
      <c r="G363" s="168"/>
      <c r="H363" s="168"/>
      <c r="I363" s="168"/>
      <c r="AG363" s="109"/>
      <c r="AH363" s="109"/>
    </row>
    <row r="364" spans="1:35" ht="13.75" customHeight="1" outlineLevel="1">
      <c r="A364" s="171"/>
      <c r="B364" s="165"/>
      <c r="C364" s="165"/>
      <c r="D364" s="165"/>
      <c r="E364" s="167"/>
      <c r="F364" s="168"/>
      <c r="G364" s="168"/>
      <c r="H364" s="168"/>
      <c r="I364" s="168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</row>
    <row r="365" spans="1:35" ht="13.75" customHeight="1" outlineLevel="1">
      <c r="A365" s="171"/>
      <c r="B365" s="165"/>
      <c r="C365" s="165"/>
      <c r="D365" s="165"/>
      <c r="E365" s="167"/>
      <c r="F365" s="168"/>
      <c r="G365" s="168"/>
      <c r="H365" s="168"/>
      <c r="I365" s="168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</row>
    <row r="366" spans="1:35" ht="13.75" customHeight="1" outlineLevel="1">
      <c r="A366" s="171"/>
      <c r="B366" s="165"/>
      <c r="C366" s="165"/>
      <c r="D366" s="165"/>
      <c r="E366" s="167"/>
      <c r="F366" s="168"/>
      <c r="G366" s="168"/>
      <c r="H366" s="168"/>
      <c r="I366" s="168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</row>
    <row r="367" spans="1:35" ht="13.75" customHeight="1" outlineLevel="1">
      <c r="A367" s="171"/>
      <c r="B367" s="165"/>
      <c r="C367" s="165"/>
      <c r="D367" s="165"/>
      <c r="E367" s="167"/>
      <c r="F367" s="168"/>
      <c r="G367" s="168"/>
      <c r="H367" s="168"/>
      <c r="I367" s="168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</row>
    <row r="368" spans="1:35" ht="13.75" customHeight="1" outlineLevel="1">
      <c r="A368" s="171"/>
      <c r="B368" s="165"/>
      <c r="C368" s="165"/>
      <c r="D368" s="165"/>
      <c r="E368" s="167"/>
      <c r="F368" s="168"/>
      <c r="G368" s="168"/>
      <c r="H368" s="168"/>
      <c r="I368" s="168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</row>
    <row r="369" spans="1:34" ht="13.75" customHeight="1" outlineLevel="1">
      <c r="A369" s="171"/>
      <c r="B369" s="165"/>
      <c r="C369" s="165"/>
      <c r="D369" s="165"/>
      <c r="E369" s="167"/>
      <c r="F369" s="168"/>
      <c r="G369" s="168"/>
      <c r="H369" s="168"/>
      <c r="I369" s="168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</row>
    <row r="370" spans="1:34" ht="13.75" customHeight="1">
      <c r="A370" s="141" t="s">
        <v>461</v>
      </c>
      <c r="B370" s="142" t="s">
        <v>462</v>
      </c>
      <c r="F370" s="168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</row>
    <row r="371" spans="1:34" ht="13.75" customHeight="1" outlineLevel="1">
      <c r="F371" s="168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</row>
    <row r="372" spans="1:34" ht="13.75" customHeight="1" outlineLevel="1">
      <c r="F372" s="168"/>
      <c r="AG372" s="109"/>
      <c r="AH372" s="109"/>
    </row>
    <row r="373" spans="1:34" ht="13.75" customHeight="1" outlineLevel="1">
      <c r="F373" s="168"/>
      <c r="AG373" s="109"/>
      <c r="AH373" s="109"/>
    </row>
    <row r="374" spans="1:34" ht="13.75" customHeight="1" outlineLevel="1">
      <c r="F374" s="168"/>
      <c r="AG374" s="109"/>
      <c r="AH374" s="109"/>
    </row>
    <row r="375" spans="1:34" ht="13.75" customHeight="1" outlineLevel="1">
      <c r="F375" s="168"/>
      <c r="AG375" s="109"/>
      <c r="AH375" s="109"/>
    </row>
    <row r="376" spans="1:34" ht="13.75" customHeight="1" outlineLevel="1">
      <c r="F376" s="168"/>
      <c r="AG376" s="109"/>
      <c r="AH376" s="109"/>
    </row>
    <row r="377" spans="1:34" ht="13.75" customHeight="1" outlineLevel="1">
      <c r="F377" s="168"/>
      <c r="AG377" s="109"/>
      <c r="AH377" s="109"/>
    </row>
    <row r="378" spans="1:34" ht="13.75" customHeight="1" outlineLevel="1">
      <c r="F378" s="168"/>
      <c r="AG378" s="109"/>
      <c r="AH378" s="109"/>
    </row>
    <row r="379" spans="1:34" ht="13.75" customHeight="1" outlineLevel="1">
      <c r="F379" s="168"/>
      <c r="AG379" s="109"/>
      <c r="AH379" s="109"/>
    </row>
    <row r="380" spans="1:34" ht="13.75" customHeight="1" outlineLevel="1">
      <c r="F380" s="168"/>
      <c r="AG380" s="109"/>
      <c r="AH380" s="109"/>
    </row>
    <row r="381" spans="1:34" ht="13.75" customHeight="1" outlineLevel="1">
      <c r="F381" s="168"/>
      <c r="AG381" s="109"/>
      <c r="AH381" s="109"/>
    </row>
    <row r="382" spans="1:34" ht="13.75" customHeight="1" outlineLevel="1">
      <c r="F382" s="168"/>
      <c r="AG382" s="109"/>
      <c r="AH382" s="109"/>
    </row>
    <row r="383" spans="1:34" ht="13.75" customHeight="1" outlineLevel="1">
      <c r="F383" s="168"/>
      <c r="AG383" s="109"/>
      <c r="AH383" s="109"/>
    </row>
    <row r="384" spans="1:34" ht="13.75" customHeight="1" outlineLevel="1">
      <c r="F384" s="168"/>
      <c r="AG384" s="109"/>
      <c r="AH384" s="109"/>
    </row>
    <row r="385" spans="1:34" ht="13.75" customHeight="1" outlineLevel="1">
      <c r="F385" s="168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</row>
    <row r="386" spans="1:34" ht="13.75" customHeight="1" outlineLevel="1">
      <c r="F386" s="168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</row>
    <row r="387" spans="1:34" ht="13.75" customHeight="1" outlineLevel="1">
      <c r="F387" s="168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</row>
    <row r="388" spans="1:34" ht="13.75" customHeight="1" outlineLevel="1">
      <c r="F388" s="168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</row>
    <row r="389" spans="1:34" ht="13.75" customHeight="1" outlineLevel="1">
      <c r="F389" s="168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</row>
    <row r="390" spans="1:34" ht="13.75" customHeight="1" outlineLevel="1">
      <c r="F390" s="168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</row>
    <row r="391" spans="1:34" ht="13.75" customHeight="1" outlineLevel="1">
      <c r="F391" s="168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</row>
    <row r="392" spans="1:34" ht="13.75" customHeight="1" outlineLevel="1">
      <c r="F392" s="168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</row>
    <row r="393" spans="1:34" ht="13.75" customHeight="1" outlineLevel="1">
      <c r="F393" s="168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</row>
    <row r="394" spans="1:34" ht="13.75" customHeight="1" outlineLevel="1">
      <c r="F394" s="168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</row>
    <row r="395" spans="1:34" ht="13.75" customHeight="1" outlineLevel="1">
      <c r="F395" s="168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</row>
    <row r="396" spans="1:34" ht="13.75" customHeight="1">
      <c r="A396" s="141" t="s">
        <v>166</v>
      </c>
      <c r="B396" s="142" t="s">
        <v>463</v>
      </c>
      <c r="F396" s="168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</row>
    <row r="397" spans="1:34" ht="13.75" customHeight="1" outlineLevel="1">
      <c r="F397" s="168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</row>
    <row r="398" spans="1:34" ht="13.75" customHeight="1" outlineLevel="1">
      <c r="F398" s="168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</row>
    <row r="399" spans="1:34" ht="13.75" customHeight="1" outlineLevel="1">
      <c r="F399" s="168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</row>
    <row r="400" spans="1:34" ht="13.75" customHeight="1" outlineLevel="1">
      <c r="F400" s="168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</row>
    <row r="401" spans="6:34" ht="13.75" customHeight="1" outlineLevel="1">
      <c r="F401" s="168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</row>
    <row r="402" spans="6:34" ht="13.75" customHeight="1" outlineLevel="1">
      <c r="F402" s="168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</row>
    <row r="403" spans="6:34" ht="13.75" customHeight="1" outlineLevel="1">
      <c r="F403" s="168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</row>
    <row r="404" spans="6:34" ht="13.75" customHeight="1" outlineLevel="1">
      <c r="F404" s="168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</row>
    <row r="405" spans="6:34" ht="13.75" customHeight="1" outlineLevel="1">
      <c r="F405" s="168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</row>
    <row r="406" spans="6:34" ht="13.75" customHeight="1" outlineLevel="1">
      <c r="F406" s="168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</row>
    <row r="407" spans="6:34" ht="13.75" customHeight="1" outlineLevel="1">
      <c r="F407" s="168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</row>
    <row r="408" spans="6:34" ht="13.75" customHeight="1" outlineLevel="1">
      <c r="F408" s="168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</row>
    <row r="409" spans="6:34" ht="13.75" customHeight="1" outlineLevel="1">
      <c r="F409" s="168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</row>
    <row r="410" spans="6:34" ht="13.75" customHeight="1" outlineLevel="1">
      <c r="F410" s="168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</row>
    <row r="411" spans="6:34" ht="13.75" customHeight="1" outlineLevel="1">
      <c r="F411" s="168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</row>
    <row r="412" spans="6:34" ht="13.75" customHeight="1" outlineLevel="1">
      <c r="F412" s="168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</row>
    <row r="413" spans="6:34" ht="13.75" customHeight="1" outlineLevel="1">
      <c r="F413" s="168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</row>
    <row r="414" spans="6:34" ht="13.75" customHeight="1" outlineLevel="1">
      <c r="F414" s="168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</row>
    <row r="415" spans="6:34" ht="13.75" customHeight="1" outlineLevel="1">
      <c r="F415" s="168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</row>
    <row r="416" spans="6:34" ht="13.75" customHeight="1" outlineLevel="1">
      <c r="F416" s="168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</row>
    <row r="417" spans="1:59" ht="13.75" customHeight="1" outlineLevel="1">
      <c r="F417" s="168"/>
    </row>
    <row r="418" spans="1:59" ht="13.75" customHeight="1" outlineLevel="1">
      <c r="F418" s="168"/>
    </row>
    <row r="419" spans="1:59" ht="13.75" customHeight="1" outlineLevel="1">
      <c r="F419" s="168"/>
    </row>
    <row r="420" spans="1:59" ht="13.75" customHeight="1" outlineLevel="1">
      <c r="F420" s="168"/>
    </row>
    <row r="421" spans="1:59" ht="13.75" customHeight="1" outlineLevel="1">
      <c r="F421" s="168"/>
      <c r="AB421" s="124"/>
    </row>
    <row r="422" spans="1:59" ht="13.75" customHeight="1">
      <c r="A422" s="141" t="s">
        <v>166</v>
      </c>
      <c r="B422" s="142" t="s">
        <v>464</v>
      </c>
      <c r="D422" s="142" t="s">
        <v>168</v>
      </c>
      <c r="F422" s="168" t="s">
        <v>465</v>
      </c>
      <c r="G422" s="109" t="s">
        <v>443</v>
      </c>
      <c r="I422" s="109" t="s">
        <v>466</v>
      </c>
      <c r="N422" s="133">
        <v>1400</v>
      </c>
      <c r="O422" s="133">
        <v>1800</v>
      </c>
      <c r="P422" s="133">
        <v>2400</v>
      </c>
      <c r="Q422" s="133">
        <v>2740</v>
      </c>
      <c r="R422" s="133">
        <v>1370</v>
      </c>
      <c r="S422" s="133">
        <v>1780</v>
      </c>
      <c r="T422" s="133">
        <v>2480</v>
      </c>
      <c r="U422" s="133">
        <v>2760</v>
      </c>
      <c r="V422" s="133">
        <v>2610</v>
      </c>
      <c r="W422" s="133">
        <v>2340</v>
      </c>
      <c r="X422" s="133">
        <v>1490</v>
      </c>
      <c r="Y422" s="133">
        <v>1310</v>
      </c>
      <c r="Z422" s="133">
        <v>1487.1610000000001</v>
      </c>
      <c r="AA422" s="133">
        <v>1621.12</v>
      </c>
      <c r="AB422" s="133">
        <v>1581.847</v>
      </c>
      <c r="AC422" s="133">
        <v>1443.3869999999999</v>
      </c>
      <c r="AD422" s="133">
        <v>1493.8019999999999</v>
      </c>
      <c r="AE422" s="133">
        <v>637.82299999999998</v>
      </c>
      <c r="AF422" s="133">
        <v>1051.2908</v>
      </c>
      <c r="AG422" s="133">
        <v>1006.5</v>
      </c>
      <c r="AH422" s="133">
        <f t="shared" ref="AH422:AM424" si="141">+AG422*(1+AH$2*1.5)</f>
        <v>1020.5376258105427</v>
      </c>
      <c r="AI422" s="133">
        <f t="shared" si="141"/>
        <v>1040.2170741210275</v>
      </c>
      <c r="AJ422" s="133">
        <f t="shared" si="141"/>
        <v>1055.8203302328427</v>
      </c>
      <c r="AK422" s="133">
        <f t="shared" si="141"/>
        <v>1071.6576351863353</v>
      </c>
      <c r="AL422" s="133">
        <f t="shared" si="141"/>
        <v>1087.7324997141302</v>
      </c>
      <c r="AM422" s="133">
        <f t="shared" si="141"/>
        <v>1104.0484872098421</v>
      </c>
      <c r="AN422" s="133">
        <f>+AM422*(1+AN$2*1.5)</f>
        <v>1120.6092145179896</v>
      </c>
      <c r="AO422" s="133">
        <f t="shared" ref="AO422:BD424" si="142">+AN422*(1+AO$2*1.5)</f>
        <v>1137.4183527357593</v>
      </c>
      <c r="AP422" s="133">
        <f t="shared" si="142"/>
        <v>1154.4796280267956</v>
      </c>
      <c r="AQ422" s="133">
        <f t="shared" si="142"/>
        <v>1171.7968224471974</v>
      </c>
      <c r="AR422" s="133">
        <f t="shared" si="142"/>
        <v>1189.3737747839052</v>
      </c>
      <c r="AS422" s="133">
        <f t="shared" si="142"/>
        <v>1207.2143814056637</v>
      </c>
      <c r="AT422" s="133">
        <f t="shared" si="142"/>
        <v>1225.3225971267486</v>
      </c>
      <c r="AU422" s="133">
        <f t="shared" si="142"/>
        <v>1243.7024360836497</v>
      </c>
      <c r="AV422" s="133">
        <f t="shared" si="142"/>
        <v>1262.3579726249043</v>
      </c>
      <c r="AW422" s="133">
        <f t="shared" si="142"/>
        <v>1281.2933422142778</v>
      </c>
      <c r="AX422" s="133">
        <f t="shared" si="142"/>
        <v>1300.5127423474919</v>
      </c>
      <c r="AY422" s="133">
        <f t="shared" si="142"/>
        <v>1320.0204334827042</v>
      </c>
      <c r="AZ422" s="133">
        <f t="shared" si="142"/>
        <v>1339.8207399849446</v>
      </c>
      <c r="BA422" s="133">
        <f t="shared" si="142"/>
        <v>1359.9180510847186</v>
      </c>
      <c r="BB422" s="133">
        <f t="shared" si="142"/>
        <v>1380.3168218509893</v>
      </c>
      <c r="BC422" s="133">
        <f t="shared" si="142"/>
        <v>1401.021574178754</v>
      </c>
      <c r="BD422" s="133">
        <f t="shared" si="142"/>
        <v>1422.0368977914352</v>
      </c>
      <c r="BE422" s="133">
        <f t="shared" ref="BE422:BG423" si="143">+BD422*(1+BE$2*1.5)</f>
        <v>1443.3674512583066</v>
      </c>
      <c r="BF422" s="133">
        <f t="shared" si="143"/>
        <v>1465.0179630271809</v>
      </c>
      <c r="BG422" s="133">
        <f t="shared" si="143"/>
        <v>1486.9932324725885</v>
      </c>
    </row>
    <row r="423" spans="1:59" ht="13.75" customHeight="1">
      <c r="A423" s="141" t="s">
        <v>166</v>
      </c>
      <c r="B423" s="142" t="s">
        <v>464</v>
      </c>
      <c r="D423" s="142" t="s">
        <v>168</v>
      </c>
      <c r="F423" s="168" t="s">
        <v>467</v>
      </c>
      <c r="G423" s="109" t="s">
        <v>443</v>
      </c>
      <c r="I423" s="109" t="s">
        <v>466</v>
      </c>
      <c r="N423" s="133"/>
      <c r="O423" s="133"/>
      <c r="P423" s="133"/>
      <c r="Q423" s="133"/>
      <c r="R423" s="133">
        <v>91</v>
      </c>
      <c r="S423" s="133">
        <v>122</v>
      </c>
      <c r="T423" s="133">
        <v>166</v>
      </c>
      <c r="U423" s="133">
        <v>174</v>
      </c>
      <c r="V423" s="133">
        <v>165</v>
      </c>
      <c r="W423" s="133">
        <v>141</v>
      </c>
      <c r="X423" s="133">
        <v>92</v>
      </c>
      <c r="Y423" s="133">
        <v>93</v>
      </c>
      <c r="Z423" s="133">
        <v>108.57599999999999</v>
      </c>
      <c r="AA423" s="133">
        <v>106.224</v>
      </c>
      <c r="AB423" s="133">
        <v>104.224</v>
      </c>
      <c r="AC423" s="133">
        <v>101.754</v>
      </c>
      <c r="AD423" s="133">
        <v>132.303</v>
      </c>
      <c r="AE423" s="133">
        <v>72.525000000000006</v>
      </c>
      <c r="AF423" s="133">
        <v>82.1</v>
      </c>
      <c r="AG423" s="133">
        <v>77</v>
      </c>
      <c r="AH423" s="133">
        <f t="shared" si="141"/>
        <v>78.0739167286754</v>
      </c>
      <c r="AI423" s="133">
        <f t="shared" si="141"/>
        <v>79.579448293411943</v>
      </c>
      <c r="AJ423" s="133">
        <f t="shared" si="141"/>
        <v>80.77314001781312</v>
      </c>
      <c r="AK423" s="133">
        <f t="shared" si="141"/>
        <v>81.984737118080304</v>
      </c>
      <c r="AL423" s="133">
        <f t="shared" si="141"/>
        <v>83.214508174851503</v>
      </c>
      <c r="AM423" s="133">
        <f t="shared" si="141"/>
        <v>84.462725797474263</v>
      </c>
      <c r="AN423" s="133">
        <f>+AM423*(1+AN$2*1.5)</f>
        <v>85.729666684436367</v>
      </c>
      <c r="AO423" s="133">
        <f t="shared" si="142"/>
        <v>87.015611684702904</v>
      </c>
      <c r="AP423" s="133">
        <f t="shared" si="142"/>
        <v>88.320845859973446</v>
      </c>
      <c r="AQ423" s="133">
        <f t="shared" si="142"/>
        <v>89.64565854787304</v>
      </c>
      <c r="AR423" s="133">
        <f t="shared" si="142"/>
        <v>90.99034342609113</v>
      </c>
      <c r="AS423" s="133">
        <f t="shared" si="142"/>
        <v>92.355198577482483</v>
      </c>
      <c r="AT423" s="133">
        <f t="shared" si="142"/>
        <v>93.740526556144715</v>
      </c>
      <c r="AU423" s="133">
        <f t="shared" si="142"/>
        <v>95.146634454486872</v>
      </c>
      <c r="AV423" s="133">
        <f t="shared" si="142"/>
        <v>96.573833971304168</v>
      </c>
      <c r="AW423" s="133">
        <f t="shared" si="142"/>
        <v>98.022441480873724</v>
      </c>
      <c r="AX423" s="133">
        <f t="shared" si="142"/>
        <v>99.49277810308682</v>
      </c>
      <c r="AY423" s="133">
        <f t="shared" si="142"/>
        <v>100.98516977463311</v>
      </c>
      <c r="AZ423" s="133">
        <f t="shared" si="142"/>
        <v>102.49994732125259</v>
      </c>
      <c r="BA423" s="133">
        <f t="shared" si="142"/>
        <v>104.03744653107137</v>
      </c>
      <c r="BB423" s="133">
        <f t="shared" si="142"/>
        <v>105.59800822903743</v>
      </c>
      <c r="BC423" s="133">
        <f t="shared" si="142"/>
        <v>107.18197835247298</v>
      </c>
      <c r="BD423" s="133">
        <f t="shared" si="142"/>
        <v>108.78970802776007</v>
      </c>
      <c r="BE423" s="133">
        <f t="shared" si="143"/>
        <v>110.42155364817646</v>
      </c>
      <c r="BF423" s="133">
        <f t="shared" si="143"/>
        <v>112.07787695289909</v>
      </c>
      <c r="BG423" s="133">
        <f t="shared" si="143"/>
        <v>113.75904510719256</v>
      </c>
    </row>
    <row r="424" spans="1:59" ht="13.75" customHeight="1">
      <c r="A424" s="141" t="s">
        <v>166</v>
      </c>
      <c r="B424" s="142" t="s">
        <v>464</v>
      </c>
      <c r="D424" s="142" t="s">
        <v>168</v>
      </c>
      <c r="F424" s="168" t="s">
        <v>468</v>
      </c>
      <c r="G424" s="109" t="s">
        <v>443</v>
      </c>
      <c r="I424" s="109" t="s">
        <v>466</v>
      </c>
      <c r="N424" s="133"/>
      <c r="O424" s="133"/>
      <c r="P424" s="133"/>
      <c r="Q424" s="133"/>
      <c r="R424" s="133">
        <v>41</v>
      </c>
      <c r="S424" s="133">
        <v>60</v>
      </c>
      <c r="T424" s="133">
        <v>111</v>
      </c>
      <c r="U424" s="133">
        <v>129</v>
      </c>
      <c r="V424" s="133">
        <v>111</v>
      </c>
      <c r="W424" s="133">
        <v>88</v>
      </c>
      <c r="X424" s="133">
        <v>51</v>
      </c>
      <c r="Y424" s="133">
        <v>53</v>
      </c>
      <c r="Z424" s="133">
        <v>80.153999999999996</v>
      </c>
      <c r="AA424" s="133">
        <v>80.701999999999998</v>
      </c>
      <c r="AB424" s="133">
        <v>78.807000000000002</v>
      </c>
      <c r="AC424" s="133">
        <v>72.683000000000007</v>
      </c>
      <c r="AD424" s="133">
        <v>100.196</v>
      </c>
      <c r="AE424" s="133">
        <v>84.671999999999997</v>
      </c>
      <c r="AF424" s="133">
        <v>145.30000000000001</v>
      </c>
      <c r="AG424" s="133">
        <v>99.4</v>
      </c>
      <c r="AH424" s="133">
        <f t="shared" si="141"/>
        <v>100.78632886792643</v>
      </c>
      <c r="AI424" s="133">
        <f t="shared" si="141"/>
        <v>102.72983325149542</v>
      </c>
      <c r="AJ424" s="133">
        <f t="shared" si="141"/>
        <v>104.27078075026785</v>
      </c>
      <c r="AK424" s="133">
        <f t="shared" si="141"/>
        <v>105.83484246152186</v>
      </c>
      <c r="AL424" s="133">
        <f t="shared" si="141"/>
        <v>107.42236509844467</v>
      </c>
      <c r="AM424" s="133">
        <f t="shared" si="141"/>
        <v>109.03370057492133</v>
      </c>
      <c r="AN424" s="133">
        <f>+AM424*(1+AN$2*1.5)</f>
        <v>110.66920608354513</v>
      </c>
      <c r="AO424" s="133">
        <f t="shared" si="142"/>
        <v>112.3292441747983</v>
      </c>
      <c r="AP424" s="133">
        <f t="shared" si="142"/>
        <v>114.01418283742026</v>
      </c>
      <c r="AQ424" s="133">
        <f t="shared" si="142"/>
        <v>115.72439557998156</v>
      </c>
      <c r="AR424" s="133">
        <f t="shared" si="142"/>
        <v>117.46026151368127</v>
      </c>
      <c r="AS424" s="133">
        <f t="shared" si="142"/>
        <v>119.22216543638648</v>
      </c>
      <c r="AT424" s="133">
        <f t="shared" si="142"/>
        <v>121.01049791793226</v>
      </c>
      <c r="AU424" s="133">
        <f t="shared" si="142"/>
        <v>122.82565538670123</v>
      </c>
      <c r="AV424" s="133">
        <f t="shared" si="142"/>
        <v>124.66804021750174</v>
      </c>
      <c r="AW424" s="133">
        <f t="shared" si="142"/>
        <v>126.53806082076426</v>
      </c>
      <c r="AX424" s="133">
        <f t="shared" si="142"/>
        <v>128.43613173307571</v>
      </c>
      <c r="AY424" s="133">
        <f t="shared" si="142"/>
        <v>130.36267370907183</v>
      </c>
      <c r="AZ424" s="133">
        <f t="shared" si="142"/>
        <v>132.31811381470789</v>
      </c>
      <c r="BA424" s="133">
        <f t="shared" si="142"/>
        <v>134.30288552192849</v>
      </c>
      <c r="BB424" s="133">
        <f t="shared" si="142"/>
        <v>136.31742880475741</v>
      </c>
      <c r="BC424" s="133">
        <f t="shared" ref="BC424:BG425" si="144">+BB424*(1+BC$2)</f>
        <v>137.680603092805</v>
      </c>
      <c r="BD424" s="133">
        <f t="shared" si="144"/>
        <v>139.05740912373304</v>
      </c>
      <c r="BE424" s="133">
        <f t="shared" si="144"/>
        <v>140.44798321497038</v>
      </c>
      <c r="BF424" s="133">
        <f t="shared" si="144"/>
        <v>141.8524630471201</v>
      </c>
      <c r="BG424" s="133">
        <f t="shared" si="144"/>
        <v>143.27098767759131</v>
      </c>
    </row>
    <row r="425" spans="1:59" ht="13.75" customHeight="1">
      <c r="A425" s="141" t="s">
        <v>166</v>
      </c>
      <c r="B425" s="142" t="s">
        <v>464</v>
      </c>
      <c r="D425" s="142" t="s">
        <v>168</v>
      </c>
      <c r="F425" s="168" t="s">
        <v>469</v>
      </c>
      <c r="G425" s="109" t="s">
        <v>443</v>
      </c>
      <c r="I425" s="109" t="s">
        <v>466</v>
      </c>
      <c r="N425" s="133"/>
      <c r="O425" s="133"/>
      <c r="P425" s="133"/>
      <c r="Q425" s="133"/>
      <c r="R425" s="133">
        <v>10.3</v>
      </c>
      <c r="S425" s="133">
        <v>12.4</v>
      </c>
      <c r="T425" s="133">
        <v>16.399999999999999</v>
      </c>
      <c r="U425" s="133">
        <v>17.100000000000001</v>
      </c>
      <c r="V425" s="133">
        <v>15.2</v>
      </c>
      <c r="W425" s="133">
        <v>11.2</v>
      </c>
      <c r="X425" s="133">
        <v>9</v>
      </c>
      <c r="Y425" s="133">
        <v>10.4</v>
      </c>
      <c r="Z425" s="133">
        <v>11.7</v>
      </c>
      <c r="AA425" s="133">
        <v>13.273999999999999</v>
      </c>
      <c r="AB425" s="133">
        <v>13.962999999999999</v>
      </c>
      <c r="AC425" s="133">
        <v>13.339</v>
      </c>
      <c r="AD425" s="133">
        <v>15.664</v>
      </c>
      <c r="AE425" s="133">
        <v>13.584</v>
      </c>
      <c r="AF425" s="133">
        <v>16.7</v>
      </c>
      <c r="AG425" s="133">
        <v>15.5</v>
      </c>
      <c r="AH425" s="133">
        <f t="shared" ref="AH425:AM425" si="145">+AG425*(1+AH$2)</f>
        <v>15.644118695190206</v>
      </c>
      <c r="AI425" s="133">
        <f t="shared" si="145"/>
        <v>15.845233360923748</v>
      </c>
      <c r="AJ425" s="133">
        <f t="shared" si="145"/>
        <v>16.003685694532987</v>
      </c>
      <c r="AK425" s="133">
        <f t="shared" si="145"/>
        <v>16.163722551478315</v>
      </c>
      <c r="AL425" s="133">
        <f t="shared" si="145"/>
        <v>16.3253597769931</v>
      </c>
      <c r="AM425" s="133">
        <f t="shared" si="145"/>
        <v>16.48861337476303</v>
      </c>
      <c r="AN425" s="133">
        <f>+AM425*(1+AN$2)</f>
        <v>16.653499508510659</v>
      </c>
      <c r="AO425" s="133">
        <f t="shared" ref="AO425:BB425" si="146">+AN425*(1+AO$2)</f>
        <v>16.820034503595767</v>
      </c>
      <c r="AP425" s="133">
        <f t="shared" si="146"/>
        <v>16.988234848631727</v>
      </c>
      <c r="AQ425" s="133">
        <f t="shared" si="146"/>
        <v>17.158117197118045</v>
      </c>
      <c r="AR425" s="133">
        <f t="shared" si="146"/>
        <v>17.329698369089225</v>
      </c>
      <c r="AS425" s="133">
        <f t="shared" si="146"/>
        <v>17.502995352780118</v>
      </c>
      <c r="AT425" s="133">
        <f t="shared" si="146"/>
        <v>17.678025306307919</v>
      </c>
      <c r="AU425" s="133">
        <f t="shared" si="146"/>
        <v>17.854805559370998</v>
      </c>
      <c r="AV425" s="133">
        <f t="shared" si="146"/>
        <v>18.033353614964707</v>
      </c>
      <c r="AW425" s="133">
        <f t="shared" si="146"/>
        <v>18.213687151114353</v>
      </c>
      <c r="AX425" s="133">
        <f t="shared" si="146"/>
        <v>18.395824022625497</v>
      </c>
      <c r="AY425" s="133">
        <f t="shared" si="146"/>
        <v>18.579782262851751</v>
      </c>
      <c r="AZ425" s="133">
        <f t="shared" si="146"/>
        <v>18.76558008548027</v>
      </c>
      <c r="BA425" s="133">
        <f t="shared" si="146"/>
        <v>18.953235886335072</v>
      </c>
      <c r="BB425" s="133">
        <f t="shared" si="146"/>
        <v>19.142768245198422</v>
      </c>
      <c r="BC425" s="133">
        <f t="shared" si="144"/>
        <v>19.334195927650406</v>
      </c>
      <c r="BD425" s="133">
        <f t="shared" si="144"/>
        <v>19.527537886926911</v>
      </c>
      <c r="BE425" s="133">
        <f t="shared" si="144"/>
        <v>19.72281326579618</v>
      </c>
      <c r="BF425" s="133">
        <f t="shared" si="144"/>
        <v>19.920041398454142</v>
      </c>
      <c r="BG425" s="133">
        <f t="shared" si="144"/>
        <v>20.119241812438684</v>
      </c>
    </row>
    <row r="426" spans="1:59" ht="13.75" customHeight="1" outlineLevel="1">
      <c r="F426" s="168"/>
    </row>
    <row r="427" spans="1:59" ht="13.75" customHeight="1" outlineLevel="1">
      <c r="F427" s="168"/>
    </row>
    <row r="428" spans="1:59" ht="13.75" customHeight="1" outlineLevel="1">
      <c r="F428" s="168"/>
    </row>
    <row r="429" spans="1:59" ht="13.75" customHeight="1" outlineLevel="1">
      <c r="F429" s="168"/>
    </row>
    <row r="430" spans="1:59" ht="13.75" customHeight="1" outlineLevel="1">
      <c r="F430" s="168"/>
    </row>
    <row r="431" spans="1:59" ht="13.75" customHeight="1" outlineLevel="1">
      <c r="F431" s="168"/>
    </row>
    <row r="432" spans="1:59" ht="13.75" customHeight="1" outlineLevel="1">
      <c r="F432" s="168"/>
    </row>
    <row r="433" spans="6:34" ht="13.75" customHeight="1" outlineLevel="1">
      <c r="F433" s="168"/>
      <c r="Y433" s="109"/>
      <c r="Z433" s="109"/>
      <c r="AA433" s="109"/>
      <c r="AB433" s="109"/>
      <c r="AC433" s="109"/>
      <c r="AD433" s="109"/>
      <c r="AE433" s="109"/>
      <c r="AF433" s="109"/>
    </row>
    <row r="434" spans="6:34" ht="13.75" customHeight="1" outlineLevel="1">
      <c r="F434" s="168"/>
      <c r="Y434" s="109"/>
      <c r="Z434" s="109"/>
      <c r="AA434" s="109"/>
      <c r="AB434" s="109"/>
      <c r="AC434" s="109"/>
      <c r="AD434" s="109"/>
      <c r="AE434" s="109"/>
      <c r="AF434" s="109"/>
    </row>
    <row r="435" spans="6:34" ht="13.75" customHeight="1" outlineLevel="1">
      <c r="F435" s="168"/>
      <c r="Y435" s="109"/>
      <c r="Z435" s="109"/>
      <c r="AA435" s="109"/>
      <c r="AB435" s="109"/>
      <c r="AC435" s="109"/>
      <c r="AD435" s="109"/>
      <c r="AE435" s="109"/>
      <c r="AF435" s="109"/>
    </row>
    <row r="436" spans="6:34" ht="13.75" customHeight="1" outlineLevel="1">
      <c r="F436" s="168"/>
      <c r="Y436" s="109"/>
      <c r="Z436" s="109"/>
      <c r="AA436" s="109"/>
      <c r="AB436" s="109"/>
      <c r="AC436" s="109"/>
      <c r="AD436" s="109"/>
      <c r="AE436" s="109"/>
      <c r="AF436" s="109"/>
    </row>
    <row r="437" spans="6:34" ht="13.75" customHeight="1" outlineLevel="1">
      <c r="F437" s="168"/>
      <c r="Y437" s="109"/>
      <c r="Z437" s="109"/>
      <c r="AA437" s="109"/>
      <c r="AB437" s="109"/>
      <c r="AC437" s="109"/>
      <c r="AD437" s="109"/>
      <c r="AE437" s="109"/>
      <c r="AF437" s="109"/>
    </row>
    <row r="438" spans="6:34" ht="13.75" customHeight="1" outlineLevel="1">
      <c r="F438" s="168"/>
      <c r="Y438" s="109"/>
      <c r="Z438" s="109"/>
      <c r="AA438" s="109"/>
      <c r="AB438" s="109"/>
      <c r="AC438" s="109"/>
      <c r="AD438" s="109"/>
      <c r="AE438" s="109"/>
      <c r="AF438" s="109"/>
    </row>
    <row r="439" spans="6:34" ht="13.75" customHeight="1" outlineLevel="1">
      <c r="F439" s="168"/>
      <c r="Y439" s="109"/>
      <c r="Z439" s="109"/>
      <c r="AA439" s="109"/>
      <c r="AB439" s="109"/>
      <c r="AC439" s="109"/>
      <c r="AD439" s="109"/>
      <c r="AE439" s="109"/>
      <c r="AF439" s="109"/>
    </row>
    <row r="440" spans="6:34" ht="13.75" customHeight="1" outlineLevel="1">
      <c r="F440" s="168"/>
      <c r="Y440" s="109"/>
      <c r="Z440" s="109"/>
      <c r="AA440" s="109"/>
      <c r="AB440" s="109"/>
      <c r="AC440" s="109"/>
      <c r="AD440" s="109"/>
      <c r="AE440" s="109"/>
      <c r="AF440" s="109"/>
    </row>
    <row r="441" spans="6:34" ht="13.75" customHeight="1" outlineLevel="1">
      <c r="F441" s="168"/>
      <c r="Y441" s="109"/>
      <c r="Z441" s="109"/>
      <c r="AA441" s="109"/>
      <c r="AB441" s="109"/>
      <c r="AC441" s="109"/>
      <c r="AD441" s="109"/>
      <c r="AE441" s="109"/>
      <c r="AF441" s="109"/>
    </row>
    <row r="442" spans="6:34" ht="13.75" customHeight="1" outlineLevel="1">
      <c r="F442" s="168"/>
      <c r="Y442" s="109"/>
      <c r="Z442" s="109"/>
      <c r="AA442" s="109"/>
      <c r="AB442" s="109"/>
      <c r="AC442" s="109"/>
      <c r="AD442" s="109"/>
      <c r="AE442" s="109"/>
      <c r="AF442" s="109"/>
    </row>
    <row r="443" spans="6:34" ht="13.75" customHeight="1" outlineLevel="1">
      <c r="F443" s="168"/>
      <c r="Y443" s="109"/>
      <c r="Z443" s="109"/>
      <c r="AA443" s="109"/>
      <c r="AB443" s="109"/>
      <c r="AC443" s="109"/>
      <c r="AD443" s="109"/>
      <c r="AE443" s="109"/>
      <c r="AF443" s="109"/>
    </row>
    <row r="444" spans="6:34" ht="13.75" customHeight="1" outlineLevel="1">
      <c r="F444" s="168"/>
      <c r="Y444" s="109"/>
      <c r="Z444" s="109"/>
      <c r="AA444" s="109"/>
      <c r="AB444" s="109"/>
      <c r="AC444" s="109"/>
      <c r="AD444" s="109"/>
      <c r="AE444" s="109"/>
      <c r="AF444" s="109"/>
    </row>
    <row r="445" spans="6:34" ht="13.75" customHeight="1" outlineLevel="1">
      <c r="F445" s="168"/>
      <c r="Y445" s="109"/>
      <c r="Z445" s="109"/>
      <c r="AA445" s="109"/>
      <c r="AB445" s="109"/>
      <c r="AC445" s="109"/>
      <c r="AD445" s="109"/>
      <c r="AE445" s="109"/>
      <c r="AF445" s="109"/>
    </row>
    <row r="446" spans="6:34" ht="13.75" customHeight="1" outlineLevel="1">
      <c r="F446" s="168"/>
      <c r="Y446" s="109"/>
      <c r="Z446" s="109"/>
      <c r="AA446" s="109"/>
      <c r="AB446" s="109"/>
      <c r="AC446" s="109"/>
      <c r="AD446" s="109"/>
      <c r="AE446" s="109"/>
      <c r="AF446" s="109"/>
    </row>
    <row r="447" spans="6:34" ht="13.75" customHeight="1" outlineLevel="1">
      <c r="F447" s="168"/>
      <c r="Y447" s="109"/>
      <c r="Z447" s="109"/>
      <c r="AA447" s="109"/>
      <c r="AB447" s="109"/>
      <c r="AC447" s="109"/>
      <c r="AD447" s="109"/>
      <c r="AE447" s="109"/>
      <c r="AF447" s="109"/>
    </row>
    <row r="448" spans="6:34" ht="13.75" customHeight="1">
      <c r="F448" s="168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</row>
    <row r="449" spans="6:34" ht="13.75" customHeight="1" outlineLevel="1">
      <c r="F449" s="168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9"/>
      <c r="AH449" s="109"/>
    </row>
    <row r="450" spans="6:34" ht="13.75" customHeight="1" outlineLevel="1">
      <c r="F450" s="168"/>
      <c r="W450" s="109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9"/>
      <c r="AH450" s="109"/>
    </row>
    <row r="451" spans="6:34" ht="13.75" customHeight="1" outlineLevel="1">
      <c r="F451" s="168"/>
      <c r="W451" s="109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9"/>
      <c r="AH451" s="109"/>
    </row>
    <row r="452" spans="6:34" ht="13.75" customHeight="1" outlineLevel="1">
      <c r="F452" s="168"/>
      <c r="W452" s="109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9"/>
      <c r="AH452" s="109"/>
    </row>
    <row r="453" spans="6:34" ht="13.75" customHeight="1" outlineLevel="1">
      <c r="F453" s="168"/>
      <c r="W453" s="109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9"/>
      <c r="AH453" s="109"/>
    </row>
    <row r="454" spans="6:34" ht="13.75" customHeight="1" outlineLevel="1">
      <c r="F454" s="168"/>
      <c r="W454" s="109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9"/>
      <c r="AH454" s="109"/>
    </row>
    <row r="455" spans="6:34" ht="13.75" customHeight="1" outlineLevel="1">
      <c r="F455" s="168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09"/>
      <c r="AH455" s="109"/>
    </row>
    <row r="456" spans="6:34" ht="13.75" customHeight="1" outlineLevel="1">
      <c r="F456" s="168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</row>
    <row r="457" spans="6:34" ht="13.75" customHeight="1" outlineLevel="1">
      <c r="F457" s="168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</row>
    <row r="458" spans="6:34" ht="13.75" customHeight="1" outlineLevel="1">
      <c r="F458" s="168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</row>
    <row r="459" spans="6:34" ht="13.75" customHeight="1" outlineLevel="1">
      <c r="F459" s="168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</row>
    <row r="460" spans="6:34" ht="13.75" customHeight="1" outlineLevel="1">
      <c r="F460" s="168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</row>
    <row r="461" spans="6:34" ht="13.75" customHeight="1" outlineLevel="1">
      <c r="F461" s="168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</row>
    <row r="462" spans="6:34" ht="13.75" customHeight="1" outlineLevel="1">
      <c r="F462" s="168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</row>
    <row r="463" spans="6:34" ht="13.75" customHeight="1" outlineLevel="1">
      <c r="F463" s="168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</row>
    <row r="464" spans="6:34" ht="13.75" customHeight="1" outlineLevel="1">
      <c r="F464" s="168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</row>
    <row r="465" spans="1:34" ht="13.75" customHeight="1" outlineLevel="1">
      <c r="F465" s="168"/>
    </row>
    <row r="466" spans="1:34" ht="13.75" customHeight="1" outlineLevel="1">
      <c r="F466" s="168"/>
    </row>
    <row r="467" spans="1:34" ht="13.75" customHeight="1" outlineLevel="1">
      <c r="F467" s="168"/>
    </row>
    <row r="468" spans="1:34" ht="13.75" customHeight="1" outlineLevel="1">
      <c r="F468" s="168"/>
    </row>
    <row r="469" spans="1:34" ht="13.75" customHeight="1" outlineLevel="1">
      <c r="F469" s="168"/>
    </row>
    <row r="470" spans="1:34" ht="13.75" customHeight="1" outlineLevel="1">
      <c r="F470" s="168"/>
    </row>
    <row r="471" spans="1:34" ht="13.75" customHeight="1" outlineLevel="1">
      <c r="F471" s="168"/>
    </row>
    <row r="472" spans="1:34" ht="13.75" customHeight="1" outlineLevel="1">
      <c r="F472" s="168"/>
    </row>
    <row r="473" spans="1:34" ht="13.75" customHeight="1" outlineLevel="1">
      <c r="F473" s="168"/>
    </row>
    <row r="474" spans="1:34" ht="13.75" customHeight="1">
      <c r="A474" s="141" t="s">
        <v>166</v>
      </c>
      <c r="B474" s="142" t="s">
        <v>470</v>
      </c>
      <c r="D474" s="142" t="s">
        <v>168</v>
      </c>
      <c r="F474" s="168" t="s">
        <v>471</v>
      </c>
      <c r="G474" s="109" t="s">
        <v>472</v>
      </c>
      <c r="W474" s="112">
        <v>2850.1783333333333</v>
      </c>
      <c r="X474" s="128">
        <v>2885</v>
      </c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</row>
    <row r="475" spans="1:34" ht="13.75" customHeight="1">
      <c r="A475" s="141" t="s">
        <v>166</v>
      </c>
      <c r="B475" s="142" t="s">
        <v>470</v>
      </c>
      <c r="D475" s="142" t="s">
        <v>168</v>
      </c>
      <c r="F475" s="168" t="s">
        <v>473</v>
      </c>
      <c r="G475" s="109" t="s">
        <v>472</v>
      </c>
      <c r="W475" s="112">
        <v>2714.8058333333333</v>
      </c>
      <c r="X475" s="128">
        <v>2764</v>
      </c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</row>
    <row r="476" spans="1:34" ht="13.75" customHeight="1">
      <c r="A476" s="141" t="s">
        <v>166</v>
      </c>
      <c r="B476" s="142" t="s">
        <v>470</v>
      </c>
      <c r="D476" s="142" t="s">
        <v>168</v>
      </c>
      <c r="F476" s="168" t="s">
        <v>474</v>
      </c>
      <c r="G476" s="109" t="s">
        <v>472</v>
      </c>
      <c r="W476" s="112">
        <v>2721.3241666666668</v>
      </c>
      <c r="X476" s="128">
        <v>3071</v>
      </c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</row>
    <row r="477" spans="1:34" ht="13.75" customHeight="1">
      <c r="A477" s="141" t="s">
        <v>166</v>
      </c>
      <c r="B477" s="142" t="s">
        <v>470</v>
      </c>
      <c r="D477" s="142" t="s">
        <v>168</v>
      </c>
      <c r="F477" s="168" t="s">
        <v>475</v>
      </c>
      <c r="G477" s="109" t="s">
        <v>472</v>
      </c>
      <c r="W477" s="112">
        <v>4249.96</v>
      </c>
      <c r="X477" s="128">
        <v>4255</v>
      </c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</row>
    <row r="478" spans="1:34" ht="13.75" customHeight="1">
      <c r="A478" s="141" t="s">
        <v>166</v>
      </c>
      <c r="B478" s="142" t="s">
        <v>470</v>
      </c>
      <c r="D478" s="142" t="s">
        <v>168</v>
      </c>
      <c r="F478" s="168" t="s">
        <v>476</v>
      </c>
      <c r="G478" s="109" t="s">
        <v>472</v>
      </c>
      <c r="W478" s="112">
        <v>3278.2641666666664</v>
      </c>
      <c r="X478" s="128">
        <v>3041</v>
      </c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</row>
    <row r="479" spans="1:34" ht="13.75" customHeight="1">
      <c r="A479" s="141" t="s">
        <v>166</v>
      </c>
      <c r="B479" s="142" t="s">
        <v>470</v>
      </c>
      <c r="D479" s="142" t="s">
        <v>168</v>
      </c>
      <c r="F479" s="168" t="s">
        <v>477</v>
      </c>
      <c r="G479" s="109" t="s">
        <v>472</v>
      </c>
      <c r="W479" s="112">
        <v>2908.2416666666668</v>
      </c>
      <c r="X479" s="128">
        <v>2942</v>
      </c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</row>
    <row r="480" spans="1:34" ht="13.75" customHeight="1">
      <c r="A480" s="141" t="s">
        <v>166</v>
      </c>
      <c r="B480" s="142" t="s">
        <v>470</v>
      </c>
      <c r="D480" s="142" t="s">
        <v>168</v>
      </c>
      <c r="F480" s="168" t="s">
        <v>478</v>
      </c>
      <c r="G480" s="109" t="s">
        <v>472</v>
      </c>
      <c r="W480" s="112">
        <v>2376.0224999999996</v>
      </c>
      <c r="X480" s="128">
        <v>2648</v>
      </c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</row>
    <row r="481" spans="1:59" ht="13.75" customHeight="1">
      <c r="A481" s="141" t="s">
        <v>166</v>
      </c>
      <c r="B481" s="142" t="s">
        <v>470</v>
      </c>
      <c r="D481" s="142" t="s">
        <v>168</v>
      </c>
      <c r="F481" s="168" t="s">
        <v>479</v>
      </c>
      <c r="G481" s="109" t="s">
        <v>472</v>
      </c>
      <c r="W481" s="112">
        <v>2945.8766666666666</v>
      </c>
      <c r="X481" s="128">
        <v>2873</v>
      </c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</row>
    <row r="482" spans="1:59" ht="13.75" customHeight="1">
      <c r="A482" s="141" t="s">
        <v>166</v>
      </c>
      <c r="B482" s="142" t="s">
        <v>470</v>
      </c>
      <c r="D482" s="142" t="s">
        <v>168</v>
      </c>
      <c r="F482" s="168" t="s">
        <v>480</v>
      </c>
      <c r="G482" s="109" t="s">
        <v>472</v>
      </c>
    </row>
    <row r="483" spans="1:59" ht="13.75" customHeight="1">
      <c r="A483" s="141" t="s">
        <v>166</v>
      </c>
      <c r="B483" s="142" t="s">
        <v>470</v>
      </c>
      <c r="D483" s="142" t="s">
        <v>168</v>
      </c>
      <c r="F483" s="168" t="s">
        <v>481</v>
      </c>
      <c r="X483" s="107">
        <v>1.2217364176627665E-2</v>
      </c>
      <c r="Y483" s="158">
        <v>7.8682842287695065E-2</v>
      </c>
      <c r="Z483" s="107">
        <v>0.10154241645244211</v>
      </c>
      <c r="AA483" s="158">
        <v>3.7339556592765444E-2</v>
      </c>
      <c r="AB483" s="158">
        <v>5.6896551724137989E-2</v>
      </c>
      <c r="AC483" s="107">
        <v>-4.127609806248933E-2</v>
      </c>
      <c r="AD483" s="107">
        <v>7.1985046384995144E-2</v>
      </c>
      <c r="AE483" s="107">
        <v>0.28100000000000003</v>
      </c>
      <c r="AF483" s="107">
        <v>0.15</v>
      </c>
      <c r="AG483" s="107">
        <f t="shared" ref="AG483:AX483" si="147">AG$3-1%</f>
        <v>6.4118161371848684E-2</v>
      </c>
      <c r="AH483" s="107">
        <f t="shared" si="147"/>
        <v>3.3453021866158845E-2</v>
      </c>
      <c r="AI483" s="107">
        <f t="shared" si="147"/>
        <v>3.0391390824965565E-2</v>
      </c>
      <c r="AJ483" s="107">
        <f t="shared" si="147"/>
        <v>0.03</v>
      </c>
      <c r="AK483" s="107">
        <f t="shared" si="147"/>
        <v>0.03</v>
      </c>
      <c r="AL483" s="107">
        <f t="shared" si="147"/>
        <v>0.03</v>
      </c>
      <c r="AM483" s="107">
        <f t="shared" si="147"/>
        <v>0.03</v>
      </c>
      <c r="AN483" s="107">
        <f t="shared" si="147"/>
        <v>0.03</v>
      </c>
      <c r="AO483" s="107">
        <f t="shared" si="147"/>
        <v>0.03</v>
      </c>
      <c r="AP483" s="107">
        <f t="shared" si="147"/>
        <v>0.03</v>
      </c>
      <c r="AQ483" s="107">
        <f t="shared" si="147"/>
        <v>0.03</v>
      </c>
      <c r="AR483" s="107">
        <f t="shared" si="147"/>
        <v>0.03</v>
      </c>
      <c r="AS483" s="107">
        <f t="shared" si="147"/>
        <v>0.03</v>
      </c>
      <c r="AT483" s="107">
        <f t="shared" si="147"/>
        <v>0.03</v>
      </c>
      <c r="AU483" s="107">
        <f t="shared" si="147"/>
        <v>0.03</v>
      </c>
      <c r="AV483" s="107">
        <f t="shared" si="147"/>
        <v>0.03</v>
      </c>
      <c r="AW483" s="107">
        <f t="shared" si="147"/>
        <v>0.03</v>
      </c>
      <c r="AX483" s="107">
        <f t="shared" si="147"/>
        <v>0.03</v>
      </c>
      <c r="AY483" s="107">
        <f t="shared" ref="AY483:BG483" si="148">AY$3</f>
        <v>0.04</v>
      </c>
      <c r="AZ483" s="107">
        <f t="shared" si="148"/>
        <v>0.04</v>
      </c>
      <c r="BA483" s="107">
        <f t="shared" si="148"/>
        <v>0.04</v>
      </c>
      <c r="BB483" s="107">
        <f t="shared" si="148"/>
        <v>0.04</v>
      </c>
      <c r="BC483" s="107">
        <f t="shared" si="148"/>
        <v>0.04</v>
      </c>
      <c r="BD483" s="107">
        <f t="shared" si="148"/>
        <v>0.04</v>
      </c>
      <c r="BE483" s="107">
        <f t="shared" si="148"/>
        <v>0.04</v>
      </c>
      <c r="BF483" s="107">
        <f t="shared" si="148"/>
        <v>0.04</v>
      </c>
      <c r="BG483" s="107">
        <f t="shared" si="148"/>
        <v>0.04</v>
      </c>
    </row>
    <row r="484" spans="1:59" ht="13.75" customHeight="1">
      <c r="A484" s="141" t="s">
        <v>166</v>
      </c>
      <c r="B484" s="142" t="s">
        <v>470</v>
      </c>
      <c r="D484" s="142" t="s">
        <v>168</v>
      </c>
      <c r="F484" s="168" t="s">
        <v>482</v>
      </c>
      <c r="X484" s="107">
        <v>1.8120694328354281E-2</v>
      </c>
      <c r="Y484" s="158">
        <v>0.17329956584659922</v>
      </c>
      <c r="Z484" s="107">
        <v>7.9247610237434429E-2</v>
      </c>
      <c r="AA484" s="158">
        <v>5.1714285714285824E-2</v>
      </c>
      <c r="AB484" s="158">
        <v>5.1648351648351687E-2</v>
      </c>
      <c r="AC484" s="107">
        <v>3.3372981166087667E-2</v>
      </c>
      <c r="AD484" s="107">
        <v>6.6389174167316378E-2</v>
      </c>
      <c r="AE484" s="107">
        <v>0.20100000000000001</v>
      </c>
      <c r="AF484" s="107">
        <f t="shared" ref="AF484:AM490" si="149">AF483</f>
        <v>0.15</v>
      </c>
      <c r="AG484" s="107">
        <f t="shared" si="149"/>
        <v>6.4118161371848684E-2</v>
      </c>
      <c r="AH484" s="107">
        <f t="shared" si="149"/>
        <v>3.3453021866158845E-2</v>
      </c>
      <c r="AI484" s="107">
        <f t="shared" si="149"/>
        <v>3.0391390824965565E-2</v>
      </c>
      <c r="AJ484" s="107">
        <f t="shared" si="149"/>
        <v>0.03</v>
      </c>
      <c r="AK484" s="107">
        <f t="shared" si="149"/>
        <v>0.03</v>
      </c>
      <c r="AL484" s="107">
        <f t="shared" si="149"/>
        <v>0.03</v>
      </c>
      <c r="AM484" s="107">
        <f>AM483</f>
        <v>0.03</v>
      </c>
      <c r="AN484" s="107">
        <f t="shared" ref="AN484:BG490" si="150">AN483</f>
        <v>0.03</v>
      </c>
      <c r="AO484" s="107">
        <f t="shared" si="150"/>
        <v>0.03</v>
      </c>
      <c r="AP484" s="107">
        <f t="shared" si="150"/>
        <v>0.03</v>
      </c>
      <c r="AQ484" s="107">
        <f t="shared" si="150"/>
        <v>0.03</v>
      </c>
      <c r="AR484" s="107">
        <f t="shared" si="150"/>
        <v>0.03</v>
      </c>
      <c r="AS484" s="107">
        <f t="shared" si="150"/>
        <v>0.03</v>
      </c>
      <c r="AT484" s="107">
        <f t="shared" si="150"/>
        <v>0.03</v>
      </c>
      <c r="AU484" s="107">
        <f t="shared" si="150"/>
        <v>0.03</v>
      </c>
      <c r="AV484" s="107">
        <f t="shared" si="150"/>
        <v>0.03</v>
      </c>
      <c r="AW484" s="107">
        <f t="shared" si="150"/>
        <v>0.03</v>
      </c>
      <c r="AX484" s="107">
        <f t="shared" si="150"/>
        <v>0.03</v>
      </c>
      <c r="AY484" s="107">
        <f t="shared" si="150"/>
        <v>0.04</v>
      </c>
      <c r="AZ484" s="107">
        <f t="shared" si="150"/>
        <v>0.04</v>
      </c>
      <c r="BA484" s="107">
        <f t="shared" si="150"/>
        <v>0.04</v>
      </c>
      <c r="BB484" s="107">
        <f t="shared" si="150"/>
        <v>0.04</v>
      </c>
      <c r="BC484" s="107">
        <f t="shared" si="150"/>
        <v>0.04</v>
      </c>
      <c r="BD484" s="107">
        <f t="shared" si="150"/>
        <v>0.04</v>
      </c>
      <c r="BE484" s="107">
        <f t="shared" si="150"/>
        <v>0.04</v>
      </c>
      <c r="BF484" s="107">
        <f t="shared" si="150"/>
        <v>0.04</v>
      </c>
      <c r="BG484" s="107">
        <f t="shared" si="150"/>
        <v>0.04</v>
      </c>
    </row>
    <row r="485" spans="1:59" ht="13.75" customHeight="1">
      <c r="A485" s="141" t="s">
        <v>166</v>
      </c>
      <c r="B485" s="142" t="s">
        <v>470</v>
      </c>
      <c r="D485" s="142" t="s">
        <v>168</v>
      </c>
      <c r="F485" s="168" t="s">
        <v>483</v>
      </c>
      <c r="X485" s="107">
        <v>0.12849473709030734</v>
      </c>
      <c r="Y485" s="158">
        <v>0.13871703028329541</v>
      </c>
      <c r="Z485" s="107">
        <v>5.8621675722047462E-2</v>
      </c>
      <c r="AA485" s="158">
        <v>3.2955159373311727E-2</v>
      </c>
      <c r="AB485" s="158">
        <v>5.7507987220447365E-2</v>
      </c>
      <c r="AC485" s="107">
        <v>-4.4507151568307091E-4</v>
      </c>
      <c r="AD485" s="107">
        <v>3.038008264877945E-2</v>
      </c>
      <c r="AE485" s="107">
        <v>2.9000000000000001E-2</v>
      </c>
      <c r="AF485" s="107">
        <f t="shared" si="149"/>
        <v>0.15</v>
      </c>
      <c r="AG485" s="107">
        <f t="shared" si="149"/>
        <v>6.4118161371848684E-2</v>
      </c>
      <c r="AH485" s="107">
        <f t="shared" si="149"/>
        <v>3.3453021866158845E-2</v>
      </c>
      <c r="AI485" s="107">
        <f t="shared" si="149"/>
        <v>3.0391390824965565E-2</v>
      </c>
      <c r="AJ485" s="107">
        <f t="shared" si="149"/>
        <v>0.03</v>
      </c>
      <c r="AK485" s="107">
        <f t="shared" si="149"/>
        <v>0.03</v>
      </c>
      <c r="AL485" s="107">
        <f t="shared" si="149"/>
        <v>0.03</v>
      </c>
      <c r="AM485" s="107">
        <f t="shared" si="149"/>
        <v>0.03</v>
      </c>
      <c r="AN485" s="107">
        <f t="shared" si="150"/>
        <v>0.03</v>
      </c>
      <c r="AO485" s="107">
        <f t="shared" si="150"/>
        <v>0.03</v>
      </c>
      <c r="AP485" s="107">
        <f t="shared" si="150"/>
        <v>0.03</v>
      </c>
      <c r="AQ485" s="107">
        <f t="shared" si="150"/>
        <v>0.03</v>
      </c>
      <c r="AR485" s="107">
        <f t="shared" si="150"/>
        <v>0.03</v>
      </c>
      <c r="AS485" s="107">
        <f t="shared" si="150"/>
        <v>0.03</v>
      </c>
      <c r="AT485" s="107">
        <f t="shared" si="150"/>
        <v>0.03</v>
      </c>
      <c r="AU485" s="107">
        <f t="shared" si="150"/>
        <v>0.03</v>
      </c>
      <c r="AV485" s="107">
        <f t="shared" si="150"/>
        <v>0.03</v>
      </c>
      <c r="AW485" s="107">
        <f t="shared" si="150"/>
        <v>0.03</v>
      </c>
      <c r="AX485" s="107">
        <f t="shared" si="150"/>
        <v>0.03</v>
      </c>
      <c r="AY485" s="107">
        <f t="shared" si="150"/>
        <v>0.04</v>
      </c>
      <c r="AZ485" s="107">
        <f t="shared" si="150"/>
        <v>0.04</v>
      </c>
      <c r="BA485" s="107">
        <f t="shared" si="150"/>
        <v>0.04</v>
      </c>
      <c r="BB485" s="107">
        <f t="shared" si="150"/>
        <v>0.04</v>
      </c>
      <c r="BC485" s="107">
        <f t="shared" si="150"/>
        <v>0.04</v>
      </c>
      <c r="BD485" s="107">
        <f t="shared" si="150"/>
        <v>0.04</v>
      </c>
      <c r="BE485" s="107">
        <f t="shared" si="150"/>
        <v>0.04</v>
      </c>
      <c r="BF485" s="107">
        <f t="shared" si="150"/>
        <v>0.04</v>
      </c>
      <c r="BG485" s="107">
        <f t="shared" si="150"/>
        <v>0.04</v>
      </c>
    </row>
    <row r="486" spans="1:59" ht="13.75" customHeight="1">
      <c r="A486" s="141" t="s">
        <v>166</v>
      </c>
      <c r="B486" s="142" t="s">
        <v>470</v>
      </c>
      <c r="D486" s="142" t="s">
        <v>168</v>
      </c>
      <c r="F486" s="168" t="s">
        <v>484</v>
      </c>
      <c r="X486" s="107">
        <v>1.1858935142918803E-3</v>
      </c>
      <c r="Y486" s="158">
        <v>-3.9482961222091606E-2</v>
      </c>
      <c r="Z486" s="107">
        <v>4.1350623929532704E-2</v>
      </c>
      <c r="AA486" s="158">
        <v>1.2453007518796966E-2</v>
      </c>
      <c r="AB486" s="158">
        <v>3.4059314179796019E-2</v>
      </c>
      <c r="AC486" s="107">
        <v>2.4535089498316065E-2</v>
      </c>
      <c r="AD486" s="107">
        <v>2.9829443004277145E-2</v>
      </c>
      <c r="AE486" s="107">
        <v>0.13900000000000001</v>
      </c>
      <c r="AF486" s="107">
        <f t="shared" si="149"/>
        <v>0.15</v>
      </c>
      <c r="AG486" s="107">
        <f t="shared" si="149"/>
        <v>6.4118161371848684E-2</v>
      </c>
      <c r="AH486" s="107">
        <f t="shared" si="149"/>
        <v>3.3453021866158845E-2</v>
      </c>
      <c r="AI486" s="107">
        <f t="shared" si="149"/>
        <v>3.0391390824965565E-2</v>
      </c>
      <c r="AJ486" s="107">
        <f t="shared" si="149"/>
        <v>0.03</v>
      </c>
      <c r="AK486" s="107">
        <f t="shared" si="149"/>
        <v>0.03</v>
      </c>
      <c r="AL486" s="107">
        <f t="shared" si="149"/>
        <v>0.03</v>
      </c>
      <c r="AM486" s="107">
        <f t="shared" si="149"/>
        <v>0.03</v>
      </c>
      <c r="AN486" s="107">
        <f t="shared" si="150"/>
        <v>0.03</v>
      </c>
      <c r="AO486" s="107">
        <f t="shared" si="150"/>
        <v>0.03</v>
      </c>
      <c r="AP486" s="107">
        <f t="shared" si="150"/>
        <v>0.03</v>
      </c>
      <c r="AQ486" s="107">
        <f t="shared" si="150"/>
        <v>0.03</v>
      </c>
      <c r="AR486" s="107">
        <f t="shared" si="150"/>
        <v>0.03</v>
      </c>
      <c r="AS486" s="107">
        <f t="shared" si="150"/>
        <v>0.03</v>
      </c>
      <c r="AT486" s="107">
        <f t="shared" si="150"/>
        <v>0.03</v>
      </c>
      <c r="AU486" s="107">
        <f t="shared" si="150"/>
        <v>0.03</v>
      </c>
      <c r="AV486" s="107">
        <f t="shared" si="150"/>
        <v>0.03</v>
      </c>
      <c r="AW486" s="107">
        <f t="shared" si="150"/>
        <v>0.03</v>
      </c>
      <c r="AX486" s="107">
        <f t="shared" si="150"/>
        <v>0.03</v>
      </c>
      <c r="AY486" s="107">
        <f t="shared" si="150"/>
        <v>0.04</v>
      </c>
      <c r="AZ486" s="107">
        <f t="shared" si="150"/>
        <v>0.04</v>
      </c>
      <c r="BA486" s="107">
        <f t="shared" si="150"/>
        <v>0.04</v>
      </c>
      <c r="BB486" s="107">
        <f t="shared" si="150"/>
        <v>0.04</v>
      </c>
      <c r="BC486" s="107">
        <f t="shared" si="150"/>
        <v>0.04</v>
      </c>
      <c r="BD486" s="107">
        <f t="shared" si="150"/>
        <v>0.04</v>
      </c>
      <c r="BE486" s="107">
        <f t="shared" si="150"/>
        <v>0.04</v>
      </c>
      <c r="BF486" s="107">
        <f t="shared" si="150"/>
        <v>0.04</v>
      </c>
      <c r="BG486" s="107">
        <f t="shared" si="150"/>
        <v>0.04</v>
      </c>
    </row>
    <row r="487" spans="1:59" ht="13.75" customHeight="1">
      <c r="A487" s="141" t="s">
        <v>166</v>
      </c>
      <c r="B487" s="142" t="s">
        <v>470</v>
      </c>
      <c r="D487" s="142" t="s">
        <v>168</v>
      </c>
      <c r="F487" s="168" t="s">
        <v>485</v>
      </c>
      <c r="X487" s="107">
        <v>-7.2374938261279942E-2</v>
      </c>
      <c r="Y487" s="158">
        <v>6.7083196317000882E-2</v>
      </c>
      <c r="Z487" s="107">
        <v>0.15593220338983049</v>
      </c>
      <c r="AA487" s="158">
        <v>8.3711010397227392E-2</v>
      </c>
      <c r="AB487" s="158">
        <v>7.9118678017025434E-2</v>
      </c>
      <c r="AC487" s="107">
        <v>7.8701898401316583E-3</v>
      </c>
      <c r="AD487" s="107">
        <v>0.13523029752083282</v>
      </c>
      <c r="AE487" s="107">
        <v>0.157</v>
      </c>
      <c r="AF487" s="107">
        <f t="shared" si="149"/>
        <v>0.15</v>
      </c>
      <c r="AG487" s="107">
        <f t="shared" si="149"/>
        <v>6.4118161371848684E-2</v>
      </c>
      <c r="AH487" s="107">
        <f t="shared" si="149"/>
        <v>3.3453021866158845E-2</v>
      </c>
      <c r="AI487" s="107">
        <f t="shared" si="149"/>
        <v>3.0391390824965565E-2</v>
      </c>
      <c r="AJ487" s="107">
        <f t="shared" si="149"/>
        <v>0.03</v>
      </c>
      <c r="AK487" s="107">
        <f t="shared" si="149"/>
        <v>0.03</v>
      </c>
      <c r="AL487" s="107">
        <f t="shared" si="149"/>
        <v>0.03</v>
      </c>
      <c r="AM487" s="107">
        <f t="shared" si="149"/>
        <v>0.03</v>
      </c>
      <c r="AN487" s="107">
        <f t="shared" si="150"/>
        <v>0.03</v>
      </c>
      <c r="AO487" s="107">
        <f t="shared" si="150"/>
        <v>0.03</v>
      </c>
      <c r="AP487" s="107">
        <f t="shared" si="150"/>
        <v>0.03</v>
      </c>
      <c r="AQ487" s="107">
        <f t="shared" si="150"/>
        <v>0.03</v>
      </c>
      <c r="AR487" s="107">
        <f t="shared" si="150"/>
        <v>0.03</v>
      </c>
      <c r="AS487" s="107">
        <f t="shared" si="150"/>
        <v>0.03</v>
      </c>
      <c r="AT487" s="107">
        <f t="shared" si="150"/>
        <v>0.03</v>
      </c>
      <c r="AU487" s="107">
        <f t="shared" si="150"/>
        <v>0.03</v>
      </c>
      <c r="AV487" s="107">
        <f t="shared" si="150"/>
        <v>0.03</v>
      </c>
      <c r="AW487" s="107">
        <f t="shared" si="150"/>
        <v>0.03</v>
      </c>
      <c r="AX487" s="107">
        <f t="shared" si="150"/>
        <v>0.03</v>
      </c>
      <c r="AY487" s="107">
        <f t="shared" si="150"/>
        <v>0.04</v>
      </c>
      <c r="AZ487" s="107">
        <f t="shared" si="150"/>
        <v>0.04</v>
      </c>
      <c r="BA487" s="107">
        <f t="shared" si="150"/>
        <v>0.04</v>
      </c>
      <c r="BB487" s="107">
        <f t="shared" si="150"/>
        <v>0.04</v>
      </c>
      <c r="BC487" s="107">
        <f t="shared" si="150"/>
        <v>0.04</v>
      </c>
      <c r="BD487" s="107">
        <f t="shared" si="150"/>
        <v>0.04</v>
      </c>
      <c r="BE487" s="107">
        <f t="shared" si="150"/>
        <v>0.04</v>
      </c>
      <c r="BF487" s="107">
        <f t="shared" si="150"/>
        <v>0.04</v>
      </c>
      <c r="BG487" s="107">
        <f t="shared" si="150"/>
        <v>0.04</v>
      </c>
    </row>
    <row r="488" spans="1:59" ht="13.75" customHeight="1">
      <c r="A488" s="141" t="s">
        <v>166</v>
      </c>
      <c r="B488" s="142" t="s">
        <v>470</v>
      </c>
      <c r="D488" s="142" t="s">
        <v>168</v>
      </c>
      <c r="F488" s="168" t="s">
        <v>486</v>
      </c>
      <c r="X488" s="107">
        <v>1.1607815719119952E-2</v>
      </c>
      <c r="Y488" s="158">
        <v>2.4813052345343367E-2</v>
      </c>
      <c r="Z488" s="107">
        <v>2.553897180762843E-2</v>
      </c>
      <c r="AA488" s="158">
        <v>5.6274256144890122E-2</v>
      </c>
      <c r="AB488" s="158">
        <v>-3.8212634822804348E-2</v>
      </c>
      <c r="AC488" s="107">
        <v>9.2731976046794395E-2</v>
      </c>
      <c r="AD488" s="107">
        <v>8.6311541932692082E-2</v>
      </c>
      <c r="AE488" s="107">
        <v>0.19</v>
      </c>
      <c r="AF488" s="107">
        <f t="shared" si="149"/>
        <v>0.15</v>
      </c>
      <c r="AG488" s="107">
        <f t="shared" si="149"/>
        <v>6.4118161371848684E-2</v>
      </c>
      <c r="AH488" s="107">
        <f t="shared" si="149"/>
        <v>3.3453021866158845E-2</v>
      </c>
      <c r="AI488" s="107">
        <f t="shared" si="149"/>
        <v>3.0391390824965565E-2</v>
      </c>
      <c r="AJ488" s="107">
        <f t="shared" si="149"/>
        <v>0.03</v>
      </c>
      <c r="AK488" s="107">
        <f t="shared" si="149"/>
        <v>0.03</v>
      </c>
      <c r="AL488" s="107">
        <f t="shared" si="149"/>
        <v>0.03</v>
      </c>
      <c r="AM488" s="107">
        <f t="shared" si="149"/>
        <v>0.03</v>
      </c>
      <c r="AN488" s="107">
        <f t="shared" si="150"/>
        <v>0.03</v>
      </c>
      <c r="AO488" s="107">
        <f t="shared" si="150"/>
        <v>0.03</v>
      </c>
      <c r="AP488" s="107">
        <f t="shared" si="150"/>
        <v>0.03</v>
      </c>
      <c r="AQ488" s="107">
        <f t="shared" si="150"/>
        <v>0.03</v>
      </c>
      <c r="AR488" s="107">
        <f t="shared" si="150"/>
        <v>0.03</v>
      </c>
      <c r="AS488" s="107">
        <f t="shared" si="150"/>
        <v>0.03</v>
      </c>
      <c r="AT488" s="107">
        <f t="shared" si="150"/>
        <v>0.03</v>
      </c>
      <c r="AU488" s="107">
        <f t="shared" si="150"/>
        <v>0.03</v>
      </c>
      <c r="AV488" s="107">
        <f t="shared" si="150"/>
        <v>0.03</v>
      </c>
      <c r="AW488" s="107">
        <f t="shared" si="150"/>
        <v>0.03</v>
      </c>
      <c r="AX488" s="107">
        <f t="shared" si="150"/>
        <v>0.03</v>
      </c>
      <c r="AY488" s="107">
        <f t="shared" si="150"/>
        <v>0.04</v>
      </c>
      <c r="AZ488" s="107">
        <f t="shared" si="150"/>
        <v>0.04</v>
      </c>
      <c r="BA488" s="107">
        <f t="shared" si="150"/>
        <v>0.04</v>
      </c>
      <c r="BB488" s="107">
        <f t="shared" si="150"/>
        <v>0.04</v>
      </c>
      <c r="BC488" s="107">
        <f t="shared" si="150"/>
        <v>0.04</v>
      </c>
      <c r="BD488" s="107">
        <f t="shared" si="150"/>
        <v>0.04</v>
      </c>
      <c r="BE488" s="107">
        <f t="shared" si="150"/>
        <v>0.04</v>
      </c>
      <c r="BF488" s="107">
        <f t="shared" si="150"/>
        <v>0.04</v>
      </c>
      <c r="BG488" s="107">
        <f t="shared" si="150"/>
        <v>0.04</v>
      </c>
    </row>
    <row r="489" spans="1:59" ht="13.75" customHeight="1">
      <c r="A489" s="141" t="s">
        <v>166</v>
      </c>
      <c r="B489" s="142" t="s">
        <v>470</v>
      </c>
      <c r="D489" s="142" t="s">
        <v>168</v>
      </c>
      <c r="F489" s="168" t="s">
        <v>487</v>
      </c>
      <c r="X489" s="107">
        <v>0.11446756080803122</v>
      </c>
      <c r="Y489" s="158">
        <v>5.3625377643504502E-2</v>
      </c>
      <c r="Z489" s="107">
        <v>6.7025089605734722E-2</v>
      </c>
      <c r="AA489" s="158">
        <v>7.4571716493113893E-2</v>
      </c>
      <c r="AB489" s="158">
        <v>5.1152510262077566E-2</v>
      </c>
      <c r="AC489" s="107">
        <v>6.5652293217660418E-2</v>
      </c>
      <c r="AD489" s="107">
        <v>9.6013819078487606E-2</v>
      </c>
      <c r="AE489" s="107">
        <v>0.254</v>
      </c>
      <c r="AF489" s="107">
        <f t="shared" si="149"/>
        <v>0.15</v>
      </c>
      <c r="AG489" s="107">
        <f t="shared" si="149"/>
        <v>6.4118161371848684E-2</v>
      </c>
      <c r="AH489" s="107">
        <f t="shared" si="149"/>
        <v>3.3453021866158845E-2</v>
      </c>
      <c r="AI489" s="107">
        <f t="shared" si="149"/>
        <v>3.0391390824965565E-2</v>
      </c>
      <c r="AJ489" s="107">
        <f t="shared" si="149"/>
        <v>0.03</v>
      </c>
      <c r="AK489" s="107">
        <f t="shared" si="149"/>
        <v>0.03</v>
      </c>
      <c r="AL489" s="107">
        <f t="shared" si="149"/>
        <v>0.03</v>
      </c>
      <c r="AM489" s="107">
        <f t="shared" si="149"/>
        <v>0.03</v>
      </c>
      <c r="AN489" s="107">
        <f t="shared" si="150"/>
        <v>0.03</v>
      </c>
      <c r="AO489" s="107">
        <f t="shared" si="150"/>
        <v>0.03</v>
      </c>
      <c r="AP489" s="107">
        <f t="shared" si="150"/>
        <v>0.03</v>
      </c>
      <c r="AQ489" s="107">
        <f t="shared" si="150"/>
        <v>0.03</v>
      </c>
      <c r="AR489" s="107">
        <f t="shared" si="150"/>
        <v>0.03</v>
      </c>
      <c r="AS489" s="107">
        <f t="shared" si="150"/>
        <v>0.03</v>
      </c>
      <c r="AT489" s="107">
        <f t="shared" si="150"/>
        <v>0.03</v>
      </c>
      <c r="AU489" s="107">
        <f t="shared" si="150"/>
        <v>0.03</v>
      </c>
      <c r="AV489" s="107">
        <f t="shared" si="150"/>
        <v>0.03</v>
      </c>
      <c r="AW489" s="107">
        <f t="shared" si="150"/>
        <v>0.03</v>
      </c>
      <c r="AX489" s="107">
        <f t="shared" si="150"/>
        <v>0.03</v>
      </c>
      <c r="AY489" s="107">
        <f t="shared" si="150"/>
        <v>0.04</v>
      </c>
      <c r="AZ489" s="107">
        <f t="shared" si="150"/>
        <v>0.04</v>
      </c>
      <c r="BA489" s="107">
        <f t="shared" si="150"/>
        <v>0.04</v>
      </c>
      <c r="BB489" s="107">
        <f t="shared" si="150"/>
        <v>0.04</v>
      </c>
      <c r="BC489" s="107">
        <f t="shared" si="150"/>
        <v>0.04</v>
      </c>
      <c r="BD489" s="107">
        <f t="shared" si="150"/>
        <v>0.04</v>
      </c>
      <c r="BE489" s="107">
        <f t="shared" si="150"/>
        <v>0.04</v>
      </c>
      <c r="BF489" s="107">
        <f t="shared" si="150"/>
        <v>0.04</v>
      </c>
      <c r="BG489" s="107">
        <f t="shared" si="150"/>
        <v>0.04</v>
      </c>
    </row>
    <row r="490" spans="1:59" ht="13.75" customHeight="1">
      <c r="A490" s="141" t="s">
        <v>166</v>
      </c>
      <c r="B490" s="142" t="s">
        <v>470</v>
      </c>
      <c r="D490" s="142" t="s">
        <v>168</v>
      </c>
      <c r="F490" s="168" t="s">
        <v>488</v>
      </c>
      <c r="X490" s="107">
        <v>-2.4738532841949712E-2</v>
      </c>
      <c r="Y490" s="158">
        <v>0.15767490428123909</v>
      </c>
      <c r="Z490" s="107">
        <v>8.538785327720988E-2</v>
      </c>
      <c r="AA490" s="158">
        <v>6.5096952908587191E-2</v>
      </c>
      <c r="AB490" s="158">
        <v>7.7490774907749138E-2</v>
      </c>
      <c r="AC490" s="107">
        <v>1.4400807816866257E-2</v>
      </c>
      <c r="AD490" s="107">
        <v>-1.6297121521103519E-2</v>
      </c>
      <c r="AE490" s="107">
        <v>0.215</v>
      </c>
      <c r="AF490" s="107">
        <f t="shared" si="149"/>
        <v>0.15</v>
      </c>
      <c r="AG490" s="107">
        <f t="shared" si="149"/>
        <v>6.4118161371848684E-2</v>
      </c>
      <c r="AH490" s="107">
        <f t="shared" si="149"/>
        <v>3.3453021866158845E-2</v>
      </c>
      <c r="AI490" s="107">
        <f t="shared" si="149"/>
        <v>3.0391390824965565E-2</v>
      </c>
      <c r="AJ490" s="107">
        <f t="shared" si="149"/>
        <v>0.03</v>
      </c>
      <c r="AK490" s="107">
        <f t="shared" si="149"/>
        <v>0.03</v>
      </c>
      <c r="AL490" s="107">
        <f t="shared" si="149"/>
        <v>0.03</v>
      </c>
      <c r="AM490" s="107">
        <f t="shared" si="149"/>
        <v>0.03</v>
      </c>
      <c r="AN490" s="107">
        <f t="shared" si="150"/>
        <v>0.03</v>
      </c>
      <c r="AO490" s="107">
        <f t="shared" si="150"/>
        <v>0.03</v>
      </c>
      <c r="AP490" s="107">
        <f t="shared" si="150"/>
        <v>0.03</v>
      </c>
      <c r="AQ490" s="107">
        <f t="shared" si="150"/>
        <v>0.03</v>
      </c>
      <c r="AR490" s="107">
        <f t="shared" si="150"/>
        <v>0.03</v>
      </c>
      <c r="AS490" s="107">
        <f t="shared" si="150"/>
        <v>0.03</v>
      </c>
      <c r="AT490" s="107">
        <f t="shared" si="150"/>
        <v>0.03</v>
      </c>
      <c r="AU490" s="107">
        <f t="shared" si="150"/>
        <v>0.03</v>
      </c>
      <c r="AV490" s="107">
        <f t="shared" si="150"/>
        <v>0.03</v>
      </c>
      <c r="AW490" s="107">
        <f t="shared" si="150"/>
        <v>0.03</v>
      </c>
      <c r="AX490" s="107">
        <f t="shared" si="150"/>
        <v>0.03</v>
      </c>
      <c r="AY490" s="107">
        <f t="shared" si="150"/>
        <v>0.04</v>
      </c>
      <c r="AZ490" s="107">
        <f t="shared" si="150"/>
        <v>0.04</v>
      </c>
      <c r="BA490" s="107">
        <f t="shared" si="150"/>
        <v>0.04</v>
      </c>
      <c r="BB490" s="107">
        <f t="shared" si="150"/>
        <v>0.04</v>
      </c>
      <c r="BC490" s="107">
        <f t="shared" si="150"/>
        <v>0.04</v>
      </c>
      <c r="BD490" s="107">
        <f t="shared" si="150"/>
        <v>0.04</v>
      </c>
      <c r="BE490" s="107">
        <f t="shared" si="150"/>
        <v>0.04</v>
      </c>
      <c r="BF490" s="107">
        <f t="shared" si="150"/>
        <v>0.04</v>
      </c>
      <c r="BG490" s="107">
        <f t="shared" si="150"/>
        <v>0.04</v>
      </c>
    </row>
    <row r="491" spans="1:59" ht="13.75" customHeight="1">
      <c r="A491" s="141" t="s">
        <v>166</v>
      </c>
      <c r="B491" s="142" t="s">
        <v>470</v>
      </c>
      <c r="D491" s="142" t="s">
        <v>168</v>
      </c>
      <c r="F491" s="168" t="s">
        <v>489</v>
      </c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  <c r="AU491" s="116"/>
      <c r="AV491" s="116"/>
      <c r="AW491" s="116"/>
      <c r="AX491" s="116"/>
      <c r="AY491" s="116"/>
      <c r="AZ491" s="116"/>
      <c r="BA491" s="116"/>
      <c r="BB491" s="116"/>
      <c r="BC491" s="116"/>
      <c r="BD491" s="116"/>
      <c r="BE491" s="116"/>
      <c r="BF491" s="116"/>
      <c r="BG491" s="116"/>
    </row>
    <row r="492" spans="1:59" ht="13.75" customHeight="1">
      <c r="A492" s="141" t="s">
        <v>166</v>
      </c>
      <c r="B492" s="142" t="s">
        <v>470</v>
      </c>
      <c r="D492" s="142" t="s">
        <v>168</v>
      </c>
      <c r="F492" s="168" t="s">
        <v>490</v>
      </c>
      <c r="J492" s="107">
        <v>0.11221122112211224</v>
      </c>
      <c r="K492" s="107">
        <v>8.0118694362017573E-2</v>
      </c>
      <c r="L492" s="107">
        <v>7.9670329670329609E-2</v>
      </c>
      <c r="M492" s="107">
        <v>0.11450381679389321</v>
      </c>
      <c r="N492" s="107">
        <v>5.0228310502283158E-2</v>
      </c>
      <c r="O492" s="107">
        <v>0.14130434782608692</v>
      </c>
      <c r="P492" s="107">
        <v>0.14285714285714279</v>
      </c>
      <c r="Q492" s="107">
        <v>1.0000000000000009E-2</v>
      </c>
      <c r="R492" s="107">
        <v>-0.27392739273927391</v>
      </c>
      <c r="S492" s="107">
        <v>0.13181818181818183</v>
      </c>
      <c r="T492" s="107">
        <v>0.15662650602409656</v>
      </c>
      <c r="U492" s="107">
        <v>0.13020833333333326</v>
      </c>
      <c r="V492" s="107">
        <v>6.9124423963133674E-2</v>
      </c>
      <c r="W492" s="107">
        <v>2.7298850574712707E-2</v>
      </c>
      <c r="X492" s="107">
        <v>-0.11504895104895108</v>
      </c>
      <c r="Y492" s="107">
        <v>-0.11766286310332841</v>
      </c>
      <c r="Z492" s="107">
        <v>-5.3735513801070889E-3</v>
      </c>
      <c r="AA492" s="107">
        <v>-2.7625204847917417E-2</v>
      </c>
      <c r="AB492" s="107">
        <v>7.2999999999999995E-2</v>
      </c>
      <c r="AC492" s="107">
        <v>-3.4000000000000002E-2</v>
      </c>
      <c r="AD492" s="107">
        <v>2.4E-2</v>
      </c>
      <c r="AE492" s="107">
        <v>6.0000000000000001E-3</v>
      </c>
      <c r="AF492" s="107">
        <v>0.03</v>
      </c>
      <c r="AG492" s="107">
        <v>5.0000000000000001E-3</v>
      </c>
      <c r="AH492" s="107">
        <v>0.01</v>
      </c>
      <c r="AI492" s="107">
        <f>+AH492</f>
        <v>0.01</v>
      </c>
      <c r="AJ492" s="107">
        <f t="shared" ref="AJ492:AX492" si="151">+AI492</f>
        <v>0.01</v>
      </c>
      <c r="AK492" s="107">
        <f t="shared" si="151"/>
        <v>0.01</v>
      </c>
      <c r="AL492" s="107">
        <f t="shared" si="151"/>
        <v>0.01</v>
      </c>
      <c r="AM492" s="107">
        <f t="shared" si="151"/>
        <v>0.01</v>
      </c>
      <c r="AN492" s="107">
        <f t="shared" si="151"/>
        <v>0.01</v>
      </c>
      <c r="AO492" s="107">
        <f t="shared" si="151"/>
        <v>0.01</v>
      </c>
      <c r="AP492" s="107">
        <f t="shared" si="151"/>
        <v>0.01</v>
      </c>
      <c r="AQ492" s="107">
        <f t="shared" si="151"/>
        <v>0.01</v>
      </c>
      <c r="AR492" s="107">
        <f t="shared" si="151"/>
        <v>0.01</v>
      </c>
      <c r="AS492" s="107">
        <f t="shared" si="151"/>
        <v>0.01</v>
      </c>
      <c r="AT492" s="107">
        <f t="shared" si="151"/>
        <v>0.01</v>
      </c>
      <c r="AU492" s="107">
        <f t="shared" si="151"/>
        <v>0.01</v>
      </c>
      <c r="AV492" s="107">
        <f t="shared" si="151"/>
        <v>0.01</v>
      </c>
      <c r="AW492" s="107">
        <f t="shared" si="151"/>
        <v>0.01</v>
      </c>
      <c r="AX492" s="107">
        <f t="shared" si="151"/>
        <v>0.01</v>
      </c>
      <c r="AY492" s="107">
        <f t="shared" ref="AY492:BG492" si="152">AX492</f>
        <v>0.01</v>
      </c>
      <c r="AZ492" s="107">
        <f t="shared" si="152"/>
        <v>0.01</v>
      </c>
      <c r="BA492" s="107">
        <f t="shared" si="152"/>
        <v>0.01</v>
      </c>
      <c r="BB492" s="107">
        <f t="shared" si="152"/>
        <v>0.01</v>
      </c>
      <c r="BC492" s="107">
        <f t="shared" si="152"/>
        <v>0.01</v>
      </c>
      <c r="BD492" s="107">
        <f t="shared" si="152"/>
        <v>0.01</v>
      </c>
      <c r="BE492" s="107">
        <f t="shared" si="152"/>
        <v>0.01</v>
      </c>
      <c r="BF492" s="107">
        <f t="shared" si="152"/>
        <v>0.01</v>
      </c>
      <c r="BG492" s="107">
        <f t="shared" si="152"/>
        <v>0.01</v>
      </c>
    </row>
    <row r="493" spans="1:59" ht="13.75" customHeight="1" outlineLevel="1">
      <c r="F493" s="168"/>
    </row>
    <row r="494" spans="1:59" ht="13.75" customHeight="1" outlineLevel="1">
      <c r="F494" s="168"/>
    </row>
    <row r="495" spans="1:59" ht="13.75" customHeight="1" outlineLevel="1">
      <c r="F495" s="168"/>
    </row>
    <row r="496" spans="1:59" ht="13.75" customHeight="1" outlineLevel="1">
      <c r="F496" s="168"/>
    </row>
    <row r="497" spans="1:59" ht="13.75" customHeight="1" outlineLevel="1">
      <c r="F497" s="168"/>
    </row>
    <row r="498" spans="1:59" ht="13.75" customHeight="1" outlineLevel="1">
      <c r="F498" s="168"/>
    </row>
    <row r="499" spans="1:59" ht="13.75" customHeight="1" outlineLevel="1">
      <c r="F499" s="168"/>
    </row>
    <row r="500" spans="1:59" ht="13.75" customHeight="1" outlineLevel="1">
      <c r="F500" s="168"/>
    </row>
    <row r="501" spans="1:59" ht="13.75" customHeight="1" outlineLevel="1">
      <c r="F501" s="168"/>
    </row>
    <row r="502" spans="1:59" ht="13.75" customHeight="1" outlineLevel="1">
      <c r="F502" s="168"/>
      <c r="AF502" s="135"/>
    </row>
    <row r="503" spans="1:59" ht="13.75" customHeight="1" outlineLevel="1">
      <c r="F503" s="168"/>
    </row>
    <row r="504" spans="1:59" ht="13.75" customHeight="1" outlineLevel="1">
      <c r="F504" s="168"/>
    </row>
    <row r="505" spans="1:59" ht="13.75" customHeight="1" outlineLevel="1">
      <c r="F505" s="168"/>
    </row>
    <row r="506" spans="1:59" ht="13.75" customHeight="1" outlineLevel="1">
      <c r="F506" s="168"/>
      <c r="AD506" s="114"/>
      <c r="AE506" s="114"/>
      <c r="AF506" s="135"/>
    </row>
    <row r="507" spans="1:59" ht="13.75" customHeight="1" outlineLevel="1">
      <c r="F507" s="168"/>
    </row>
    <row r="508" spans="1:59" ht="13.75" customHeight="1">
      <c r="A508" s="141" t="s">
        <v>166</v>
      </c>
      <c r="B508" s="142" t="s">
        <v>491</v>
      </c>
      <c r="C508" s="142" t="s">
        <v>492</v>
      </c>
      <c r="D508" s="142" t="s">
        <v>87</v>
      </c>
      <c r="F508" s="168" t="s">
        <v>493</v>
      </c>
      <c r="G508" s="109" t="s">
        <v>494</v>
      </c>
      <c r="U508" s="112">
        <v>149.1</v>
      </c>
      <c r="V508" s="112">
        <v>152.13</v>
      </c>
      <c r="W508" s="112">
        <v>179.87</v>
      </c>
      <c r="X508" s="112">
        <v>223.15</v>
      </c>
      <c r="Y508" s="112">
        <v>347.77486338797814</v>
      </c>
      <c r="Z508" s="112">
        <v>326.05030136986301</v>
      </c>
      <c r="AA508" s="112">
        <v>345.17</v>
      </c>
      <c r="AB508" s="112">
        <v>382.83</v>
      </c>
      <c r="AC508" s="112">
        <v>412.95</v>
      </c>
      <c r="AD508" s="112">
        <v>425.97780821917809</v>
      </c>
      <c r="AE508" s="112">
        <v>460.8</v>
      </c>
      <c r="AF508" s="112">
        <v>462.57</v>
      </c>
      <c r="AG508" s="112">
        <v>484.01816400000007</v>
      </c>
      <c r="AH508" s="112">
        <v>493.19649514800011</v>
      </c>
      <c r="AI508" s="112">
        <f>AVERAGE(AH509:AI509)</f>
        <v>499.86582891896012</v>
      </c>
      <c r="AJ508" s="112">
        <f>AVERAGE(AI509:AJ509)</f>
        <v>509.8631454973393</v>
      </c>
      <c r="AK508" s="112">
        <f>AVERAGE(AJ509:AK509)</f>
        <v>520.0604084072861</v>
      </c>
      <c r="AL508" s="112">
        <f>AVERAGE(AK509:AL509)</f>
        <v>530.46161657543189</v>
      </c>
      <c r="AM508" s="112">
        <f t="shared" ref="AM508:AY508" si="153">AVERAGE(AL509:AM509)</f>
        <v>541.07084890694045</v>
      </c>
      <c r="AN508" s="112">
        <f t="shared" si="153"/>
        <v>551.89226588507927</v>
      </c>
      <c r="AO508" s="112">
        <f t="shared" si="153"/>
        <v>562.93011120278084</v>
      </c>
      <c r="AP508" s="112">
        <f t="shared" si="153"/>
        <v>574.18871342683656</v>
      </c>
      <c r="AQ508" s="112">
        <f t="shared" si="153"/>
        <v>585.67248769537332</v>
      </c>
      <c r="AR508" s="112">
        <f t="shared" si="153"/>
        <v>597.38593744928085</v>
      </c>
      <c r="AS508" s="112">
        <f t="shared" si="153"/>
        <v>609.33365619826645</v>
      </c>
      <c r="AT508" s="112">
        <f t="shared" si="153"/>
        <v>621.52032932223165</v>
      </c>
      <c r="AU508" s="112">
        <f t="shared" si="153"/>
        <v>633.95073590867628</v>
      </c>
      <c r="AV508" s="112">
        <f t="shared" si="153"/>
        <v>646.62975062684995</v>
      </c>
      <c r="AW508" s="112">
        <f t="shared" si="153"/>
        <v>659.56234563938688</v>
      </c>
      <c r="AX508" s="112">
        <f t="shared" si="153"/>
        <v>672.75359255217472</v>
      </c>
      <c r="AY508" s="112">
        <f t="shared" si="153"/>
        <v>686.20866440321834</v>
      </c>
      <c r="AZ508" s="112">
        <f>AVERAGE(AY509:AZ509)</f>
        <v>699.93283769128266</v>
      </c>
      <c r="BA508" s="112">
        <f>AVERAGE(AZ509:BA509)</f>
        <v>713.93149444510823</v>
      </c>
      <c r="BB508" s="112">
        <f>AVERAGE(BA509:BB509)</f>
        <v>728.21012433401052</v>
      </c>
      <c r="BC508" s="112">
        <f t="shared" ref="BC508:BG508" si="154">AVERAGE(BB509:BC509)</f>
        <v>742.7743268206907</v>
      </c>
      <c r="BD508" s="112">
        <f t="shared" si="154"/>
        <v>757.62981335710447</v>
      </c>
      <c r="BE508" s="112">
        <f t="shared" si="154"/>
        <v>772.78240962424661</v>
      </c>
      <c r="BF508" s="112">
        <f t="shared" si="154"/>
        <v>788.2380578167315</v>
      </c>
      <c r="BG508" s="112">
        <f t="shared" si="154"/>
        <v>804.00281897306627</v>
      </c>
    </row>
    <row r="509" spans="1:59" ht="13.75" customHeight="1">
      <c r="A509" s="141" t="s">
        <v>166</v>
      </c>
      <c r="B509" s="142" t="s">
        <v>491</v>
      </c>
      <c r="C509" s="142" t="s">
        <v>492</v>
      </c>
      <c r="D509" s="142" t="s">
        <v>87</v>
      </c>
      <c r="F509" s="168" t="s">
        <v>495</v>
      </c>
      <c r="G509" s="109" t="s">
        <v>494</v>
      </c>
      <c r="I509" s="109" t="s">
        <v>496</v>
      </c>
      <c r="U509" s="112">
        <v>150.4</v>
      </c>
      <c r="V509" s="112">
        <v>154.04</v>
      </c>
      <c r="W509" s="112">
        <v>185</v>
      </c>
      <c r="X509" s="112">
        <v>340.5</v>
      </c>
      <c r="Y509" s="112">
        <v>333.29</v>
      </c>
      <c r="Z509" s="112">
        <v>332.33</v>
      </c>
      <c r="AA509" s="112">
        <v>381.03</v>
      </c>
      <c r="AB509" s="112">
        <v>382.86</v>
      </c>
      <c r="AC509" s="112">
        <v>421.3</v>
      </c>
      <c r="AD509" s="112">
        <v>431.7</v>
      </c>
      <c r="AE509" s="112">
        <v>462.65</v>
      </c>
      <c r="AF509" s="112">
        <v>476.56000000000006</v>
      </c>
      <c r="AG509" s="112">
        <v>491.47632800000014</v>
      </c>
      <c r="AH509" s="112">
        <v>494.91666229600008</v>
      </c>
      <c r="AI509" s="112">
        <f>AH509*(1+AI510-AI$4)</f>
        <v>504.8149955419201</v>
      </c>
      <c r="AJ509" s="112">
        <f t="shared" ref="AJ509:AX509" si="155">AI509*(1+AJ510-AJ$4)</f>
        <v>514.91129545275851</v>
      </c>
      <c r="AK509" s="112">
        <f t="shared" si="155"/>
        <v>525.2095213618137</v>
      </c>
      <c r="AL509" s="112">
        <f t="shared" si="155"/>
        <v>535.71371178904997</v>
      </c>
      <c r="AM509" s="112">
        <f t="shared" si="155"/>
        <v>546.42798602483094</v>
      </c>
      <c r="AN509" s="112">
        <f t="shared" si="155"/>
        <v>557.35654574532759</v>
      </c>
      <c r="AO509" s="112">
        <f t="shared" si="155"/>
        <v>568.50367666023419</v>
      </c>
      <c r="AP509" s="112">
        <f t="shared" si="155"/>
        <v>579.87375019343892</v>
      </c>
      <c r="AQ509" s="112">
        <f t="shared" si="155"/>
        <v>591.47122519730772</v>
      </c>
      <c r="AR509" s="112">
        <f t="shared" si="155"/>
        <v>603.30064970125386</v>
      </c>
      <c r="AS509" s="112">
        <f>AR509*(1+AS510-AS$4)</f>
        <v>615.36666269527893</v>
      </c>
      <c r="AT509" s="112">
        <f t="shared" si="155"/>
        <v>627.67399594918447</v>
      </c>
      <c r="AU509" s="112">
        <f t="shared" si="155"/>
        <v>640.2274758681682</v>
      </c>
      <c r="AV509" s="112">
        <f t="shared" si="155"/>
        <v>653.0320253855316</v>
      </c>
      <c r="AW509" s="112">
        <f t="shared" si="155"/>
        <v>666.09266589324227</v>
      </c>
      <c r="AX509" s="112">
        <f t="shared" si="155"/>
        <v>679.41451921110718</v>
      </c>
      <c r="AY509" s="112">
        <f>AX509*(1+AY510-AY$4)</f>
        <v>693.00280959532938</v>
      </c>
      <c r="AZ509" s="112">
        <f t="shared" ref="AZ509:BA509" si="156">AY509*(1+AZ510-AZ$4)</f>
        <v>706.86286578723593</v>
      </c>
      <c r="BA509" s="112">
        <f t="shared" si="156"/>
        <v>721.00012310298064</v>
      </c>
      <c r="BB509" s="112">
        <f>BA509*(1+BB510-BB$4)</f>
        <v>735.42012556504028</v>
      </c>
      <c r="BC509" s="112">
        <f t="shared" ref="BC509:BG509" si="157">BB509*(1+BC510-BC$4)</f>
        <v>750.12852807634113</v>
      </c>
      <c r="BD509" s="112">
        <f t="shared" si="157"/>
        <v>765.13109863786792</v>
      </c>
      <c r="BE509" s="112">
        <f t="shared" si="157"/>
        <v>780.4337206106253</v>
      </c>
      <c r="BF509" s="112">
        <f t="shared" si="157"/>
        <v>796.04239502283781</v>
      </c>
      <c r="BG509" s="112">
        <f t="shared" si="157"/>
        <v>811.96324292329462</v>
      </c>
    </row>
    <row r="510" spans="1:59" ht="13.75" customHeight="1">
      <c r="A510" s="141" t="s">
        <v>166</v>
      </c>
      <c r="B510" s="142" t="s">
        <v>491</v>
      </c>
      <c r="C510" s="142" t="s">
        <v>492</v>
      </c>
      <c r="D510" s="142" t="s">
        <v>87</v>
      </c>
      <c r="F510" s="168" t="s">
        <v>497</v>
      </c>
      <c r="G510" s="109" t="s">
        <v>3</v>
      </c>
      <c r="I510" s="109" t="s">
        <v>498</v>
      </c>
      <c r="U510" s="107">
        <v>5.0999999999999997E-2</v>
      </c>
      <c r="V510" s="107">
        <v>5.7999999999999996E-2</v>
      </c>
      <c r="W510" s="107">
        <v>6.7000000000000004E-2</v>
      </c>
      <c r="X510" s="107">
        <v>6.6500000000000004E-2</v>
      </c>
      <c r="Y510" s="107">
        <v>0.14679999999999999</v>
      </c>
      <c r="Z510" s="107">
        <v>7.3999999999999996E-2</v>
      </c>
      <c r="AA510" s="107">
        <v>6.0899999999999996E-2</v>
      </c>
      <c r="AB510" s="107">
        <v>5.2400000000000002E-2</v>
      </c>
      <c r="AC510" s="107">
        <v>6.7919999999999994E-2</v>
      </c>
      <c r="AD510" s="107">
        <v>0.08</v>
      </c>
      <c r="AE510" s="107">
        <v>0.20300000000000001</v>
      </c>
      <c r="AF510" s="107">
        <v>0.12</v>
      </c>
      <c r="AG510" s="107">
        <v>7.0000000000000007E-2</v>
      </c>
      <c r="AH510" s="107">
        <v>0.04</v>
      </c>
      <c r="AI510" s="107">
        <f>AH510</f>
        <v>0.04</v>
      </c>
      <c r="AJ510" s="107">
        <f t="shared" ref="AJ510:BG510" si="158">AI510</f>
        <v>0.04</v>
      </c>
      <c r="AK510" s="107">
        <f t="shared" si="158"/>
        <v>0.04</v>
      </c>
      <c r="AL510" s="107">
        <f t="shared" si="158"/>
        <v>0.04</v>
      </c>
      <c r="AM510" s="107">
        <f t="shared" si="158"/>
        <v>0.04</v>
      </c>
      <c r="AN510" s="107">
        <f t="shared" si="158"/>
        <v>0.04</v>
      </c>
      <c r="AO510" s="107">
        <f t="shared" si="158"/>
        <v>0.04</v>
      </c>
      <c r="AP510" s="107">
        <f t="shared" si="158"/>
        <v>0.04</v>
      </c>
      <c r="AQ510" s="107">
        <f t="shared" si="158"/>
        <v>0.04</v>
      </c>
      <c r="AR510" s="107">
        <f t="shared" si="158"/>
        <v>0.04</v>
      </c>
      <c r="AS510" s="107">
        <f t="shared" si="158"/>
        <v>0.04</v>
      </c>
      <c r="AT510" s="107">
        <f t="shared" si="158"/>
        <v>0.04</v>
      </c>
      <c r="AU510" s="107">
        <f t="shared" si="158"/>
        <v>0.04</v>
      </c>
      <c r="AV510" s="107">
        <f t="shared" si="158"/>
        <v>0.04</v>
      </c>
      <c r="AW510" s="107">
        <f t="shared" si="158"/>
        <v>0.04</v>
      </c>
      <c r="AX510" s="107">
        <f t="shared" si="158"/>
        <v>0.04</v>
      </c>
      <c r="AY510" s="107">
        <f t="shared" si="158"/>
        <v>0.04</v>
      </c>
      <c r="AZ510" s="107">
        <f t="shared" si="158"/>
        <v>0.04</v>
      </c>
      <c r="BA510" s="107">
        <f t="shared" si="158"/>
        <v>0.04</v>
      </c>
      <c r="BB510" s="107">
        <f t="shared" si="158"/>
        <v>0.04</v>
      </c>
      <c r="BC510" s="107">
        <f t="shared" si="158"/>
        <v>0.04</v>
      </c>
      <c r="BD510" s="107">
        <f t="shared" si="158"/>
        <v>0.04</v>
      </c>
      <c r="BE510" s="107">
        <f t="shared" si="158"/>
        <v>0.04</v>
      </c>
      <c r="BF510" s="107">
        <f t="shared" si="158"/>
        <v>0.04</v>
      </c>
      <c r="BG510" s="107">
        <f t="shared" si="158"/>
        <v>0.04</v>
      </c>
    </row>
    <row r="511" spans="1:59" ht="13.75" customHeight="1">
      <c r="A511" s="141" t="s">
        <v>166</v>
      </c>
      <c r="B511" s="142" t="s">
        <v>491</v>
      </c>
      <c r="C511" s="142" t="s">
        <v>492</v>
      </c>
      <c r="D511" s="142" t="s">
        <v>98</v>
      </c>
      <c r="F511" s="168" t="s">
        <v>499</v>
      </c>
      <c r="G511" s="109" t="s">
        <v>3</v>
      </c>
      <c r="I511" s="109" t="s">
        <v>498</v>
      </c>
      <c r="U511" s="107">
        <v>0.11200000000000002</v>
      </c>
      <c r="V511" s="107">
        <v>3.5499999999999997E-2</v>
      </c>
      <c r="W511" s="107">
        <v>9.5000000000000001E-2</v>
      </c>
      <c r="X511" s="107">
        <v>-0.20499999999999999</v>
      </c>
      <c r="Y511" s="107">
        <v>0.16800000000000001</v>
      </c>
      <c r="Z511" s="107">
        <v>0.16600000000000001</v>
      </c>
      <c r="AA511" s="107">
        <v>0.189833</v>
      </c>
      <c r="AB511" s="107">
        <v>1.3999999999999999E-2</v>
      </c>
      <c r="AC511" s="107">
        <v>-4.2000000000000003E-2</v>
      </c>
      <c r="AD511" s="107">
        <v>0.46100000000000002</v>
      </c>
      <c r="AE511" s="107">
        <f t="shared" ref="AE511" si="159">AE510</f>
        <v>0.20300000000000001</v>
      </c>
      <c r="AF511" s="107">
        <f>AF510</f>
        <v>0.12</v>
      </c>
      <c r="AG511" s="107">
        <f t="shared" ref="AG511:AY511" si="160">AG510</f>
        <v>7.0000000000000007E-2</v>
      </c>
      <c r="AH511" s="107">
        <f t="shared" si="160"/>
        <v>0.04</v>
      </c>
      <c r="AI511" s="107">
        <f t="shared" si="160"/>
        <v>0.04</v>
      </c>
      <c r="AJ511" s="107">
        <f t="shared" si="160"/>
        <v>0.04</v>
      </c>
      <c r="AK511" s="107">
        <f t="shared" si="160"/>
        <v>0.04</v>
      </c>
      <c r="AL511" s="107">
        <f t="shared" si="160"/>
        <v>0.04</v>
      </c>
      <c r="AM511" s="107">
        <f t="shared" si="160"/>
        <v>0.04</v>
      </c>
      <c r="AN511" s="107">
        <f t="shared" si="160"/>
        <v>0.04</v>
      </c>
      <c r="AO511" s="107">
        <f t="shared" si="160"/>
        <v>0.04</v>
      </c>
      <c r="AP511" s="107">
        <f t="shared" si="160"/>
        <v>0.04</v>
      </c>
      <c r="AQ511" s="107">
        <f t="shared" si="160"/>
        <v>0.04</v>
      </c>
      <c r="AR511" s="107">
        <f t="shared" si="160"/>
        <v>0.04</v>
      </c>
      <c r="AS511" s="107">
        <f t="shared" si="160"/>
        <v>0.04</v>
      </c>
      <c r="AT511" s="107">
        <f t="shared" si="160"/>
        <v>0.04</v>
      </c>
      <c r="AU511" s="107">
        <f t="shared" si="160"/>
        <v>0.04</v>
      </c>
      <c r="AV511" s="107">
        <f t="shared" si="160"/>
        <v>0.04</v>
      </c>
      <c r="AW511" s="107">
        <f t="shared" si="160"/>
        <v>0.04</v>
      </c>
      <c r="AX511" s="107">
        <f>AX510</f>
        <v>0.04</v>
      </c>
      <c r="AY511" s="107">
        <f t="shared" si="160"/>
        <v>0.04</v>
      </c>
      <c r="AZ511" s="107">
        <f>AZ510</f>
        <v>0.04</v>
      </c>
      <c r="BA511" s="107">
        <f>BA510</f>
        <v>0.04</v>
      </c>
      <c r="BB511" s="107">
        <f>BB510</f>
        <v>0.04</v>
      </c>
      <c r="BC511" s="107">
        <f t="shared" ref="BC511:BG511" si="161">BC510</f>
        <v>0.04</v>
      </c>
      <c r="BD511" s="107">
        <f t="shared" si="161"/>
        <v>0.04</v>
      </c>
      <c r="BE511" s="107">
        <f t="shared" si="161"/>
        <v>0.04</v>
      </c>
      <c r="BF511" s="107">
        <f t="shared" si="161"/>
        <v>0.04</v>
      </c>
      <c r="BG511" s="107">
        <f t="shared" si="161"/>
        <v>0.04</v>
      </c>
    </row>
    <row r="512" spans="1:59" ht="13.75" customHeight="1">
      <c r="A512" s="141" t="s">
        <v>166</v>
      </c>
      <c r="B512" s="142" t="s">
        <v>491</v>
      </c>
      <c r="C512" s="142" t="s">
        <v>500</v>
      </c>
      <c r="D512" s="142" t="s">
        <v>87</v>
      </c>
      <c r="F512" s="168" t="s">
        <v>501</v>
      </c>
      <c r="G512" s="109" t="s">
        <v>494</v>
      </c>
      <c r="U512" s="112">
        <v>8335.86</v>
      </c>
      <c r="V512" s="112">
        <v>8875.83</v>
      </c>
      <c r="W512" s="112">
        <v>10215.530000000001</v>
      </c>
      <c r="X512" s="119">
        <v>15936</v>
      </c>
      <c r="Y512" s="113">
        <v>1.9845759999999999</v>
      </c>
      <c r="Z512" s="113">
        <v>1.9315</v>
      </c>
      <c r="AA512" s="159">
        <v>2.0379999999999998</v>
      </c>
      <c r="AB512" s="159">
        <v>2.091962073492402</v>
      </c>
      <c r="AC512" s="159">
        <v>2.4386297814207651</v>
      </c>
      <c r="AD512" s="111">
        <v>2.5365983561643834</v>
      </c>
      <c r="AE512" s="111">
        <v>2.62</v>
      </c>
      <c r="AF512" s="111">
        <v>2.92</v>
      </c>
      <c r="AG512" s="111">
        <v>3.22</v>
      </c>
      <c r="AH512" s="111">
        <v>3.38</v>
      </c>
      <c r="AI512" s="113">
        <f t="shared" ref="AI512:AK512" si="162">AVERAGE(AH513:AI513)</f>
        <v>3.5055000000000001</v>
      </c>
      <c r="AJ512" s="113">
        <f>AVERAGE(AI513:AJ513)</f>
        <v>3.6807750000000006</v>
      </c>
      <c r="AK512" s="113">
        <f t="shared" si="162"/>
        <v>3.8648137500000006</v>
      </c>
      <c r="AL512" s="113">
        <f>AVERAGE(AK513:AL513)</f>
        <v>4.0580544375000009</v>
      </c>
      <c r="AM512" s="113">
        <f t="shared" ref="AM512:AX512" si="163">AVERAGE(AL513:AM513)</f>
        <v>4.2609571593750015</v>
      </c>
      <c r="AN512" s="113">
        <f t="shared" si="163"/>
        <v>4.4740050173437513</v>
      </c>
      <c r="AO512" s="113">
        <f t="shared" si="163"/>
        <v>4.6977052682109388</v>
      </c>
      <c r="AP512" s="113">
        <f t="shared" si="163"/>
        <v>4.9325905316214858</v>
      </c>
      <c r="AQ512" s="113">
        <f t="shared" si="163"/>
        <v>5.17922005820256</v>
      </c>
      <c r="AR512" s="113">
        <f t="shared" si="163"/>
        <v>5.4381810611126884</v>
      </c>
      <c r="AS512" s="113">
        <f t="shared" si="163"/>
        <v>5.7100901141683238</v>
      </c>
      <c r="AT512" s="113">
        <f>AVERAGE(AS513:AT513)</f>
        <v>5.9955946198767398</v>
      </c>
      <c r="AU512" s="113">
        <f>AVERAGE(AT513:AU513)</f>
        <v>6.2953743508705768</v>
      </c>
      <c r="AV512" s="113">
        <f>AVERAGE(AU513:AV513)</f>
        <v>6.6101430684141054</v>
      </c>
      <c r="AW512" s="113">
        <f t="shared" si="163"/>
        <v>6.9406502218348116</v>
      </c>
      <c r="AX512" s="113">
        <f t="shared" si="163"/>
        <v>7.2876827329265526</v>
      </c>
      <c r="AY512" s="113">
        <f>AVERAGE(AX513:AY513)</f>
        <v>7.6520668695728808</v>
      </c>
      <c r="AZ512" s="113">
        <f>AVERAGE(AY513:AZ513)</f>
        <v>8.0346702130515251</v>
      </c>
      <c r="BA512" s="113">
        <f>AVERAGE(AZ513:BA513)</f>
        <v>8.4364037237041032</v>
      </c>
      <c r="BB512" s="113">
        <f>AVERAGE(BA513:BB513)</f>
        <v>8.8582239098893076</v>
      </c>
      <c r="BC512" s="113">
        <f t="shared" ref="BC512:BG512" si="164">AVERAGE(BB513:BC513)</f>
        <v>9.301135105383775</v>
      </c>
      <c r="BD512" s="113">
        <f t="shared" si="164"/>
        <v>9.7661918606529632</v>
      </c>
      <c r="BE512" s="113">
        <f t="shared" si="164"/>
        <v>10.254501453685613</v>
      </c>
      <c r="BF512" s="113">
        <f t="shared" si="164"/>
        <v>10.767226526369893</v>
      </c>
      <c r="BG512" s="113">
        <f t="shared" si="164"/>
        <v>11.305587852688387</v>
      </c>
    </row>
    <row r="513" spans="1:59" ht="13.75" customHeight="1">
      <c r="A513" s="141" t="s">
        <v>166</v>
      </c>
      <c r="B513" s="142" t="s">
        <v>491</v>
      </c>
      <c r="C513" s="142" t="s">
        <v>500</v>
      </c>
      <c r="D513" s="142" t="s">
        <v>87</v>
      </c>
      <c r="F513" s="168" t="s">
        <v>502</v>
      </c>
      <c r="G513" s="109" t="s">
        <v>494</v>
      </c>
      <c r="I513" s="109" t="s">
        <v>496</v>
      </c>
      <c r="U513" s="112">
        <v>8570</v>
      </c>
      <c r="V513" s="112">
        <v>9432.74</v>
      </c>
      <c r="W513" s="112">
        <v>10953.42</v>
      </c>
      <c r="X513" s="119">
        <v>18569</v>
      </c>
      <c r="Y513" s="113">
        <v>1.956</v>
      </c>
      <c r="Z513" s="113">
        <v>1.9726999999999999</v>
      </c>
      <c r="AA513" s="159">
        <v>2.1659999999999999</v>
      </c>
      <c r="AB513" s="159">
        <v>2.1</v>
      </c>
      <c r="AC513" s="159">
        <v>2.5977999999999999</v>
      </c>
      <c r="AD513" s="111">
        <v>2.5480999999999998</v>
      </c>
      <c r="AE513" s="111">
        <v>2.74</v>
      </c>
      <c r="AF513" s="111">
        <v>3.1</v>
      </c>
      <c r="AG513" s="111">
        <v>3.33</v>
      </c>
      <c r="AH513" s="111">
        <v>3.42</v>
      </c>
      <c r="AI513" s="112">
        <f>AH513*(1+AI514-AI$4)</f>
        <v>3.5910000000000002</v>
      </c>
      <c r="AJ513" s="112">
        <f t="shared" ref="AJ513:AR513" si="165">AI513*(1+AJ514-AJ$4)</f>
        <v>3.7705500000000005</v>
      </c>
      <c r="AK513" s="112">
        <f t="shared" si="165"/>
        <v>3.9590775000000007</v>
      </c>
      <c r="AL513" s="112">
        <f t="shared" si="165"/>
        <v>4.1570313750000008</v>
      </c>
      <c r="AM513" s="112">
        <f t="shared" si="165"/>
        <v>4.3648829437500014</v>
      </c>
      <c r="AN513" s="112">
        <f t="shared" si="165"/>
        <v>4.5831270909375013</v>
      </c>
      <c r="AO513" s="112">
        <f t="shared" si="165"/>
        <v>4.8122834454843764</v>
      </c>
      <c r="AP513" s="112">
        <f t="shared" si="165"/>
        <v>5.0528976177585951</v>
      </c>
      <c r="AQ513" s="112">
        <f t="shared" si="165"/>
        <v>5.3055424986465249</v>
      </c>
      <c r="AR513" s="112">
        <f t="shared" si="165"/>
        <v>5.5708196235788519</v>
      </c>
      <c r="AS513" s="112">
        <f>AR513*(1+AS514-AS$4)</f>
        <v>5.8493606047577948</v>
      </c>
      <c r="AT513" s="112">
        <f t="shared" ref="AT513:BG513" si="166">AS513*(1+AT514-AT$4)</f>
        <v>6.1418286349956848</v>
      </c>
      <c r="AU513" s="112">
        <f t="shared" si="166"/>
        <v>6.4489200667454689</v>
      </c>
      <c r="AV513" s="112">
        <f t="shared" si="166"/>
        <v>6.7713660700827427</v>
      </c>
      <c r="AW513" s="112">
        <f t="shared" si="166"/>
        <v>7.1099343735868805</v>
      </c>
      <c r="AX513" s="112">
        <f t="shared" si="166"/>
        <v>7.4654310922662246</v>
      </c>
      <c r="AY513" s="112">
        <f t="shared" si="166"/>
        <v>7.8387026468795362</v>
      </c>
      <c r="AZ513" s="112">
        <f t="shared" si="166"/>
        <v>8.2306377792235139</v>
      </c>
      <c r="BA513" s="112">
        <f t="shared" si="166"/>
        <v>8.6421696681846907</v>
      </c>
      <c r="BB513" s="112">
        <f t="shared" si="166"/>
        <v>9.0742781515939264</v>
      </c>
      <c r="BC513" s="112">
        <f t="shared" si="166"/>
        <v>9.5279920591736236</v>
      </c>
      <c r="BD513" s="112">
        <f t="shared" si="166"/>
        <v>10.004391662132305</v>
      </c>
      <c r="BE513" s="112">
        <f t="shared" si="166"/>
        <v>10.50461124523892</v>
      </c>
      <c r="BF513" s="112">
        <f t="shared" si="166"/>
        <v>11.029841807500866</v>
      </c>
      <c r="BG513" s="112">
        <f t="shared" si="166"/>
        <v>11.581333897875909</v>
      </c>
    </row>
    <row r="514" spans="1:59" ht="13.75" customHeight="1">
      <c r="A514" s="141" t="s">
        <v>166</v>
      </c>
      <c r="B514" s="142" t="s">
        <v>491</v>
      </c>
      <c r="C514" s="142" t="s">
        <v>500</v>
      </c>
      <c r="D514" s="142" t="s">
        <v>87</v>
      </c>
      <c r="F514" s="168" t="s">
        <v>503</v>
      </c>
      <c r="G514" s="109" t="s">
        <v>3</v>
      </c>
      <c r="I514" s="109" t="s">
        <v>498</v>
      </c>
      <c r="U514" s="107">
        <v>0.65249999999999997</v>
      </c>
      <c r="V514" s="107">
        <v>0.183</v>
      </c>
      <c r="W514" s="107">
        <v>0.18100000000000002</v>
      </c>
      <c r="X514" s="107">
        <v>0.13500000000000001</v>
      </c>
      <c r="Y514" s="107">
        <v>0.11800000000000001</v>
      </c>
      <c r="Z514" s="107">
        <v>6.0999999999999999E-2</v>
      </c>
      <c r="AA514" s="107">
        <v>4.9100000000000005E-2</v>
      </c>
      <c r="AB514" s="107">
        <v>5.5399999999999998E-2</v>
      </c>
      <c r="AC514" s="107">
        <v>5.5500000000000001E-2</v>
      </c>
      <c r="AD514" s="107">
        <v>9.4499999999999987E-2</v>
      </c>
      <c r="AE514" s="107">
        <v>0.152</v>
      </c>
      <c r="AF514" s="107">
        <v>9.5000000000000001E-2</v>
      </c>
      <c r="AG514" s="107">
        <v>0.105</v>
      </c>
      <c r="AH514" s="107">
        <v>7.0000000000000007E-2</v>
      </c>
      <c r="AI514" s="107">
        <f t="shared" ref="AI514:BG514" si="167">AH514</f>
        <v>7.0000000000000007E-2</v>
      </c>
      <c r="AJ514" s="107">
        <f t="shared" si="167"/>
        <v>7.0000000000000007E-2</v>
      </c>
      <c r="AK514" s="107">
        <f t="shared" si="167"/>
        <v>7.0000000000000007E-2</v>
      </c>
      <c r="AL514" s="107">
        <f t="shared" si="167"/>
        <v>7.0000000000000007E-2</v>
      </c>
      <c r="AM514" s="107">
        <f t="shared" si="167"/>
        <v>7.0000000000000007E-2</v>
      </c>
      <c r="AN514" s="107">
        <f t="shared" si="167"/>
        <v>7.0000000000000007E-2</v>
      </c>
      <c r="AO514" s="107">
        <f t="shared" si="167"/>
        <v>7.0000000000000007E-2</v>
      </c>
      <c r="AP514" s="107">
        <f t="shared" si="167"/>
        <v>7.0000000000000007E-2</v>
      </c>
      <c r="AQ514" s="107">
        <f t="shared" si="167"/>
        <v>7.0000000000000007E-2</v>
      </c>
      <c r="AR514" s="107">
        <f t="shared" si="167"/>
        <v>7.0000000000000007E-2</v>
      </c>
      <c r="AS514" s="107">
        <f t="shared" si="167"/>
        <v>7.0000000000000007E-2</v>
      </c>
      <c r="AT514" s="107">
        <f t="shared" si="167"/>
        <v>7.0000000000000007E-2</v>
      </c>
      <c r="AU514" s="107">
        <f>AT514</f>
        <v>7.0000000000000007E-2</v>
      </c>
      <c r="AV514" s="107">
        <f t="shared" si="167"/>
        <v>7.0000000000000007E-2</v>
      </c>
      <c r="AW514" s="107">
        <f t="shared" si="167"/>
        <v>7.0000000000000007E-2</v>
      </c>
      <c r="AX514" s="107">
        <f t="shared" si="167"/>
        <v>7.0000000000000007E-2</v>
      </c>
      <c r="AY514" s="107">
        <f t="shared" si="167"/>
        <v>7.0000000000000007E-2</v>
      </c>
      <c r="AZ514" s="107">
        <f t="shared" si="167"/>
        <v>7.0000000000000007E-2</v>
      </c>
      <c r="BA514" s="107">
        <f t="shared" si="167"/>
        <v>7.0000000000000007E-2</v>
      </c>
      <c r="BB514" s="107">
        <f t="shared" si="167"/>
        <v>7.0000000000000007E-2</v>
      </c>
      <c r="BC514" s="107">
        <f t="shared" si="167"/>
        <v>7.0000000000000007E-2</v>
      </c>
      <c r="BD514" s="107">
        <f t="shared" si="167"/>
        <v>7.0000000000000007E-2</v>
      </c>
      <c r="BE514" s="107">
        <f t="shared" si="167"/>
        <v>7.0000000000000007E-2</v>
      </c>
      <c r="BF514" s="107">
        <f t="shared" si="167"/>
        <v>7.0000000000000007E-2</v>
      </c>
      <c r="BG514" s="107">
        <f t="shared" si="167"/>
        <v>7.0000000000000007E-2</v>
      </c>
    </row>
    <row r="515" spans="1:59" ht="13.75" customHeight="1">
      <c r="A515" s="141" t="s">
        <v>166</v>
      </c>
      <c r="B515" s="142" t="s">
        <v>491</v>
      </c>
      <c r="C515" s="142" t="s">
        <v>500</v>
      </c>
      <c r="D515" s="142" t="s">
        <v>98</v>
      </c>
      <c r="F515" s="168" t="s">
        <v>504</v>
      </c>
      <c r="G515" s="109" t="s">
        <v>3</v>
      </c>
      <c r="I515" s="109" t="s">
        <v>498</v>
      </c>
      <c r="U515" s="107">
        <v>1.3519999999999999</v>
      </c>
      <c r="V515" s="107">
        <v>0.13600000000000001</v>
      </c>
      <c r="W515" s="107">
        <v>0.128</v>
      </c>
      <c r="X515" s="107">
        <v>0.16800000000000001</v>
      </c>
      <c r="Y515" s="107">
        <v>0.12</v>
      </c>
      <c r="Z515" s="107">
        <v>9.8000000000000004E-2</v>
      </c>
      <c r="AA515" s="107">
        <v>4.9100000000000005E-2</v>
      </c>
      <c r="AB515" s="107">
        <v>0.11199999999999999</v>
      </c>
      <c r="AC515" s="107">
        <v>0.112</v>
      </c>
      <c r="AD515" s="107">
        <v>0.11199999999999999</v>
      </c>
      <c r="AE515" s="107">
        <f>AE514</f>
        <v>0.152</v>
      </c>
      <c r="AF515" s="107">
        <f t="shared" ref="AF515:BG515" si="168">AF514</f>
        <v>9.5000000000000001E-2</v>
      </c>
      <c r="AG515" s="107">
        <f t="shared" si="168"/>
        <v>0.105</v>
      </c>
      <c r="AH515" s="107">
        <f t="shared" si="168"/>
        <v>7.0000000000000007E-2</v>
      </c>
      <c r="AI515" s="107">
        <f t="shared" si="168"/>
        <v>7.0000000000000007E-2</v>
      </c>
      <c r="AJ515" s="107">
        <f t="shared" si="168"/>
        <v>7.0000000000000007E-2</v>
      </c>
      <c r="AK515" s="107">
        <f t="shared" si="168"/>
        <v>7.0000000000000007E-2</v>
      </c>
      <c r="AL515" s="107">
        <f t="shared" si="168"/>
        <v>7.0000000000000007E-2</v>
      </c>
      <c r="AM515" s="107">
        <f t="shared" si="168"/>
        <v>7.0000000000000007E-2</v>
      </c>
      <c r="AN515" s="107">
        <f t="shared" si="168"/>
        <v>7.0000000000000007E-2</v>
      </c>
      <c r="AO515" s="107">
        <f t="shared" si="168"/>
        <v>7.0000000000000007E-2</v>
      </c>
      <c r="AP515" s="107">
        <f t="shared" si="168"/>
        <v>7.0000000000000007E-2</v>
      </c>
      <c r="AQ515" s="107">
        <f t="shared" si="168"/>
        <v>7.0000000000000007E-2</v>
      </c>
      <c r="AR515" s="107">
        <f t="shared" si="168"/>
        <v>7.0000000000000007E-2</v>
      </c>
      <c r="AS515" s="107">
        <f t="shared" si="168"/>
        <v>7.0000000000000007E-2</v>
      </c>
      <c r="AT515" s="107">
        <f t="shared" si="168"/>
        <v>7.0000000000000007E-2</v>
      </c>
      <c r="AU515" s="107">
        <f t="shared" si="168"/>
        <v>7.0000000000000007E-2</v>
      </c>
      <c r="AV515" s="107">
        <f>AV514</f>
        <v>7.0000000000000007E-2</v>
      </c>
      <c r="AW515" s="107">
        <f t="shared" si="168"/>
        <v>7.0000000000000007E-2</v>
      </c>
      <c r="AX515" s="107">
        <f t="shared" si="168"/>
        <v>7.0000000000000007E-2</v>
      </c>
      <c r="AY515" s="107">
        <f t="shared" si="168"/>
        <v>7.0000000000000007E-2</v>
      </c>
      <c r="AZ515" s="107">
        <f t="shared" si="168"/>
        <v>7.0000000000000007E-2</v>
      </c>
      <c r="BA515" s="107">
        <f t="shared" si="168"/>
        <v>7.0000000000000007E-2</v>
      </c>
      <c r="BB515" s="107">
        <f t="shared" si="168"/>
        <v>7.0000000000000007E-2</v>
      </c>
      <c r="BC515" s="107">
        <f t="shared" si="168"/>
        <v>7.0000000000000007E-2</v>
      </c>
      <c r="BD515" s="107">
        <f t="shared" si="168"/>
        <v>7.0000000000000007E-2</v>
      </c>
      <c r="BE515" s="107">
        <f t="shared" si="168"/>
        <v>7.0000000000000007E-2</v>
      </c>
      <c r="BF515" s="107">
        <f t="shared" si="168"/>
        <v>7.0000000000000007E-2</v>
      </c>
      <c r="BG515" s="107">
        <f t="shared" si="168"/>
        <v>7.0000000000000007E-2</v>
      </c>
    </row>
    <row r="516" spans="1:59" ht="13.75" customHeight="1">
      <c r="A516" s="141" t="s">
        <v>166</v>
      </c>
      <c r="B516" s="142" t="s">
        <v>491</v>
      </c>
      <c r="C516" s="142" t="s">
        <v>505</v>
      </c>
      <c r="D516" s="142" t="s">
        <v>87</v>
      </c>
      <c r="F516" s="168" t="s">
        <v>506</v>
      </c>
      <c r="G516" s="109" t="s">
        <v>494</v>
      </c>
      <c r="U516" s="112">
        <v>7.99</v>
      </c>
      <c r="V516" s="112">
        <v>8</v>
      </c>
      <c r="W516" s="112">
        <v>12.017799999999999</v>
      </c>
      <c r="X516" s="112">
        <v>21.75</v>
      </c>
      <c r="Y516" s="112">
        <v>25.5</v>
      </c>
      <c r="Z516" s="112">
        <v>26.600219178082192</v>
      </c>
      <c r="AA516" s="112">
        <v>27.184000000000001</v>
      </c>
      <c r="AB516" s="112">
        <v>26.955327868852457</v>
      </c>
      <c r="AC516" s="112">
        <v>28.372128995433791</v>
      </c>
      <c r="AD516" s="112">
        <v>27.640821917808218</v>
      </c>
      <c r="AE516" s="112">
        <v>28.583320000000001</v>
      </c>
      <c r="AF516" s="112">
        <v>29.531706239999998</v>
      </c>
      <c r="AG516" s="112">
        <v>30.476720839679999</v>
      </c>
      <c r="AH516" s="112">
        <f t="shared" ref="AH516:AY516" si="169">AVERAGE(AG517:AH517)</f>
        <v>31.411858771889928</v>
      </c>
      <c r="AI516" s="112">
        <f t="shared" si="169"/>
        <v>32.345054069586155</v>
      </c>
      <c r="AJ516" s="112">
        <f t="shared" si="169"/>
        <v>33.315405691673739</v>
      </c>
      <c r="AK516" s="112">
        <f t="shared" si="169"/>
        <v>34.314867862423952</v>
      </c>
      <c r="AL516" s="112">
        <f t="shared" si="169"/>
        <v>35.344313898296676</v>
      </c>
      <c r="AM516" s="112">
        <f t="shared" si="169"/>
        <v>36.404643315245572</v>
      </c>
      <c r="AN516" s="112">
        <f t="shared" si="169"/>
        <v>37.496782614702937</v>
      </c>
      <c r="AO516" s="112">
        <f t="shared" si="169"/>
        <v>38.621686093144035</v>
      </c>
      <c r="AP516" s="112">
        <f t="shared" si="169"/>
        <v>39.780336675938358</v>
      </c>
      <c r="AQ516" s="112">
        <f t="shared" si="169"/>
        <v>40.973746776216501</v>
      </c>
      <c r="AR516" s="112">
        <f t="shared" si="169"/>
        <v>42.202959179502997</v>
      </c>
      <c r="AS516" s="112">
        <f t="shared" si="169"/>
        <v>43.469047954888097</v>
      </c>
      <c r="AT516" s="112">
        <f t="shared" si="169"/>
        <v>44.773119393534742</v>
      </c>
      <c r="AU516" s="112">
        <f t="shared" si="169"/>
        <v>46.116312975340783</v>
      </c>
      <c r="AV516" s="112">
        <f t="shared" si="169"/>
        <v>47.49980236460101</v>
      </c>
      <c r="AW516" s="112">
        <f t="shared" si="169"/>
        <v>48.924796435539044</v>
      </c>
      <c r="AX516" s="112">
        <f t="shared" si="169"/>
        <v>50.392540328605222</v>
      </c>
      <c r="AY516" s="112">
        <f t="shared" si="169"/>
        <v>51.904316538463377</v>
      </c>
      <c r="AZ516" s="112">
        <f>AVERAGE(AY517:AZ517)</f>
        <v>53.461446034617282</v>
      </c>
      <c r="BA516" s="112">
        <f>AVERAGE(AZ517:BA517)</f>
        <v>55.065289415655798</v>
      </c>
      <c r="BB516" s="112">
        <f>AVERAGE(BA517:BB517)</f>
        <v>56.717248098125474</v>
      </c>
      <c r="BC516" s="112">
        <f t="shared" ref="BC516:BG516" si="170">AVERAGE(BB517:BC517)</f>
        <v>58.418765541069234</v>
      </c>
      <c r="BD516" s="112">
        <f t="shared" si="170"/>
        <v>60.171328507301311</v>
      </c>
      <c r="BE516" s="112">
        <f t="shared" si="170"/>
        <v>61.97646836252035</v>
      </c>
      <c r="BF516" s="112">
        <f t="shared" si="170"/>
        <v>63.835762413395969</v>
      </c>
      <c r="BG516" s="112">
        <f t="shared" si="170"/>
        <v>65.750835285797848</v>
      </c>
    </row>
    <row r="517" spans="1:59" ht="13.75" customHeight="1">
      <c r="A517" s="141" t="s">
        <v>166</v>
      </c>
      <c r="B517" s="142" t="s">
        <v>491</v>
      </c>
      <c r="C517" s="142" t="s">
        <v>505</v>
      </c>
      <c r="D517" s="142" t="s">
        <v>87</v>
      </c>
      <c r="F517" s="168" t="s">
        <v>507</v>
      </c>
      <c r="G517" s="109" t="s">
        <v>494</v>
      </c>
      <c r="I517" s="109" t="s">
        <v>496</v>
      </c>
      <c r="U517" s="112">
        <v>8</v>
      </c>
      <c r="V517" s="112">
        <v>8</v>
      </c>
      <c r="W517" s="112">
        <v>15.68</v>
      </c>
      <c r="X517" s="112">
        <v>23.95</v>
      </c>
      <c r="Y517" s="112">
        <v>27.19</v>
      </c>
      <c r="Z517" s="112">
        <v>28.0672</v>
      </c>
      <c r="AA517" s="112">
        <v>27.7</v>
      </c>
      <c r="AB517" s="112">
        <v>28.3</v>
      </c>
      <c r="AC517" s="112">
        <v>28.887500000000003</v>
      </c>
      <c r="AD517" s="112">
        <v>27.285</v>
      </c>
      <c r="AE517" s="112">
        <v>29.06664</v>
      </c>
      <c r="AF517" s="112">
        <v>29.996772480000001</v>
      </c>
      <c r="AG517" s="112">
        <v>30.95666919936</v>
      </c>
      <c r="AH517" s="112">
        <f>AG517*(1+AH518-AH$4)</f>
        <v>31.867048344419857</v>
      </c>
      <c r="AI517" s="112">
        <f t="shared" ref="AI517:AR517" si="171">AH517*(1+AI518-AI$4)</f>
        <v>32.823059794752453</v>
      </c>
      <c r="AJ517" s="112">
        <f t="shared" si="171"/>
        <v>33.807751588595025</v>
      </c>
      <c r="AK517" s="112">
        <f t="shared" si="171"/>
        <v>34.82198413625288</v>
      </c>
      <c r="AL517" s="112">
        <f t="shared" si="171"/>
        <v>35.866643660340465</v>
      </c>
      <c r="AM517" s="112">
        <f t="shared" si="171"/>
        <v>36.942642970150679</v>
      </c>
      <c r="AN517" s="112">
        <f t="shared" si="171"/>
        <v>38.050922259255202</v>
      </c>
      <c r="AO517" s="112">
        <f t="shared" si="171"/>
        <v>39.192449927032861</v>
      </c>
      <c r="AP517" s="112">
        <f t="shared" si="171"/>
        <v>40.368223424843848</v>
      </c>
      <c r="AQ517" s="112">
        <f t="shared" si="171"/>
        <v>41.579270127589162</v>
      </c>
      <c r="AR517" s="112">
        <f t="shared" si="171"/>
        <v>42.82664823141684</v>
      </c>
      <c r="AS517" s="112">
        <f>AR517*(1+AS518-AS$4)</f>
        <v>44.111447678359347</v>
      </c>
      <c r="AT517" s="112">
        <f t="shared" ref="AT517:BG517" si="172">AS517*(1+AT518-AT$4)</f>
        <v>45.434791108710129</v>
      </c>
      <c r="AU517" s="112">
        <f t="shared" si="172"/>
        <v>46.797834841971437</v>
      </c>
      <c r="AV517" s="112">
        <f t="shared" si="172"/>
        <v>48.201769887230583</v>
      </c>
      <c r="AW517" s="112">
        <f t="shared" si="172"/>
        <v>49.647822983847504</v>
      </c>
      <c r="AX517" s="112">
        <f t="shared" si="172"/>
        <v>51.137257673362932</v>
      </c>
      <c r="AY517" s="112">
        <f t="shared" si="172"/>
        <v>52.671375403563822</v>
      </c>
      <c r="AZ517" s="112">
        <f t="shared" si="172"/>
        <v>54.251516665670735</v>
      </c>
      <c r="BA517" s="112">
        <f t="shared" si="172"/>
        <v>55.87906216564086</v>
      </c>
      <c r="BB517" s="112">
        <f t="shared" si="172"/>
        <v>57.555434030610087</v>
      </c>
      <c r="BC517" s="112">
        <f t="shared" si="172"/>
        <v>59.282097051528389</v>
      </c>
      <c r="BD517" s="112">
        <f t="shared" si="172"/>
        <v>61.06055996307424</v>
      </c>
      <c r="BE517" s="112">
        <f t="shared" si="172"/>
        <v>62.892376761966467</v>
      </c>
      <c r="BF517" s="112">
        <f t="shared" si="172"/>
        <v>64.779148064825463</v>
      </c>
      <c r="BG517" s="112">
        <f t="shared" si="172"/>
        <v>66.722522506770233</v>
      </c>
    </row>
    <row r="518" spans="1:59" ht="13.75" customHeight="1">
      <c r="A518" s="141" t="s">
        <v>166</v>
      </c>
      <c r="B518" s="142" t="s">
        <v>491</v>
      </c>
      <c r="C518" s="142" t="s">
        <v>505</v>
      </c>
      <c r="D518" s="142" t="s">
        <v>87</v>
      </c>
      <c r="F518" s="168" t="s">
        <v>508</v>
      </c>
      <c r="G518" s="109" t="s">
        <v>3</v>
      </c>
      <c r="I518" s="109" t="s">
        <v>498</v>
      </c>
      <c r="U518" s="107">
        <v>6.0000000000000001E-3</v>
      </c>
      <c r="V518" s="107">
        <v>-3.0000000000000001E-3</v>
      </c>
      <c r="W518" s="107">
        <v>0.121</v>
      </c>
      <c r="X518" s="107">
        <v>0.48499999999999999</v>
      </c>
      <c r="Y518" s="107">
        <v>0.14899999999999999</v>
      </c>
      <c r="Z518" s="107">
        <v>0.14299999999999999</v>
      </c>
      <c r="AA518" s="107">
        <v>0.1101</v>
      </c>
      <c r="AB518" s="107">
        <v>2.7000000000000003E-2</v>
      </c>
      <c r="AC518" s="107">
        <v>7.2999999999999995E-2</v>
      </c>
      <c r="AD518" s="107">
        <v>9.3399999999999997E-2</v>
      </c>
      <c r="AE518" s="107">
        <v>6.3E-2</v>
      </c>
      <c r="AF518" s="107">
        <v>0.05</v>
      </c>
      <c r="AG518" s="107">
        <v>0.05</v>
      </c>
      <c r="AH518" s="107">
        <f t="shared" ref="AH518:BG518" si="173">AG518</f>
        <v>0.05</v>
      </c>
      <c r="AI518" s="107">
        <f t="shared" si="173"/>
        <v>0.05</v>
      </c>
      <c r="AJ518" s="107">
        <f t="shared" si="173"/>
        <v>0.05</v>
      </c>
      <c r="AK518" s="107">
        <f t="shared" si="173"/>
        <v>0.05</v>
      </c>
      <c r="AL518" s="107">
        <f t="shared" si="173"/>
        <v>0.05</v>
      </c>
      <c r="AM518" s="107">
        <f t="shared" si="173"/>
        <v>0.05</v>
      </c>
      <c r="AN518" s="107">
        <f t="shared" si="173"/>
        <v>0.05</v>
      </c>
      <c r="AO518" s="107">
        <f t="shared" si="173"/>
        <v>0.05</v>
      </c>
      <c r="AP518" s="107">
        <f t="shared" si="173"/>
        <v>0.05</v>
      </c>
      <c r="AQ518" s="107">
        <f t="shared" si="173"/>
        <v>0.05</v>
      </c>
      <c r="AR518" s="107">
        <f t="shared" si="173"/>
        <v>0.05</v>
      </c>
      <c r="AS518" s="107">
        <f t="shared" si="173"/>
        <v>0.05</v>
      </c>
      <c r="AT518" s="107">
        <f t="shared" si="173"/>
        <v>0.05</v>
      </c>
      <c r="AU518" s="107">
        <f t="shared" si="173"/>
        <v>0.05</v>
      </c>
      <c r="AV518" s="107">
        <f t="shared" si="173"/>
        <v>0.05</v>
      </c>
      <c r="AW518" s="107">
        <f t="shared" si="173"/>
        <v>0.05</v>
      </c>
      <c r="AX518" s="107">
        <f t="shared" si="173"/>
        <v>0.05</v>
      </c>
      <c r="AY518" s="107">
        <f t="shared" si="173"/>
        <v>0.05</v>
      </c>
      <c r="AZ518" s="107">
        <f t="shared" si="173"/>
        <v>0.05</v>
      </c>
      <c r="BA518" s="107">
        <f t="shared" si="173"/>
        <v>0.05</v>
      </c>
      <c r="BB518" s="107">
        <f t="shared" si="173"/>
        <v>0.05</v>
      </c>
      <c r="BC518" s="107">
        <f t="shared" si="173"/>
        <v>0.05</v>
      </c>
      <c r="BD518" s="107">
        <f t="shared" si="173"/>
        <v>0.05</v>
      </c>
      <c r="BE518" s="107">
        <f t="shared" si="173"/>
        <v>0.05</v>
      </c>
      <c r="BF518" s="107">
        <f t="shared" si="173"/>
        <v>0.05</v>
      </c>
      <c r="BG518" s="107">
        <f t="shared" si="173"/>
        <v>0.05</v>
      </c>
    </row>
    <row r="519" spans="1:59" ht="13.75" customHeight="1">
      <c r="A519" s="141" t="s">
        <v>166</v>
      </c>
      <c r="B519" s="142" t="s">
        <v>491</v>
      </c>
      <c r="C519" s="142" t="s">
        <v>505</v>
      </c>
      <c r="D519" s="142" t="s">
        <v>98</v>
      </c>
      <c r="F519" s="168" t="s">
        <v>509</v>
      </c>
      <c r="G519" s="109" t="s">
        <v>3</v>
      </c>
      <c r="I519" s="109" t="s">
        <v>498</v>
      </c>
      <c r="U519" s="107">
        <v>3.4000000000000002E-2</v>
      </c>
      <c r="V519" s="107">
        <v>1E-3</v>
      </c>
      <c r="W519" s="107">
        <v>0.17100000000000001</v>
      </c>
      <c r="X519" s="107">
        <v>0.36</v>
      </c>
      <c r="Y519" s="107">
        <v>0.20499999999999999</v>
      </c>
      <c r="Z519" s="107">
        <v>0.26400000000000001</v>
      </c>
      <c r="AA519" s="107">
        <v>0.17508299999999999</v>
      </c>
      <c r="AB519" s="107">
        <v>-7.400000000000001E-2</v>
      </c>
      <c r="AC519" s="107">
        <v>0.14499999999999999</v>
      </c>
      <c r="AD519" s="107">
        <v>0.622</v>
      </c>
      <c r="AE519" s="107">
        <f t="shared" ref="AE519:BG519" si="174">AE518</f>
        <v>6.3E-2</v>
      </c>
      <c r="AF519" s="107">
        <f t="shared" si="174"/>
        <v>0.05</v>
      </c>
      <c r="AG519" s="107">
        <f t="shared" si="174"/>
        <v>0.05</v>
      </c>
      <c r="AH519" s="107">
        <f t="shared" si="174"/>
        <v>0.05</v>
      </c>
      <c r="AI519" s="107">
        <f t="shared" si="174"/>
        <v>0.05</v>
      </c>
      <c r="AJ519" s="107">
        <f t="shared" si="174"/>
        <v>0.05</v>
      </c>
      <c r="AK519" s="107">
        <f t="shared" si="174"/>
        <v>0.05</v>
      </c>
      <c r="AL519" s="107">
        <f t="shared" si="174"/>
        <v>0.05</v>
      </c>
      <c r="AM519" s="107">
        <f t="shared" si="174"/>
        <v>0.05</v>
      </c>
      <c r="AN519" s="107">
        <f t="shared" si="174"/>
        <v>0.05</v>
      </c>
      <c r="AO519" s="107">
        <f t="shared" si="174"/>
        <v>0.05</v>
      </c>
      <c r="AP519" s="107">
        <f t="shared" si="174"/>
        <v>0.05</v>
      </c>
      <c r="AQ519" s="107">
        <f t="shared" si="174"/>
        <v>0.05</v>
      </c>
      <c r="AR519" s="107">
        <f t="shared" si="174"/>
        <v>0.05</v>
      </c>
      <c r="AS519" s="107">
        <f t="shared" si="174"/>
        <v>0.05</v>
      </c>
      <c r="AT519" s="107">
        <f t="shared" si="174"/>
        <v>0.05</v>
      </c>
      <c r="AU519" s="107">
        <f t="shared" si="174"/>
        <v>0.05</v>
      </c>
      <c r="AV519" s="107">
        <f t="shared" si="174"/>
        <v>0.05</v>
      </c>
      <c r="AW519" s="107">
        <f t="shared" si="174"/>
        <v>0.05</v>
      </c>
      <c r="AX519" s="107">
        <f t="shared" si="174"/>
        <v>0.05</v>
      </c>
      <c r="AY519" s="107">
        <f t="shared" si="174"/>
        <v>0.05</v>
      </c>
      <c r="AZ519" s="107">
        <f t="shared" si="174"/>
        <v>0.05</v>
      </c>
      <c r="BA519" s="107">
        <f t="shared" si="174"/>
        <v>0.05</v>
      </c>
      <c r="BB519" s="107">
        <f t="shared" si="174"/>
        <v>0.05</v>
      </c>
      <c r="BC519" s="107">
        <f t="shared" si="174"/>
        <v>0.05</v>
      </c>
      <c r="BD519" s="107">
        <f t="shared" si="174"/>
        <v>0.05</v>
      </c>
      <c r="BE519" s="107">
        <f t="shared" si="174"/>
        <v>0.05</v>
      </c>
      <c r="BF519" s="107">
        <f t="shared" si="174"/>
        <v>0.05</v>
      </c>
      <c r="BG519" s="107">
        <f t="shared" si="174"/>
        <v>0.05</v>
      </c>
    </row>
    <row r="520" spans="1:59" ht="13.75" customHeight="1">
      <c r="A520" s="141" t="s">
        <v>166</v>
      </c>
      <c r="B520" s="142" t="s">
        <v>491</v>
      </c>
      <c r="C520" s="142" t="s">
        <v>510</v>
      </c>
      <c r="D520" s="142" t="s">
        <v>87</v>
      </c>
      <c r="F520" s="168" t="s">
        <v>511</v>
      </c>
      <c r="G520" s="109" t="s">
        <v>494</v>
      </c>
      <c r="V520" s="111">
        <v>5.70308734939759</v>
      </c>
      <c r="W520" s="111">
        <v>5.7481650000000002</v>
      </c>
      <c r="X520" s="111">
        <v>6.8583040000000004</v>
      </c>
      <c r="Y520" s="111">
        <v>6.8059900000000004</v>
      </c>
      <c r="Z520" s="113">
        <v>6.623831</v>
      </c>
      <c r="AA520" s="111">
        <v>6.29</v>
      </c>
      <c r="AB520" s="109">
        <v>6.63</v>
      </c>
      <c r="AC520" s="109">
        <v>6.61</v>
      </c>
      <c r="AD520" s="140">
        <v>6.3347582386127783</v>
      </c>
      <c r="AE520" s="140">
        <v>6.4273504273504276</v>
      </c>
      <c r="AF520" s="140">
        <v>0.84745762711864414</v>
      </c>
      <c r="AG520" s="140">
        <v>0.84033613445378152</v>
      </c>
      <c r="AH520" s="111">
        <f>AVERAGE(AG521:AH521)</f>
        <v>0.83798662814892544</v>
      </c>
      <c r="AI520" s="111">
        <f t="shared" ref="AI520:AX520" si="175">AVERAGE(AH521:AI521)</f>
        <v>0.83354802903945924</v>
      </c>
      <c r="AJ520" s="111">
        <f t="shared" si="175"/>
        <v>0.82938028889426185</v>
      </c>
      <c r="AK520" s="111">
        <f t="shared" si="175"/>
        <v>0.82523338744979047</v>
      </c>
      <c r="AL520" s="111">
        <f t="shared" si="175"/>
        <v>0.82110722051254137</v>
      </c>
      <c r="AM520" s="111">
        <f t="shared" si="175"/>
        <v>0.81700168440997856</v>
      </c>
      <c r="AN520" s="111">
        <f t="shared" si="175"/>
        <v>0.81291667598792861</v>
      </c>
      <c r="AO520" s="111">
        <f t="shared" si="175"/>
        <v>0.80885209260798885</v>
      </c>
      <c r="AP520" s="111">
        <f t="shared" si="175"/>
        <v>0.80480783214494878</v>
      </c>
      <c r="AQ520" s="111">
        <f t="shared" si="175"/>
        <v>0.80078379298422409</v>
      </c>
      <c r="AR520" s="111">
        <f t="shared" si="175"/>
        <v>0.79677987401930284</v>
      </c>
      <c r="AS520" s="111">
        <f t="shared" si="175"/>
        <v>0.79279597464920626</v>
      </c>
      <c r="AT520" s="111">
        <f t="shared" si="175"/>
        <v>0.78883199477596011</v>
      </c>
      <c r="AU520" s="111">
        <f t="shared" si="175"/>
        <v>0.78488783480208024</v>
      </c>
      <c r="AV520" s="111">
        <f t="shared" si="175"/>
        <v>0.78096339562806982</v>
      </c>
      <c r="AW520" s="111">
        <f t="shared" si="175"/>
        <v>0.77705857864992933</v>
      </c>
      <c r="AX520" s="111">
        <f t="shared" si="175"/>
        <v>0.77317328575667965</v>
      </c>
      <c r="AY520" s="111">
        <f>AVERAGE(AX521:AY521)</f>
        <v>0.76930741932789615</v>
      </c>
      <c r="AZ520" s="111">
        <f>AVERAGE(AY521:AZ521)</f>
        <v>0.76546088223125652</v>
      </c>
      <c r="BA520" s="111">
        <f>AVERAGE(AZ521:BA521)</f>
        <v>0.76163357782010022</v>
      </c>
      <c r="BB520" s="111">
        <f>AVERAGE(BA521:BB521)</f>
        <v>0.75782540993099956</v>
      </c>
      <c r="BC520" s="111">
        <f t="shared" ref="BC520:BG520" si="176">AVERAGE(BB521:BC521)</f>
        <v>0.7540362828813445</v>
      </c>
      <c r="BD520" s="111">
        <f t="shared" si="176"/>
        <v>0.75026610146693784</v>
      </c>
      <c r="BE520" s="111">
        <f t="shared" si="176"/>
        <v>0.74651477095960295</v>
      </c>
      <c r="BF520" s="111">
        <f t="shared" si="176"/>
        <v>0.74278219710480486</v>
      </c>
      <c r="BG520" s="111">
        <f t="shared" si="176"/>
        <v>0.73906828611928077</v>
      </c>
    </row>
    <row r="521" spans="1:59" ht="13.75" customHeight="1">
      <c r="A521" s="141" t="s">
        <v>166</v>
      </c>
      <c r="B521" s="142" t="s">
        <v>491</v>
      </c>
      <c r="C521" s="142" t="s">
        <v>510</v>
      </c>
      <c r="D521" s="142" t="s">
        <v>87</v>
      </c>
      <c r="F521" s="168" t="s">
        <v>512</v>
      </c>
      <c r="G521" s="109" t="s">
        <v>494</v>
      </c>
      <c r="I521" s="109" t="s">
        <v>496</v>
      </c>
      <c r="V521" s="111">
        <v>5.5490000000000004</v>
      </c>
      <c r="W521" s="111">
        <v>6.3021070000000003</v>
      </c>
      <c r="X521" s="111">
        <v>6.9918009999999997</v>
      </c>
      <c r="Y521" s="111">
        <v>7.1685359999999996</v>
      </c>
      <c r="Z521" s="113">
        <v>6.2697329999999996</v>
      </c>
      <c r="AA521" s="111">
        <v>6.46</v>
      </c>
      <c r="AB521" s="109">
        <v>6.64</v>
      </c>
      <c r="AC521" s="109">
        <v>6.18</v>
      </c>
      <c r="AD521" s="140">
        <v>6.61</v>
      </c>
      <c r="AE521" s="140">
        <v>6.4273504273504276</v>
      </c>
      <c r="AF521" s="140">
        <v>0.84745762711864414</v>
      </c>
      <c r="AG521" s="140">
        <v>0.84033613445378152</v>
      </c>
      <c r="AH521" s="112">
        <f>AG521*(1+AH522-AH$4)</f>
        <v>0.83563712184406946</v>
      </c>
      <c r="AI521" s="112">
        <f t="shared" ref="AI521:AR521" si="177">AH521*(1+AI522-AI$4)</f>
        <v>0.83145893623484901</v>
      </c>
      <c r="AJ521" s="112">
        <f t="shared" si="177"/>
        <v>0.82730164155367469</v>
      </c>
      <c r="AK521" s="112">
        <f t="shared" si="177"/>
        <v>0.82316513334590624</v>
      </c>
      <c r="AL521" s="112">
        <f t="shared" si="177"/>
        <v>0.81904930767917661</v>
      </c>
      <c r="AM521" s="112">
        <f t="shared" si="177"/>
        <v>0.81495406114078062</v>
      </c>
      <c r="AN521" s="112">
        <f t="shared" si="177"/>
        <v>0.81087929083507659</v>
      </c>
      <c r="AO521" s="112">
        <f t="shared" si="177"/>
        <v>0.8068248943809011</v>
      </c>
      <c r="AP521" s="112">
        <f t="shared" si="177"/>
        <v>0.80279076990899656</v>
      </c>
      <c r="AQ521" s="112">
        <f t="shared" si="177"/>
        <v>0.7987768160594515</v>
      </c>
      <c r="AR521" s="112">
        <f t="shared" si="177"/>
        <v>0.79478293197915417</v>
      </c>
      <c r="AS521" s="112">
        <f>AR521*(1+AS522-AS$4)</f>
        <v>0.79080901731925834</v>
      </c>
      <c r="AT521" s="112">
        <f t="shared" ref="AT521:AX521" si="178">AS521*(1+AT522-AT$4)</f>
        <v>0.78685497223266199</v>
      </c>
      <c r="AU521" s="112">
        <f t="shared" si="178"/>
        <v>0.78292069737149861</v>
      </c>
      <c r="AV521" s="112">
        <f t="shared" si="178"/>
        <v>0.77900609388464104</v>
      </c>
      <c r="AW521" s="112">
        <f t="shared" si="178"/>
        <v>0.77511106341521774</v>
      </c>
      <c r="AX521" s="112">
        <f t="shared" si="178"/>
        <v>0.77123550809814156</v>
      </c>
      <c r="AY521" s="112">
        <f>AX521*(1+AY522-AY$4)</f>
        <v>0.76737933055765073</v>
      </c>
      <c r="AZ521" s="112">
        <f>AY521*(1+AZ522-AZ$4)</f>
        <v>0.76354243390486243</v>
      </c>
      <c r="BA521" s="112">
        <f>AZ521*(1+BA522-BA$4)</f>
        <v>0.759724721735338</v>
      </c>
      <c r="BB521" s="112">
        <f>BA521*(1+BB522-BB$4)</f>
        <v>0.75592609812666123</v>
      </c>
      <c r="BC521" s="112">
        <f t="shared" ref="BC521:BG521" si="179">BB521*(1+BC522-BC$4)</f>
        <v>0.75214646763602788</v>
      </c>
      <c r="BD521" s="112">
        <f t="shared" si="179"/>
        <v>0.74838573529784769</v>
      </c>
      <c r="BE521" s="112">
        <f t="shared" si="179"/>
        <v>0.74464380662135832</v>
      </c>
      <c r="BF521" s="112">
        <f t="shared" si="179"/>
        <v>0.74092058758825141</v>
      </c>
      <c r="BG521" s="112">
        <f t="shared" si="179"/>
        <v>0.73721598465031002</v>
      </c>
    </row>
    <row r="522" spans="1:59" ht="13.75" customHeight="1">
      <c r="A522" s="141" t="s">
        <v>166</v>
      </c>
      <c r="B522" s="142" t="s">
        <v>491</v>
      </c>
      <c r="C522" s="142" t="s">
        <v>510</v>
      </c>
      <c r="D522" s="142" t="s">
        <v>87</v>
      </c>
      <c r="F522" s="168" t="s">
        <v>513</v>
      </c>
      <c r="G522" s="109" t="s">
        <v>3</v>
      </c>
      <c r="I522" s="109" t="s">
        <v>498</v>
      </c>
      <c r="V522" s="107">
        <v>2.2000000000000002E-2</v>
      </c>
      <c r="W522" s="107">
        <v>-2E-3</v>
      </c>
      <c r="X522" s="107">
        <v>-5.0000000000000001E-3</v>
      </c>
      <c r="Y522" s="107">
        <v>-1.1000000000000001E-2</v>
      </c>
      <c r="Z522" s="107">
        <v>1.15E-2</v>
      </c>
      <c r="AA522" s="107">
        <v>1.49167E-2</v>
      </c>
      <c r="AB522" s="107">
        <v>1.4999999999999999E-2</v>
      </c>
      <c r="AC522" s="107">
        <v>3.0000000000000001E-3</v>
      </c>
      <c r="AD522" s="107">
        <v>2.5600000000000001E-2</v>
      </c>
      <c r="AE522" s="107">
        <v>1.8000000000000002E-2</v>
      </c>
      <c r="AF522" s="107">
        <v>1.4999999999999999E-2</v>
      </c>
      <c r="AG522" s="107">
        <v>1.4999999999999999E-2</v>
      </c>
      <c r="AH522" s="107">
        <f t="shared" ref="AH522:AY522" si="180">AG522</f>
        <v>1.4999999999999999E-2</v>
      </c>
      <c r="AI522" s="107">
        <f t="shared" si="180"/>
        <v>1.4999999999999999E-2</v>
      </c>
      <c r="AJ522" s="107">
        <f t="shared" si="180"/>
        <v>1.4999999999999999E-2</v>
      </c>
      <c r="AK522" s="107">
        <f t="shared" si="180"/>
        <v>1.4999999999999999E-2</v>
      </c>
      <c r="AL522" s="107">
        <f t="shared" si="180"/>
        <v>1.4999999999999999E-2</v>
      </c>
      <c r="AM522" s="107">
        <f t="shared" si="180"/>
        <v>1.4999999999999999E-2</v>
      </c>
      <c r="AN522" s="107">
        <f t="shared" si="180"/>
        <v>1.4999999999999999E-2</v>
      </c>
      <c r="AO522" s="107">
        <f t="shared" si="180"/>
        <v>1.4999999999999999E-2</v>
      </c>
      <c r="AP522" s="107">
        <f t="shared" si="180"/>
        <v>1.4999999999999999E-2</v>
      </c>
      <c r="AQ522" s="107">
        <f t="shared" si="180"/>
        <v>1.4999999999999999E-2</v>
      </c>
      <c r="AR522" s="107">
        <f t="shared" si="180"/>
        <v>1.4999999999999999E-2</v>
      </c>
      <c r="AS522" s="107">
        <f t="shared" si="180"/>
        <v>1.4999999999999999E-2</v>
      </c>
      <c r="AT522" s="107">
        <f t="shared" si="180"/>
        <v>1.4999999999999999E-2</v>
      </c>
      <c r="AU522" s="107">
        <f t="shared" si="180"/>
        <v>1.4999999999999999E-2</v>
      </c>
      <c r="AV522" s="107">
        <f t="shared" si="180"/>
        <v>1.4999999999999999E-2</v>
      </c>
      <c r="AW522" s="107">
        <f t="shared" si="180"/>
        <v>1.4999999999999999E-2</v>
      </c>
      <c r="AX522" s="107">
        <f t="shared" si="180"/>
        <v>1.4999999999999999E-2</v>
      </c>
      <c r="AY522" s="107">
        <f t="shared" si="180"/>
        <v>1.4999999999999999E-2</v>
      </c>
      <c r="AZ522" s="107">
        <f>AY522</f>
        <v>1.4999999999999999E-2</v>
      </c>
      <c r="BA522" s="107">
        <f>AZ522</f>
        <v>1.4999999999999999E-2</v>
      </c>
      <c r="BB522" s="107">
        <f>BA522</f>
        <v>1.4999999999999999E-2</v>
      </c>
      <c r="BC522" s="107">
        <f t="shared" ref="BC522:BG522" si="181">BB522</f>
        <v>1.4999999999999999E-2</v>
      </c>
      <c r="BD522" s="107">
        <f t="shared" si="181"/>
        <v>1.4999999999999999E-2</v>
      </c>
      <c r="BE522" s="107">
        <f t="shared" si="181"/>
        <v>1.4999999999999999E-2</v>
      </c>
      <c r="BF522" s="107">
        <f t="shared" si="181"/>
        <v>1.4999999999999999E-2</v>
      </c>
      <c r="BG522" s="107">
        <f t="shared" si="181"/>
        <v>1.4999999999999999E-2</v>
      </c>
    </row>
    <row r="523" spans="1:59" ht="13.75" customHeight="1">
      <c r="A523" s="141" t="s">
        <v>166</v>
      </c>
      <c r="B523" s="142" t="s">
        <v>491</v>
      </c>
      <c r="C523" s="142" t="s">
        <v>510</v>
      </c>
      <c r="D523" s="142" t="s">
        <v>98</v>
      </c>
      <c r="F523" s="168" t="s">
        <v>514</v>
      </c>
      <c r="G523" s="109" t="s">
        <v>3</v>
      </c>
      <c r="I523" s="109" t="s">
        <v>498</v>
      </c>
      <c r="W523" s="109"/>
      <c r="Z523" s="107">
        <v>1.15E-2</v>
      </c>
      <c r="AA523" s="107">
        <v>2.2000000000000002E-2</v>
      </c>
      <c r="AB523" s="107">
        <v>0.01</v>
      </c>
      <c r="AC523" s="107">
        <v>-2.58E-2</v>
      </c>
      <c r="AD523" s="107">
        <v>0.15820000000000001</v>
      </c>
      <c r="AE523" s="107">
        <f t="shared" ref="AE523:AX523" si="182">AE522</f>
        <v>1.8000000000000002E-2</v>
      </c>
      <c r="AF523" s="107">
        <f t="shared" si="182"/>
        <v>1.4999999999999999E-2</v>
      </c>
      <c r="AG523" s="107">
        <f t="shared" si="182"/>
        <v>1.4999999999999999E-2</v>
      </c>
      <c r="AH523" s="107">
        <f t="shared" si="182"/>
        <v>1.4999999999999999E-2</v>
      </c>
      <c r="AI523" s="107">
        <f t="shared" si="182"/>
        <v>1.4999999999999999E-2</v>
      </c>
      <c r="AJ523" s="107">
        <f t="shared" si="182"/>
        <v>1.4999999999999999E-2</v>
      </c>
      <c r="AK523" s="107">
        <f t="shared" si="182"/>
        <v>1.4999999999999999E-2</v>
      </c>
      <c r="AL523" s="107">
        <f t="shared" si="182"/>
        <v>1.4999999999999999E-2</v>
      </c>
      <c r="AM523" s="107">
        <f t="shared" si="182"/>
        <v>1.4999999999999999E-2</v>
      </c>
      <c r="AN523" s="107">
        <f t="shared" si="182"/>
        <v>1.4999999999999999E-2</v>
      </c>
      <c r="AO523" s="107">
        <f t="shared" si="182"/>
        <v>1.4999999999999999E-2</v>
      </c>
      <c r="AP523" s="107">
        <f t="shared" si="182"/>
        <v>1.4999999999999999E-2</v>
      </c>
      <c r="AQ523" s="107">
        <f t="shared" si="182"/>
        <v>1.4999999999999999E-2</v>
      </c>
      <c r="AR523" s="107">
        <f t="shared" si="182"/>
        <v>1.4999999999999999E-2</v>
      </c>
      <c r="AS523" s="107">
        <f t="shared" si="182"/>
        <v>1.4999999999999999E-2</v>
      </c>
      <c r="AT523" s="107">
        <f t="shared" si="182"/>
        <v>1.4999999999999999E-2</v>
      </c>
      <c r="AU523" s="107">
        <f t="shared" si="182"/>
        <v>1.4999999999999999E-2</v>
      </c>
      <c r="AV523" s="107">
        <f t="shared" si="182"/>
        <v>1.4999999999999999E-2</v>
      </c>
      <c r="AW523" s="107">
        <f t="shared" si="182"/>
        <v>1.4999999999999999E-2</v>
      </c>
      <c r="AX523" s="107">
        <f t="shared" si="182"/>
        <v>1.4999999999999999E-2</v>
      </c>
      <c r="AY523" s="107">
        <f>AY522</f>
        <v>1.4999999999999999E-2</v>
      </c>
      <c r="AZ523" s="107">
        <f>AZ522</f>
        <v>1.4999999999999999E-2</v>
      </c>
      <c r="BA523" s="107">
        <f>BA522</f>
        <v>1.4999999999999999E-2</v>
      </c>
      <c r="BB523" s="107">
        <f>BB522</f>
        <v>1.4999999999999999E-2</v>
      </c>
      <c r="BC523" s="107">
        <f t="shared" ref="BC523:BG523" si="183">BC522</f>
        <v>1.4999999999999999E-2</v>
      </c>
      <c r="BD523" s="107">
        <f t="shared" si="183"/>
        <v>1.4999999999999999E-2</v>
      </c>
      <c r="BE523" s="107">
        <f t="shared" si="183"/>
        <v>1.4999999999999999E-2</v>
      </c>
      <c r="BF523" s="107">
        <f t="shared" si="183"/>
        <v>1.4999999999999999E-2</v>
      </c>
      <c r="BG523" s="107">
        <f t="shared" si="183"/>
        <v>1.4999999999999999E-2</v>
      </c>
    </row>
    <row r="524" spans="1:59" ht="13.75" customHeight="1">
      <c r="A524" s="141" t="s">
        <v>166</v>
      </c>
      <c r="B524" s="142" t="s">
        <v>491</v>
      </c>
      <c r="C524" s="142" t="s">
        <v>515</v>
      </c>
      <c r="D524" s="142" t="s">
        <v>87</v>
      </c>
      <c r="F524" s="168" t="s">
        <v>516</v>
      </c>
      <c r="G524" s="109" t="s">
        <v>494</v>
      </c>
      <c r="W524" s="111">
        <v>88.4</v>
      </c>
      <c r="X524" s="111">
        <v>108.8</v>
      </c>
      <c r="Y524" s="111">
        <v>111.28371675774135</v>
      </c>
      <c r="Z524" s="112">
        <v>107.7589</v>
      </c>
      <c r="AA524" s="111">
        <v>100.17507500000001</v>
      </c>
      <c r="AB524" s="112">
        <v>105</v>
      </c>
      <c r="AC524" s="112">
        <v>103</v>
      </c>
      <c r="AD524" s="112">
        <v>99</v>
      </c>
      <c r="AE524" s="112">
        <v>100.51282051282051</v>
      </c>
      <c r="AF524" s="112">
        <v>99.66101694915254</v>
      </c>
      <c r="AG524" s="112">
        <v>98.82352941176471</v>
      </c>
      <c r="AH524" s="112">
        <f t="shared" ref="AH524:AX524" si="184">AVERAGE(AG525:AH525)</f>
        <v>99.090756882078352</v>
      </c>
      <c r="AI524" s="112">
        <f t="shared" si="184"/>
        <v>99.656058305449164</v>
      </c>
      <c r="AJ524" s="112">
        <f t="shared" si="184"/>
        <v>100.25399465528187</v>
      </c>
      <c r="AK524" s="112">
        <f t="shared" si="184"/>
        <v>100.85551862321356</v>
      </c>
      <c r="AL524" s="112">
        <f t="shared" si="184"/>
        <v>101.46065173495285</v>
      </c>
      <c r="AM524" s="112">
        <f t="shared" si="184"/>
        <v>102.06941564536257</v>
      </c>
      <c r="AN524" s="112">
        <f t="shared" si="184"/>
        <v>102.68183213923473</v>
      </c>
      <c r="AO524" s="112">
        <f t="shared" si="184"/>
        <v>103.29792313207014</v>
      </c>
      <c r="AP524" s="112">
        <f t="shared" si="184"/>
        <v>103.91771067086256</v>
      </c>
      <c r="AQ524" s="112">
        <f t="shared" si="184"/>
        <v>104.54121693488773</v>
      </c>
      <c r="AR524" s="112">
        <f t="shared" si="184"/>
        <v>105.16846423649706</v>
      </c>
      <c r="AS524" s="112">
        <f t="shared" si="184"/>
        <v>105.79947502191604</v>
      </c>
      <c r="AT524" s="112">
        <f t="shared" si="184"/>
        <v>106.43427187204755</v>
      </c>
      <c r="AU524" s="112">
        <f t="shared" si="184"/>
        <v>107.07287750327984</v>
      </c>
      <c r="AV524" s="112">
        <f t="shared" si="184"/>
        <v>107.71531476829952</v>
      </c>
      <c r="AW524" s="112">
        <f t="shared" si="184"/>
        <v>108.36160665690932</v>
      </c>
      <c r="AX524" s="112">
        <f t="shared" si="184"/>
        <v>109.01177629685077</v>
      </c>
      <c r="AY524" s="112">
        <f>AVERAGE(AX525:AY525)</f>
        <v>109.66584695463189</v>
      </c>
      <c r="AZ524" s="112">
        <f>AVERAGE(AY525:AZ525)</f>
        <v>110.32384203635968</v>
      </c>
      <c r="BA524" s="112">
        <f>AVERAGE(AZ525:BA525)</f>
        <v>110.98578508857783</v>
      </c>
      <c r="BB524" s="112">
        <f>AVERAGE(BA525:BB525)</f>
        <v>111.65169979910929</v>
      </c>
      <c r="BC524" s="112">
        <f t="shared" ref="BC524:BG524" si="185">AVERAGE(BB525:BC525)</f>
        <v>112.32160999790395</v>
      </c>
      <c r="BD524" s="112">
        <f t="shared" si="185"/>
        <v>112.99553965789138</v>
      </c>
      <c r="BE524" s="112">
        <f t="shared" si="185"/>
        <v>113.67351289583874</v>
      </c>
      <c r="BF524" s="112">
        <f t="shared" si="185"/>
        <v>114.35555397321377</v>
      </c>
      <c r="BG524" s="112">
        <f t="shared" si="185"/>
        <v>115.04168729705304</v>
      </c>
    </row>
    <row r="525" spans="1:59" ht="13.75" customHeight="1">
      <c r="A525" s="141" t="s">
        <v>166</v>
      </c>
      <c r="B525" s="142" t="s">
        <v>491</v>
      </c>
      <c r="C525" s="142" t="s">
        <v>515</v>
      </c>
      <c r="D525" s="142" t="s">
        <v>87</v>
      </c>
      <c r="F525" s="168" t="s">
        <v>517</v>
      </c>
      <c r="G525" s="109" t="s">
        <v>494</v>
      </c>
      <c r="I525" s="109" t="s">
        <v>496</v>
      </c>
      <c r="W525" s="111">
        <v>99.5</v>
      </c>
      <c r="X525" s="111">
        <v>111.2</v>
      </c>
      <c r="Y525" s="111">
        <v>117.1353</v>
      </c>
      <c r="Z525" s="112">
        <v>99.115499999999997</v>
      </c>
      <c r="AA525" s="111">
        <v>103.38930000000001</v>
      </c>
      <c r="AB525" s="112">
        <v>104.9</v>
      </c>
      <c r="AC525" s="112">
        <v>95.66</v>
      </c>
      <c r="AD525" s="112">
        <v>103.387</v>
      </c>
      <c r="AE525" s="112">
        <v>100.51282051282051</v>
      </c>
      <c r="AF525" s="112">
        <v>99.66101694915254</v>
      </c>
      <c r="AG525" s="112">
        <v>98.82352941176471</v>
      </c>
      <c r="AH525" s="112">
        <f>AG525*(1+AH526-AH$4)</f>
        <v>99.357984352391995</v>
      </c>
      <c r="AI525" s="112">
        <f t="shared" ref="AI525:AR525" si="186">AH525*(1+AI526-AI$4)</f>
        <v>99.954132258506348</v>
      </c>
      <c r="AJ525" s="112">
        <f t="shared" si="186"/>
        <v>100.55385705205738</v>
      </c>
      <c r="AK525" s="112">
        <f t="shared" si="186"/>
        <v>101.15718019436973</v>
      </c>
      <c r="AL525" s="112">
        <f t="shared" si="186"/>
        <v>101.76412327553595</v>
      </c>
      <c r="AM525" s="112">
        <f t="shared" si="186"/>
        <v>102.37470801518917</v>
      </c>
      <c r="AN525" s="112">
        <f t="shared" si="186"/>
        <v>102.9889562632803</v>
      </c>
      <c r="AO525" s="112">
        <f t="shared" si="186"/>
        <v>103.60689000085998</v>
      </c>
      <c r="AP525" s="112">
        <f t="shared" si="186"/>
        <v>104.22853134086513</v>
      </c>
      <c r="AQ525" s="112">
        <f t="shared" si="186"/>
        <v>104.85390252891033</v>
      </c>
      <c r="AR525" s="112">
        <f t="shared" si="186"/>
        <v>105.48302594408379</v>
      </c>
      <c r="AS525" s="112">
        <f>AR525*(1+AS526-AS$4)</f>
        <v>106.1159240997483</v>
      </c>
      <c r="AT525" s="112">
        <f t="shared" ref="AT525:AX525" si="187">AS525*(1+AT526-AT$4)</f>
        <v>106.75261964434679</v>
      </c>
      <c r="AU525" s="112">
        <f t="shared" si="187"/>
        <v>107.39313536221287</v>
      </c>
      <c r="AV525" s="112">
        <f t="shared" si="187"/>
        <v>108.03749417438615</v>
      </c>
      <c r="AW525" s="112">
        <f t="shared" si="187"/>
        <v>108.68571913943248</v>
      </c>
      <c r="AX525" s="112">
        <f t="shared" si="187"/>
        <v>109.33783345426907</v>
      </c>
      <c r="AY525" s="112">
        <f>AX525*(1+AY526-AY$4)</f>
        <v>109.99386045499469</v>
      </c>
      <c r="AZ525" s="112">
        <f>AY525*(1+AZ526-AZ$4)</f>
        <v>110.65382361772465</v>
      </c>
      <c r="BA525" s="112">
        <f>AZ525*(1+BA526-BA$4)</f>
        <v>111.317746559431</v>
      </c>
      <c r="BB525" s="112">
        <f>BA525*(1+BB526-BB$4)</f>
        <v>111.98565303878759</v>
      </c>
      <c r="BC525" s="112">
        <f t="shared" ref="BC525:BG525" si="188">BB525*(1+BC526-BC$4)</f>
        <v>112.65756695702032</v>
      </c>
      <c r="BD525" s="112">
        <f t="shared" si="188"/>
        <v>113.33351235876245</v>
      </c>
      <c r="BE525" s="112">
        <f t="shared" si="188"/>
        <v>114.01351343291502</v>
      </c>
      <c r="BF525" s="112">
        <f t="shared" si="188"/>
        <v>114.69759451351251</v>
      </c>
      <c r="BG525" s="112">
        <f t="shared" si="188"/>
        <v>115.38578008059359</v>
      </c>
    </row>
    <row r="526" spans="1:59" ht="13.75" customHeight="1">
      <c r="A526" s="141" t="s">
        <v>166</v>
      </c>
      <c r="B526" s="142" t="s">
        <v>491</v>
      </c>
      <c r="C526" s="142" t="s">
        <v>515</v>
      </c>
      <c r="D526" s="142" t="s">
        <v>87</v>
      </c>
      <c r="F526" s="168" t="s">
        <v>518</v>
      </c>
      <c r="G526" s="109" t="s">
        <v>3</v>
      </c>
      <c r="I526" s="109" t="s">
        <v>498</v>
      </c>
      <c r="W526" s="107">
        <v>2.1000000000000001E-2</v>
      </c>
      <c r="X526" s="107">
        <v>1.3999999999999999E-2</v>
      </c>
      <c r="Y526" s="107">
        <v>1.125E-2</v>
      </c>
      <c r="Z526" s="107">
        <v>3.15E-2</v>
      </c>
      <c r="AA526" s="107">
        <v>1.9599999999999999E-2</v>
      </c>
      <c r="AB526" s="107">
        <v>1.9E-2</v>
      </c>
      <c r="AC526" s="107">
        <v>1.6E-2</v>
      </c>
      <c r="AD526" s="107">
        <v>7.9000000000000001E-2</v>
      </c>
      <c r="AE526" s="107">
        <v>2.4E-2</v>
      </c>
      <c r="AF526" s="107">
        <v>2.4E-2</v>
      </c>
      <c r="AG526" s="107">
        <v>2.6000000000000002E-2</v>
      </c>
      <c r="AH526" s="107">
        <f t="shared" ref="AH526:AX526" si="189">AG526</f>
        <v>2.6000000000000002E-2</v>
      </c>
      <c r="AI526" s="107">
        <f t="shared" si="189"/>
        <v>2.6000000000000002E-2</v>
      </c>
      <c r="AJ526" s="107">
        <f t="shared" si="189"/>
        <v>2.6000000000000002E-2</v>
      </c>
      <c r="AK526" s="107">
        <f t="shared" si="189"/>
        <v>2.6000000000000002E-2</v>
      </c>
      <c r="AL526" s="107">
        <f t="shared" si="189"/>
        <v>2.6000000000000002E-2</v>
      </c>
      <c r="AM526" s="107">
        <f t="shared" si="189"/>
        <v>2.6000000000000002E-2</v>
      </c>
      <c r="AN526" s="107">
        <f t="shared" si="189"/>
        <v>2.6000000000000002E-2</v>
      </c>
      <c r="AO526" s="107">
        <f t="shared" si="189"/>
        <v>2.6000000000000002E-2</v>
      </c>
      <c r="AP526" s="107">
        <f t="shared" si="189"/>
        <v>2.6000000000000002E-2</v>
      </c>
      <c r="AQ526" s="107">
        <f t="shared" si="189"/>
        <v>2.6000000000000002E-2</v>
      </c>
      <c r="AR526" s="107">
        <f t="shared" si="189"/>
        <v>2.6000000000000002E-2</v>
      </c>
      <c r="AS526" s="107">
        <f t="shared" si="189"/>
        <v>2.6000000000000002E-2</v>
      </c>
      <c r="AT526" s="107">
        <f t="shared" si="189"/>
        <v>2.6000000000000002E-2</v>
      </c>
      <c r="AU526" s="107">
        <f t="shared" si="189"/>
        <v>2.6000000000000002E-2</v>
      </c>
      <c r="AV526" s="107">
        <f t="shared" si="189"/>
        <v>2.6000000000000002E-2</v>
      </c>
      <c r="AW526" s="107">
        <f t="shared" si="189"/>
        <v>2.6000000000000002E-2</v>
      </c>
      <c r="AX526" s="107">
        <f t="shared" si="189"/>
        <v>2.6000000000000002E-2</v>
      </c>
      <c r="AY526" s="107">
        <f>AX526</f>
        <v>2.6000000000000002E-2</v>
      </c>
      <c r="AZ526" s="107">
        <f>AY526</f>
        <v>2.6000000000000002E-2</v>
      </c>
      <c r="BA526" s="107">
        <f>AZ526</f>
        <v>2.6000000000000002E-2</v>
      </c>
      <c r="BB526" s="107">
        <f>BA526</f>
        <v>2.6000000000000002E-2</v>
      </c>
      <c r="BC526" s="107">
        <f t="shared" ref="BC526:BG526" si="190">BB526</f>
        <v>2.6000000000000002E-2</v>
      </c>
      <c r="BD526" s="107">
        <f t="shared" si="190"/>
        <v>2.6000000000000002E-2</v>
      </c>
      <c r="BE526" s="107">
        <f t="shared" si="190"/>
        <v>2.6000000000000002E-2</v>
      </c>
      <c r="BF526" s="107">
        <f t="shared" si="190"/>
        <v>2.6000000000000002E-2</v>
      </c>
      <c r="BG526" s="107">
        <f t="shared" si="190"/>
        <v>2.6000000000000002E-2</v>
      </c>
    </row>
    <row r="527" spans="1:59" ht="13.75" customHeight="1">
      <c r="A527" s="141" t="s">
        <v>166</v>
      </c>
      <c r="B527" s="142" t="s">
        <v>491</v>
      </c>
      <c r="C527" s="142" t="s">
        <v>515</v>
      </c>
      <c r="D527" s="142" t="s">
        <v>98</v>
      </c>
      <c r="F527" s="168" t="s">
        <v>519</v>
      </c>
      <c r="G527" s="109" t="s">
        <v>3</v>
      </c>
      <c r="I527" s="109" t="s">
        <v>498</v>
      </c>
      <c r="W527" s="109"/>
      <c r="Y527" s="107">
        <v>1.125E-2</v>
      </c>
      <c r="Z527" s="107">
        <v>3.15E-2</v>
      </c>
      <c r="AA527" s="107">
        <v>1.9599999999999999E-2</v>
      </c>
      <c r="AB527" s="107">
        <v>4.4999999999999998E-2</v>
      </c>
      <c r="AC527" s="107">
        <v>4.4999999999999998E-2</v>
      </c>
      <c r="AD527" s="107">
        <v>4.4999999999999998E-2</v>
      </c>
      <c r="AE527" s="107">
        <f t="shared" ref="AE527:AX527" si="191">AE526</f>
        <v>2.4E-2</v>
      </c>
      <c r="AF527" s="107">
        <f t="shared" si="191"/>
        <v>2.4E-2</v>
      </c>
      <c r="AG527" s="107">
        <f t="shared" si="191"/>
        <v>2.6000000000000002E-2</v>
      </c>
      <c r="AH527" s="107">
        <f t="shared" si="191"/>
        <v>2.6000000000000002E-2</v>
      </c>
      <c r="AI527" s="107">
        <f t="shared" si="191"/>
        <v>2.6000000000000002E-2</v>
      </c>
      <c r="AJ527" s="107">
        <f t="shared" si="191"/>
        <v>2.6000000000000002E-2</v>
      </c>
      <c r="AK527" s="107">
        <f t="shared" si="191"/>
        <v>2.6000000000000002E-2</v>
      </c>
      <c r="AL527" s="107">
        <f t="shared" si="191"/>
        <v>2.6000000000000002E-2</v>
      </c>
      <c r="AM527" s="107">
        <f t="shared" si="191"/>
        <v>2.6000000000000002E-2</v>
      </c>
      <c r="AN527" s="107">
        <f t="shared" si="191"/>
        <v>2.6000000000000002E-2</v>
      </c>
      <c r="AO527" s="107">
        <f t="shared" si="191"/>
        <v>2.6000000000000002E-2</v>
      </c>
      <c r="AP527" s="107">
        <f t="shared" si="191"/>
        <v>2.6000000000000002E-2</v>
      </c>
      <c r="AQ527" s="107">
        <f t="shared" si="191"/>
        <v>2.6000000000000002E-2</v>
      </c>
      <c r="AR527" s="107">
        <f t="shared" si="191"/>
        <v>2.6000000000000002E-2</v>
      </c>
      <c r="AS527" s="107">
        <f t="shared" si="191"/>
        <v>2.6000000000000002E-2</v>
      </c>
      <c r="AT527" s="107">
        <f t="shared" si="191"/>
        <v>2.6000000000000002E-2</v>
      </c>
      <c r="AU527" s="107">
        <f t="shared" si="191"/>
        <v>2.6000000000000002E-2</v>
      </c>
      <c r="AV527" s="107">
        <f t="shared" si="191"/>
        <v>2.6000000000000002E-2</v>
      </c>
      <c r="AW527" s="107">
        <f t="shared" si="191"/>
        <v>2.6000000000000002E-2</v>
      </c>
      <c r="AX527" s="107">
        <f t="shared" si="191"/>
        <v>2.6000000000000002E-2</v>
      </c>
      <c r="AY527" s="107">
        <f>AY526</f>
        <v>2.6000000000000002E-2</v>
      </c>
      <c r="AZ527" s="107">
        <f>AZ526</f>
        <v>2.6000000000000002E-2</v>
      </c>
      <c r="BA527" s="107">
        <f>BA526</f>
        <v>2.6000000000000002E-2</v>
      </c>
      <c r="BB527" s="107">
        <f>BB526</f>
        <v>2.6000000000000002E-2</v>
      </c>
      <c r="BC527" s="107">
        <f t="shared" ref="BC527:BG527" si="192">BC526</f>
        <v>2.6000000000000002E-2</v>
      </c>
      <c r="BD527" s="107">
        <f t="shared" si="192"/>
        <v>2.6000000000000002E-2</v>
      </c>
      <c r="BE527" s="107">
        <f t="shared" si="192"/>
        <v>2.6000000000000002E-2</v>
      </c>
      <c r="BF527" s="107">
        <f t="shared" si="192"/>
        <v>2.6000000000000002E-2</v>
      </c>
      <c r="BG527" s="107">
        <f t="shared" si="192"/>
        <v>2.6000000000000002E-2</v>
      </c>
    </row>
    <row r="528" spans="1:59" ht="13.75" customHeight="1">
      <c r="A528" s="141" t="s">
        <v>166</v>
      </c>
      <c r="B528" s="142" t="s">
        <v>491</v>
      </c>
      <c r="C528" s="142" t="s">
        <v>520</v>
      </c>
      <c r="D528" s="142" t="s">
        <v>87</v>
      </c>
      <c r="F528" s="168" t="s">
        <v>521</v>
      </c>
      <c r="G528" s="109" t="s">
        <v>494</v>
      </c>
      <c r="V528" s="111">
        <v>0.75301204819277101</v>
      </c>
      <c r="W528" s="111">
        <v>0.75757575757575757</v>
      </c>
      <c r="X528" s="111">
        <v>0.90102680916158218</v>
      </c>
      <c r="Y528" s="111">
        <v>0.90290869916509553</v>
      </c>
      <c r="Z528" s="111">
        <v>0.88481656490336635</v>
      </c>
      <c r="AA528" s="111">
        <v>0.84695910881422631</v>
      </c>
      <c r="AB528" s="111">
        <v>0.89336164525314177</v>
      </c>
      <c r="AC528" s="111">
        <v>0.87719298245614041</v>
      </c>
      <c r="AD528" s="111">
        <v>0.84033613445378152</v>
      </c>
      <c r="AE528" s="111">
        <f>1/AE35</f>
        <v>0.95088866070413236</v>
      </c>
      <c r="AF528" s="111">
        <f t="shared" ref="AF528:AX529" si="193">1/AF35</f>
        <v>0.92758467148997403</v>
      </c>
      <c r="AG528" s="111">
        <f t="shared" si="193"/>
        <v>0.97402597402597391</v>
      </c>
      <c r="AH528" s="111">
        <f t="shared" si="193"/>
        <v>0.96153846153846145</v>
      </c>
      <c r="AI528" s="111">
        <f t="shared" si="193"/>
        <v>0.96153846153846145</v>
      </c>
      <c r="AJ528" s="111">
        <f t="shared" si="193"/>
        <v>0.96153846153846145</v>
      </c>
      <c r="AK528" s="111">
        <f t="shared" si="193"/>
        <v>0.96153846153846145</v>
      </c>
      <c r="AL528" s="111">
        <f t="shared" si="193"/>
        <v>0.96153846153846145</v>
      </c>
      <c r="AM528" s="111">
        <f t="shared" si="193"/>
        <v>0.96153846153846145</v>
      </c>
      <c r="AN528" s="111">
        <f t="shared" si="193"/>
        <v>0.96153846153846145</v>
      </c>
      <c r="AO528" s="111">
        <f t="shared" si="193"/>
        <v>0.96153846153846145</v>
      </c>
      <c r="AP528" s="111">
        <f t="shared" si="193"/>
        <v>0.96153846153846145</v>
      </c>
      <c r="AQ528" s="111">
        <f t="shared" si="193"/>
        <v>0.96153846153846145</v>
      </c>
      <c r="AR528" s="111">
        <f t="shared" si="193"/>
        <v>0.96153846153846145</v>
      </c>
      <c r="AS528" s="111">
        <f t="shared" si="193"/>
        <v>0.96153846153846145</v>
      </c>
      <c r="AT528" s="111">
        <f t="shared" si="193"/>
        <v>0.96153846153846145</v>
      </c>
      <c r="AU528" s="111">
        <f t="shared" si="193"/>
        <v>0.96153846153846145</v>
      </c>
      <c r="AV528" s="111">
        <f t="shared" si="193"/>
        <v>0.96153846153846145</v>
      </c>
      <c r="AW528" s="111">
        <f t="shared" si="193"/>
        <v>0.96153846153846145</v>
      </c>
      <c r="AX528" s="111">
        <f t="shared" si="193"/>
        <v>0.96153846153846145</v>
      </c>
      <c r="AY528" s="111">
        <f>1/AY35</f>
        <v>0.96153846153846145</v>
      </c>
      <c r="AZ528" s="111">
        <f>1/AZ35</f>
        <v>0.96153846153846145</v>
      </c>
      <c r="BA528" s="111">
        <f>1/BA35</f>
        <v>0.96153846153846145</v>
      </c>
      <c r="BB528" s="111">
        <f>1/BB35</f>
        <v>0.96153846153846145</v>
      </c>
      <c r="BC528" s="111">
        <f t="shared" ref="BC528:BG529" si="194">1/BC35</f>
        <v>0.96153846153846145</v>
      </c>
      <c r="BD528" s="111">
        <f t="shared" si="194"/>
        <v>0.96153846153846145</v>
      </c>
      <c r="BE528" s="111">
        <f t="shared" si="194"/>
        <v>0.96153846153846145</v>
      </c>
      <c r="BF528" s="111">
        <f t="shared" si="194"/>
        <v>0.96153846153846145</v>
      </c>
      <c r="BG528" s="111">
        <f t="shared" si="194"/>
        <v>0.96153846153846145</v>
      </c>
    </row>
    <row r="529" spans="1:59" ht="13.75" customHeight="1">
      <c r="A529" s="141" t="s">
        <v>166</v>
      </c>
      <c r="B529" s="142" t="s">
        <v>491</v>
      </c>
      <c r="C529" s="142" t="s">
        <v>520</v>
      </c>
      <c r="D529" s="142" t="s">
        <v>87</v>
      </c>
      <c r="F529" s="168" t="s">
        <v>522</v>
      </c>
      <c r="G529" s="109" t="s">
        <v>494</v>
      </c>
      <c r="I529" s="109" t="s">
        <v>496</v>
      </c>
      <c r="V529" s="111">
        <v>0.72727272727272729</v>
      </c>
      <c r="W529" s="111">
        <v>0.82644628099173556</v>
      </c>
      <c r="X529" s="116">
        <v>0.91743119266054995</v>
      </c>
      <c r="Y529" s="111">
        <v>0.95093191327500948</v>
      </c>
      <c r="Z529" s="111">
        <v>0.8337502084375521</v>
      </c>
      <c r="AA529" s="111">
        <v>0.87290502793296088</v>
      </c>
      <c r="AB529" s="111">
        <v>0.89190153407063855</v>
      </c>
      <c r="AC529" s="111">
        <v>0.81300813008130079</v>
      </c>
      <c r="AD529" s="111">
        <v>0.87950747581354438</v>
      </c>
      <c r="AE529" s="111">
        <f>1/AE36</f>
        <v>0.95088866070413236</v>
      </c>
      <c r="AF529" s="111">
        <f t="shared" si="193"/>
        <v>0.92758467148997403</v>
      </c>
      <c r="AG529" s="111">
        <f t="shared" si="193"/>
        <v>0.97402597402597391</v>
      </c>
      <c r="AH529" s="111">
        <f t="shared" si="193"/>
        <v>0.96153846153846145</v>
      </c>
      <c r="AI529" s="111">
        <f t="shared" si="193"/>
        <v>0.96153846153846145</v>
      </c>
      <c r="AJ529" s="111">
        <f t="shared" si="193"/>
        <v>0.96153846153846145</v>
      </c>
      <c r="AK529" s="111">
        <f t="shared" si="193"/>
        <v>0.96153846153846145</v>
      </c>
      <c r="AL529" s="111">
        <f t="shared" si="193"/>
        <v>0.96153846153846145</v>
      </c>
      <c r="AM529" s="111">
        <f t="shared" si="193"/>
        <v>0.96153846153846145</v>
      </c>
      <c r="AN529" s="111">
        <f t="shared" si="193"/>
        <v>0.96153846153846145</v>
      </c>
      <c r="AO529" s="111">
        <f t="shared" si="193"/>
        <v>0.96153846153846145</v>
      </c>
      <c r="AP529" s="111">
        <f t="shared" si="193"/>
        <v>0.96153846153846145</v>
      </c>
      <c r="AQ529" s="111">
        <f t="shared" si="193"/>
        <v>0.96153846153846145</v>
      </c>
      <c r="AR529" s="111">
        <f t="shared" si="193"/>
        <v>0.96153846153846145</v>
      </c>
      <c r="AS529" s="111">
        <f t="shared" si="193"/>
        <v>0.96153846153846145</v>
      </c>
      <c r="AT529" s="111">
        <f t="shared" si="193"/>
        <v>0.96153846153846145</v>
      </c>
      <c r="AU529" s="111">
        <f t="shared" si="193"/>
        <v>0.96153846153846145</v>
      </c>
      <c r="AV529" s="111">
        <f t="shared" si="193"/>
        <v>0.96153846153846145</v>
      </c>
      <c r="AW529" s="111">
        <f t="shared" si="193"/>
        <v>0.96153846153846145</v>
      </c>
      <c r="AX529" s="111">
        <f t="shared" si="193"/>
        <v>0.96153846153846145</v>
      </c>
      <c r="AY529" s="111">
        <f>1/AY36</f>
        <v>0.96153846153846145</v>
      </c>
      <c r="AZ529" s="111">
        <f>1/AZ36</f>
        <v>0.96153846153846145</v>
      </c>
      <c r="BA529" s="111">
        <f>1/BA36</f>
        <v>0.96153846153846145</v>
      </c>
      <c r="BB529" s="111">
        <f t="shared" ref="BB529" si="195">1/BB36</f>
        <v>0.96153846153846145</v>
      </c>
      <c r="BC529" s="111">
        <f t="shared" si="194"/>
        <v>0.96153846153846145</v>
      </c>
      <c r="BD529" s="111">
        <f t="shared" si="194"/>
        <v>0.96153846153846145</v>
      </c>
      <c r="BE529" s="111">
        <f t="shared" si="194"/>
        <v>0.96153846153846145</v>
      </c>
      <c r="BF529" s="111">
        <f t="shared" si="194"/>
        <v>0.96153846153846145</v>
      </c>
      <c r="BG529" s="111">
        <f t="shared" si="194"/>
        <v>0.96153846153846145</v>
      </c>
    </row>
    <row r="530" spans="1:59" ht="13.75" customHeight="1">
      <c r="A530" s="141" t="s">
        <v>166</v>
      </c>
      <c r="B530" s="142" t="s">
        <v>491</v>
      </c>
      <c r="C530" s="142" t="s">
        <v>520</v>
      </c>
      <c r="D530" s="142" t="s">
        <v>87</v>
      </c>
      <c r="F530" s="168" t="s">
        <v>523</v>
      </c>
      <c r="G530" s="109" t="s">
        <v>3</v>
      </c>
      <c r="I530" s="109" t="s">
        <v>498</v>
      </c>
      <c r="V530" s="107">
        <v>1.9E-2</v>
      </c>
      <c r="W530" s="107">
        <v>4.0000000000000001E-3</v>
      </c>
      <c r="X530" s="107">
        <v>-8.0000000000000002E-3</v>
      </c>
      <c r="Y530" s="107">
        <v>-1E-3</v>
      </c>
      <c r="Z530" s="107">
        <v>1.3999999999999999E-2</v>
      </c>
      <c r="AA530" s="107">
        <v>1.7000000000000001E-2</v>
      </c>
      <c r="AB530" s="107">
        <v>1.6E-2</v>
      </c>
      <c r="AC530" s="107">
        <v>-2.9999999999999997E-4</v>
      </c>
      <c r="AD530" s="107">
        <v>4.9000000000000002E-2</v>
      </c>
      <c r="AE530" s="107">
        <v>1.7000000000000001E-2</v>
      </c>
      <c r="AF530" s="107">
        <v>1.8000000000000002E-2</v>
      </c>
      <c r="AG530" s="107">
        <v>1.8000000000000002E-2</v>
      </c>
      <c r="AH530" s="107">
        <f t="shared" ref="AH530:AX530" si="196">AG530</f>
        <v>1.8000000000000002E-2</v>
      </c>
      <c r="AI530" s="107">
        <f t="shared" si="196"/>
        <v>1.8000000000000002E-2</v>
      </c>
      <c r="AJ530" s="107">
        <f t="shared" si="196"/>
        <v>1.8000000000000002E-2</v>
      </c>
      <c r="AK530" s="107">
        <f t="shared" si="196"/>
        <v>1.8000000000000002E-2</v>
      </c>
      <c r="AL530" s="107">
        <f t="shared" si="196"/>
        <v>1.8000000000000002E-2</v>
      </c>
      <c r="AM530" s="107">
        <f t="shared" si="196"/>
        <v>1.8000000000000002E-2</v>
      </c>
      <c r="AN530" s="107">
        <f t="shared" si="196"/>
        <v>1.8000000000000002E-2</v>
      </c>
      <c r="AO530" s="107">
        <f t="shared" si="196"/>
        <v>1.8000000000000002E-2</v>
      </c>
      <c r="AP530" s="107">
        <f t="shared" si="196"/>
        <v>1.8000000000000002E-2</v>
      </c>
      <c r="AQ530" s="107">
        <f t="shared" si="196"/>
        <v>1.8000000000000002E-2</v>
      </c>
      <c r="AR530" s="107">
        <f t="shared" si="196"/>
        <v>1.8000000000000002E-2</v>
      </c>
      <c r="AS530" s="107">
        <f t="shared" si="196"/>
        <v>1.8000000000000002E-2</v>
      </c>
      <c r="AT530" s="107">
        <f t="shared" si="196"/>
        <v>1.8000000000000002E-2</v>
      </c>
      <c r="AU530" s="107">
        <f t="shared" si="196"/>
        <v>1.8000000000000002E-2</v>
      </c>
      <c r="AV530" s="107">
        <f t="shared" si="196"/>
        <v>1.8000000000000002E-2</v>
      </c>
      <c r="AW530" s="107">
        <f t="shared" si="196"/>
        <v>1.8000000000000002E-2</v>
      </c>
      <c r="AX530" s="107">
        <f t="shared" si="196"/>
        <v>1.8000000000000002E-2</v>
      </c>
      <c r="AY530" s="107">
        <f>AX530</f>
        <v>1.8000000000000002E-2</v>
      </c>
      <c r="AZ530" s="107">
        <f>AY530</f>
        <v>1.8000000000000002E-2</v>
      </c>
      <c r="BA530" s="107">
        <f>AZ530</f>
        <v>1.8000000000000002E-2</v>
      </c>
      <c r="BB530" s="107">
        <f>BA530</f>
        <v>1.8000000000000002E-2</v>
      </c>
      <c r="BC530" s="107">
        <f t="shared" ref="BC530:BG530" si="197">BB530</f>
        <v>1.8000000000000002E-2</v>
      </c>
      <c r="BD530" s="107">
        <f t="shared" si="197"/>
        <v>1.8000000000000002E-2</v>
      </c>
      <c r="BE530" s="107">
        <f t="shared" si="197"/>
        <v>1.8000000000000002E-2</v>
      </c>
      <c r="BF530" s="107">
        <f t="shared" si="197"/>
        <v>1.8000000000000002E-2</v>
      </c>
      <c r="BG530" s="107">
        <f t="shared" si="197"/>
        <v>1.8000000000000002E-2</v>
      </c>
    </row>
    <row r="531" spans="1:59" ht="13.75" customHeight="1">
      <c r="A531" s="141" t="s">
        <v>166</v>
      </c>
      <c r="B531" s="142" t="s">
        <v>491</v>
      </c>
      <c r="C531" s="142" t="s">
        <v>520</v>
      </c>
      <c r="D531" s="142" t="s">
        <v>98</v>
      </c>
      <c r="F531" s="168" t="s">
        <v>524</v>
      </c>
      <c r="G531" s="109" t="s">
        <v>3</v>
      </c>
      <c r="I531" s="109" t="s">
        <v>498</v>
      </c>
      <c r="W531" s="109"/>
      <c r="Z531" s="107">
        <v>1.5599999999999999E-2</v>
      </c>
      <c r="AA531" s="107">
        <v>2.0667000000000001E-2</v>
      </c>
      <c r="AB531" s="107">
        <v>5.0000000000000001E-3</v>
      </c>
      <c r="AC531" s="107">
        <v>-2E-3</v>
      </c>
      <c r="AD531" s="107">
        <v>0.106</v>
      </c>
      <c r="AE531" s="107">
        <f t="shared" ref="AE531:AX531" si="198">AE530</f>
        <v>1.7000000000000001E-2</v>
      </c>
      <c r="AF531" s="107">
        <f t="shared" si="198"/>
        <v>1.8000000000000002E-2</v>
      </c>
      <c r="AG531" s="107">
        <f t="shared" si="198"/>
        <v>1.8000000000000002E-2</v>
      </c>
      <c r="AH531" s="107">
        <f t="shared" si="198"/>
        <v>1.8000000000000002E-2</v>
      </c>
      <c r="AI531" s="107">
        <f t="shared" si="198"/>
        <v>1.8000000000000002E-2</v>
      </c>
      <c r="AJ531" s="107">
        <f t="shared" si="198"/>
        <v>1.8000000000000002E-2</v>
      </c>
      <c r="AK531" s="107">
        <f t="shared" si="198"/>
        <v>1.8000000000000002E-2</v>
      </c>
      <c r="AL531" s="107">
        <f t="shared" si="198"/>
        <v>1.8000000000000002E-2</v>
      </c>
      <c r="AM531" s="107">
        <f t="shared" si="198"/>
        <v>1.8000000000000002E-2</v>
      </c>
      <c r="AN531" s="107">
        <f t="shared" si="198"/>
        <v>1.8000000000000002E-2</v>
      </c>
      <c r="AO531" s="107">
        <f t="shared" si="198"/>
        <v>1.8000000000000002E-2</v>
      </c>
      <c r="AP531" s="107">
        <f t="shared" si="198"/>
        <v>1.8000000000000002E-2</v>
      </c>
      <c r="AQ531" s="107">
        <f t="shared" si="198"/>
        <v>1.8000000000000002E-2</v>
      </c>
      <c r="AR531" s="107">
        <f t="shared" si="198"/>
        <v>1.8000000000000002E-2</v>
      </c>
      <c r="AS531" s="107">
        <f t="shared" si="198"/>
        <v>1.8000000000000002E-2</v>
      </c>
      <c r="AT531" s="107">
        <f t="shared" si="198"/>
        <v>1.8000000000000002E-2</v>
      </c>
      <c r="AU531" s="107">
        <f t="shared" si="198"/>
        <v>1.8000000000000002E-2</v>
      </c>
      <c r="AV531" s="107">
        <f t="shared" si="198"/>
        <v>1.8000000000000002E-2</v>
      </c>
      <c r="AW531" s="107">
        <f t="shared" si="198"/>
        <v>1.8000000000000002E-2</v>
      </c>
      <c r="AX531" s="107">
        <f t="shared" si="198"/>
        <v>1.8000000000000002E-2</v>
      </c>
      <c r="AY531" s="107">
        <f>AY530</f>
        <v>1.8000000000000002E-2</v>
      </c>
      <c r="AZ531" s="107">
        <f>AZ530</f>
        <v>1.8000000000000002E-2</v>
      </c>
      <c r="BA531" s="107">
        <f>BA530</f>
        <v>1.8000000000000002E-2</v>
      </c>
      <c r="BB531" s="107">
        <f>BB530</f>
        <v>1.8000000000000002E-2</v>
      </c>
      <c r="BC531" s="107">
        <f t="shared" ref="BC531:BG531" si="199">BC530</f>
        <v>1.8000000000000002E-2</v>
      </c>
      <c r="BD531" s="107">
        <f t="shared" si="199"/>
        <v>1.8000000000000002E-2</v>
      </c>
      <c r="BE531" s="107">
        <f t="shared" si="199"/>
        <v>1.8000000000000002E-2</v>
      </c>
      <c r="BF531" s="107">
        <f t="shared" si="199"/>
        <v>1.8000000000000002E-2</v>
      </c>
      <c r="BG531" s="107">
        <f t="shared" si="199"/>
        <v>1.8000000000000002E-2</v>
      </c>
    </row>
    <row r="532" spans="1:59" ht="13.75" customHeight="1">
      <c r="A532" s="141" t="s">
        <v>166</v>
      </c>
      <c r="B532" s="142" t="s">
        <v>491</v>
      </c>
      <c r="C532" s="142" t="s">
        <v>525</v>
      </c>
      <c r="D532" s="142" t="s">
        <v>87</v>
      </c>
      <c r="F532" s="168" t="s">
        <v>526</v>
      </c>
      <c r="G532" s="109" t="s">
        <v>494</v>
      </c>
      <c r="U532" s="109">
        <v>1.5225</v>
      </c>
      <c r="V532" s="111">
        <v>1.4727409638554216</v>
      </c>
      <c r="W532" s="111">
        <v>1.4716328066215201</v>
      </c>
      <c r="X532" s="116">
        <v>1.7619819819819817</v>
      </c>
      <c r="Y532" s="111">
        <v>1.7676462696066966</v>
      </c>
      <c r="Z532" s="111">
        <v>1.7282999999999999</v>
      </c>
      <c r="AA532" s="111">
        <v>1.65</v>
      </c>
      <c r="AB532" s="111">
        <v>1.75</v>
      </c>
      <c r="AC532" s="111">
        <v>1.6050684043594996</v>
      </c>
      <c r="AD532" s="111">
        <v>1.6388335233995801</v>
      </c>
      <c r="AE532" s="111">
        <v>1.6504641350210969</v>
      </c>
      <c r="AF532" s="111">
        <v>1.6366527196652723</v>
      </c>
      <c r="AG532" s="111">
        <v>1.623070539419087</v>
      </c>
      <c r="AH532" s="111">
        <f>AVERAGE(AG533:AH533)</f>
        <v>1.6130566977909635</v>
      </c>
      <c r="AI532" s="111">
        <f>AVERAGE(AH533:AI533)</f>
        <v>1.6069326971396583</v>
      </c>
      <c r="AJ532" s="111">
        <f t="shared" ref="AJ532:AX532" si="200">AVERAGE(AI533:AJ533)</f>
        <v>1.6013084326996694</v>
      </c>
      <c r="AK532" s="111">
        <f t="shared" si="200"/>
        <v>1.5957038531852201</v>
      </c>
      <c r="AL532" s="111">
        <f t="shared" si="200"/>
        <v>1.5901188896990717</v>
      </c>
      <c r="AM532" s="111">
        <f t="shared" si="200"/>
        <v>1.584553473585125</v>
      </c>
      <c r="AN532" s="111">
        <f t="shared" si="200"/>
        <v>1.5790075364275769</v>
      </c>
      <c r="AO532" s="111">
        <f t="shared" si="200"/>
        <v>1.5734810100500802</v>
      </c>
      <c r="AP532" s="111">
        <f t="shared" si="200"/>
        <v>1.5679738265149048</v>
      </c>
      <c r="AQ532" s="111">
        <f t="shared" si="200"/>
        <v>1.5624859181221025</v>
      </c>
      <c r="AR532" s="111">
        <f t="shared" si="200"/>
        <v>1.5570172174086749</v>
      </c>
      <c r="AS532" s="111">
        <f t="shared" si="200"/>
        <v>1.5515676571477446</v>
      </c>
      <c r="AT532" s="111">
        <f t="shared" si="200"/>
        <v>1.5461371703477274</v>
      </c>
      <c r="AU532" s="111">
        <f t="shared" si="200"/>
        <v>1.5407256902515103</v>
      </c>
      <c r="AV532" s="111">
        <f t="shared" si="200"/>
        <v>1.53533315033563</v>
      </c>
      <c r="AW532" s="111">
        <f t="shared" si="200"/>
        <v>1.5299594843094553</v>
      </c>
      <c r="AX532" s="111">
        <f t="shared" si="200"/>
        <v>1.524604626114372</v>
      </c>
      <c r="AY532" s="111">
        <f>AVERAGE(AX533:AY533)</f>
        <v>1.5192685099229717</v>
      </c>
      <c r="AZ532" s="111">
        <f>AVERAGE(AY533:AZ533)</f>
        <v>1.5139510701382413</v>
      </c>
      <c r="BA532" s="111">
        <f>AVERAGE(AZ533:BA533)</f>
        <v>1.5086522413927574</v>
      </c>
      <c r="BB532" s="111">
        <f>AVERAGE(BA533:BB533)</f>
        <v>1.5033719585478824</v>
      </c>
      <c r="BC532" s="111">
        <f t="shared" ref="BC532:BG532" si="201">AVERAGE(BB533:BC533)</f>
        <v>1.4981101566929649</v>
      </c>
      <c r="BD532" s="111">
        <f t="shared" si="201"/>
        <v>1.4928667711445391</v>
      </c>
      <c r="BE532" s="111">
        <f t="shared" si="201"/>
        <v>1.4876417374455333</v>
      </c>
      <c r="BF532" s="111">
        <f t="shared" si="201"/>
        <v>1.4824349913644739</v>
      </c>
      <c r="BG532" s="111">
        <f t="shared" si="201"/>
        <v>1.4772464688946982</v>
      </c>
    </row>
    <row r="533" spans="1:59" ht="13.75" customHeight="1">
      <c r="A533" s="141" t="s">
        <v>166</v>
      </c>
      <c r="B533" s="142" t="s">
        <v>491</v>
      </c>
      <c r="C533" s="142" t="s">
        <v>525</v>
      </c>
      <c r="D533" s="142" t="s">
        <v>87</v>
      </c>
      <c r="F533" s="168" t="s">
        <v>527</v>
      </c>
      <c r="G533" s="109" t="s">
        <v>494</v>
      </c>
      <c r="I533" s="109" t="s">
        <v>496</v>
      </c>
      <c r="U533" s="109">
        <v>1.48</v>
      </c>
      <c r="V533" s="111">
        <v>1.4223999999999999</v>
      </c>
      <c r="W533" s="111">
        <v>1.6163636363636364</v>
      </c>
      <c r="X533" s="116">
        <v>1.7943119266055045</v>
      </c>
      <c r="Y533" s="111">
        <v>1.8603633596499574</v>
      </c>
      <c r="Z533" s="111">
        <v>1.6301000000000001</v>
      </c>
      <c r="AA533" s="111">
        <v>1.71</v>
      </c>
      <c r="AB533" s="111">
        <v>1.74</v>
      </c>
      <c r="AC533" s="111">
        <v>1.6031147540983606</v>
      </c>
      <c r="AD533" s="111">
        <v>1.7261</v>
      </c>
      <c r="AE533" s="111">
        <v>1.6435294117647059</v>
      </c>
      <c r="AF533" s="111">
        <v>1.6298333333333335</v>
      </c>
      <c r="AG533" s="111">
        <v>1.6163636363636364</v>
      </c>
      <c r="AH533" s="112">
        <f>AG533*(1+AH534-AH$4)</f>
        <v>1.6097497592182903</v>
      </c>
      <c r="AI533" s="112">
        <f t="shared" ref="AI533:AR533" si="202">AH533*(1+AI534-AI$4)</f>
        <v>1.6041156350610262</v>
      </c>
      <c r="AJ533" s="112">
        <f t="shared" si="202"/>
        <v>1.5985012303383124</v>
      </c>
      <c r="AK533" s="112">
        <f t="shared" si="202"/>
        <v>1.5929064760321281</v>
      </c>
      <c r="AL533" s="112">
        <f t="shared" si="202"/>
        <v>1.5873313033660155</v>
      </c>
      <c r="AM533" s="112">
        <f t="shared" si="202"/>
        <v>1.5817756438042343</v>
      </c>
      <c r="AN533" s="112">
        <f t="shared" si="202"/>
        <v>1.5762394290509194</v>
      </c>
      <c r="AO533" s="112">
        <f t="shared" si="202"/>
        <v>1.5707225910492411</v>
      </c>
      <c r="AP533" s="112">
        <f t="shared" si="202"/>
        <v>1.5652250619805685</v>
      </c>
      <c r="AQ533" s="112">
        <f t="shared" si="202"/>
        <v>1.5597467742636364</v>
      </c>
      <c r="AR533" s="112">
        <f t="shared" si="202"/>
        <v>1.5542876605537135</v>
      </c>
      <c r="AS533" s="112">
        <f>AR533*(1+AS534-AS$4)</f>
        <v>1.5488476537417755</v>
      </c>
      <c r="AT533" s="112">
        <f t="shared" ref="AT533:AX533" si="203">AS533*(1+AT534-AT$4)</f>
        <v>1.5434266869536792</v>
      </c>
      <c r="AU533" s="112">
        <f t="shared" si="203"/>
        <v>1.5380246935493413</v>
      </c>
      <c r="AV533" s="112">
        <f t="shared" si="203"/>
        <v>1.5326416071219187</v>
      </c>
      <c r="AW533" s="112">
        <f t="shared" si="203"/>
        <v>1.5272773614969919</v>
      </c>
      <c r="AX533" s="112">
        <f t="shared" si="203"/>
        <v>1.5219318907317523</v>
      </c>
      <c r="AY533" s="112">
        <f>AX533*(1+AY534-AY$4)</f>
        <v>1.5166051291141911</v>
      </c>
      <c r="AZ533" s="112">
        <f>AY533*(1+AZ534-AZ$4)</f>
        <v>1.5112970111622914</v>
      </c>
      <c r="BA533" s="112">
        <f>AZ533*(1+BA534-BA$4)</f>
        <v>1.5060074716232232</v>
      </c>
      <c r="BB533" s="112">
        <f>BA533*(1+BB534-BB$4)</f>
        <v>1.5007364454725418</v>
      </c>
      <c r="BC533" s="112">
        <f t="shared" ref="BC533:BG533" si="204">BB533*(1+BC534-BC$4)</f>
        <v>1.4954838679133877</v>
      </c>
      <c r="BD533" s="112">
        <f t="shared" si="204"/>
        <v>1.4902496743756908</v>
      </c>
      <c r="BE533" s="112">
        <f t="shared" si="204"/>
        <v>1.4850338005153758</v>
      </c>
      <c r="BF533" s="112">
        <f t="shared" si="204"/>
        <v>1.4798361822135719</v>
      </c>
      <c r="BG533" s="112">
        <f t="shared" si="204"/>
        <v>1.4746567555758243</v>
      </c>
    </row>
    <row r="534" spans="1:59" ht="13.75" customHeight="1">
      <c r="A534" s="141" t="s">
        <v>166</v>
      </c>
      <c r="B534" s="142" t="s">
        <v>491</v>
      </c>
      <c r="C534" s="142" t="s">
        <v>525</v>
      </c>
      <c r="D534" s="142" t="s">
        <v>87</v>
      </c>
      <c r="F534" s="168" t="s">
        <v>528</v>
      </c>
      <c r="G534" s="109" t="s">
        <v>3</v>
      </c>
      <c r="I534" s="109" t="s">
        <v>498</v>
      </c>
      <c r="U534" s="107">
        <v>2.1000000000000001E-2</v>
      </c>
      <c r="V534" s="107">
        <v>-1E-3</v>
      </c>
      <c r="W534" s="107">
        <v>-9.0000000000000011E-3</v>
      </c>
      <c r="X534" s="107">
        <v>-0.01</v>
      </c>
      <c r="Y534" s="107">
        <v>-1.0749999999999999E-2</v>
      </c>
      <c r="Z534" s="107">
        <v>1.7000000000000001E-2</v>
      </c>
      <c r="AA534" s="107">
        <v>1.3999999999999999E-2</v>
      </c>
      <c r="AB534" s="107">
        <v>5.5000000000000005E-3</v>
      </c>
      <c r="AC534" s="107">
        <v>-0.01</v>
      </c>
      <c r="AD534" s="107">
        <v>1.8189999999999998E-2</v>
      </c>
      <c r="AE534" s="107">
        <v>1.2E-2</v>
      </c>
      <c r="AF534" s="107">
        <v>1.325E-2</v>
      </c>
      <c r="AG534" s="107">
        <v>1.6500000000000001E-2</v>
      </c>
      <c r="AH534" s="107">
        <f t="shared" ref="AH534:AX534" si="205">AG534</f>
        <v>1.6500000000000001E-2</v>
      </c>
      <c r="AI534" s="107">
        <f t="shared" si="205"/>
        <v>1.6500000000000001E-2</v>
      </c>
      <c r="AJ534" s="107">
        <f t="shared" si="205"/>
        <v>1.6500000000000001E-2</v>
      </c>
      <c r="AK534" s="107">
        <f t="shared" si="205"/>
        <v>1.6500000000000001E-2</v>
      </c>
      <c r="AL534" s="107">
        <f t="shared" si="205"/>
        <v>1.6500000000000001E-2</v>
      </c>
      <c r="AM534" s="107">
        <f t="shared" si="205"/>
        <v>1.6500000000000001E-2</v>
      </c>
      <c r="AN534" s="107">
        <f t="shared" si="205"/>
        <v>1.6500000000000001E-2</v>
      </c>
      <c r="AO534" s="107">
        <f t="shared" si="205"/>
        <v>1.6500000000000001E-2</v>
      </c>
      <c r="AP534" s="107">
        <f t="shared" si="205"/>
        <v>1.6500000000000001E-2</v>
      </c>
      <c r="AQ534" s="107">
        <f t="shared" si="205"/>
        <v>1.6500000000000001E-2</v>
      </c>
      <c r="AR534" s="107">
        <f t="shared" si="205"/>
        <v>1.6500000000000001E-2</v>
      </c>
      <c r="AS534" s="107">
        <f t="shared" si="205"/>
        <v>1.6500000000000001E-2</v>
      </c>
      <c r="AT534" s="107">
        <f t="shared" si="205"/>
        <v>1.6500000000000001E-2</v>
      </c>
      <c r="AU534" s="107">
        <f t="shared" si="205"/>
        <v>1.6500000000000001E-2</v>
      </c>
      <c r="AV534" s="107">
        <f t="shared" si="205"/>
        <v>1.6500000000000001E-2</v>
      </c>
      <c r="AW534" s="107">
        <f t="shared" si="205"/>
        <v>1.6500000000000001E-2</v>
      </c>
      <c r="AX534" s="107">
        <f t="shared" si="205"/>
        <v>1.6500000000000001E-2</v>
      </c>
      <c r="AY534" s="107">
        <f>AX534</f>
        <v>1.6500000000000001E-2</v>
      </c>
      <c r="AZ534" s="107">
        <f>AY534</f>
        <v>1.6500000000000001E-2</v>
      </c>
      <c r="BA534" s="107">
        <f>AZ534</f>
        <v>1.6500000000000001E-2</v>
      </c>
      <c r="BB534" s="107">
        <f>BA534</f>
        <v>1.6500000000000001E-2</v>
      </c>
      <c r="BC534" s="107">
        <f t="shared" ref="BC534:BG534" si="206">BB534</f>
        <v>1.6500000000000001E-2</v>
      </c>
      <c r="BD534" s="107">
        <f t="shared" si="206"/>
        <v>1.6500000000000001E-2</v>
      </c>
      <c r="BE534" s="107">
        <f t="shared" si="206"/>
        <v>1.6500000000000001E-2</v>
      </c>
      <c r="BF534" s="107">
        <f t="shared" si="206"/>
        <v>1.6500000000000001E-2</v>
      </c>
      <c r="BG534" s="107">
        <f t="shared" si="206"/>
        <v>1.6500000000000001E-2</v>
      </c>
    </row>
    <row r="535" spans="1:59" ht="13.75" customHeight="1">
      <c r="A535" s="141" t="s">
        <v>166</v>
      </c>
      <c r="B535" s="142" t="s">
        <v>491</v>
      </c>
      <c r="C535" s="142" t="s">
        <v>525</v>
      </c>
      <c r="D535" s="142" t="s">
        <v>98</v>
      </c>
      <c r="F535" s="168" t="s">
        <v>529</v>
      </c>
      <c r="G535" s="109" t="s">
        <v>3</v>
      </c>
      <c r="I535" s="109" t="s">
        <v>498</v>
      </c>
      <c r="W535" s="109"/>
      <c r="Z535" s="107">
        <v>1.7000000000000001E-2</v>
      </c>
      <c r="AA535" s="107">
        <v>1.3999999999999999E-2</v>
      </c>
      <c r="AB535" s="107">
        <v>1.942E-2</v>
      </c>
      <c r="AC535" s="107">
        <v>-0.01</v>
      </c>
      <c r="AD535" s="107">
        <v>1.8189999999999998E-2</v>
      </c>
      <c r="AE535" s="107">
        <f t="shared" ref="AE535:AX535" si="207">AE534</f>
        <v>1.2E-2</v>
      </c>
      <c r="AF535" s="107">
        <f t="shared" si="207"/>
        <v>1.325E-2</v>
      </c>
      <c r="AG535" s="107">
        <f t="shared" si="207"/>
        <v>1.6500000000000001E-2</v>
      </c>
      <c r="AH535" s="107">
        <f t="shared" si="207"/>
        <v>1.6500000000000001E-2</v>
      </c>
      <c r="AI535" s="107">
        <f t="shared" si="207"/>
        <v>1.6500000000000001E-2</v>
      </c>
      <c r="AJ535" s="107">
        <f t="shared" si="207"/>
        <v>1.6500000000000001E-2</v>
      </c>
      <c r="AK535" s="107">
        <f t="shared" si="207"/>
        <v>1.6500000000000001E-2</v>
      </c>
      <c r="AL535" s="107">
        <f t="shared" si="207"/>
        <v>1.6500000000000001E-2</v>
      </c>
      <c r="AM535" s="107">
        <f t="shared" si="207"/>
        <v>1.6500000000000001E-2</v>
      </c>
      <c r="AN535" s="107">
        <f t="shared" si="207"/>
        <v>1.6500000000000001E-2</v>
      </c>
      <c r="AO535" s="107">
        <f t="shared" si="207"/>
        <v>1.6500000000000001E-2</v>
      </c>
      <c r="AP535" s="107">
        <f t="shared" si="207"/>
        <v>1.6500000000000001E-2</v>
      </c>
      <c r="AQ535" s="107">
        <f t="shared" si="207"/>
        <v>1.6500000000000001E-2</v>
      </c>
      <c r="AR535" s="107">
        <f t="shared" si="207"/>
        <v>1.6500000000000001E-2</v>
      </c>
      <c r="AS535" s="107">
        <f t="shared" si="207"/>
        <v>1.6500000000000001E-2</v>
      </c>
      <c r="AT535" s="107">
        <f t="shared" si="207"/>
        <v>1.6500000000000001E-2</v>
      </c>
      <c r="AU535" s="107">
        <f t="shared" si="207"/>
        <v>1.6500000000000001E-2</v>
      </c>
      <c r="AV535" s="107">
        <f t="shared" si="207"/>
        <v>1.6500000000000001E-2</v>
      </c>
      <c r="AW535" s="107">
        <f t="shared" si="207"/>
        <v>1.6500000000000001E-2</v>
      </c>
      <c r="AX535" s="107">
        <f t="shared" si="207"/>
        <v>1.6500000000000001E-2</v>
      </c>
      <c r="AY535" s="107">
        <f>AY534</f>
        <v>1.6500000000000001E-2</v>
      </c>
      <c r="AZ535" s="107">
        <f>AZ534</f>
        <v>1.6500000000000001E-2</v>
      </c>
      <c r="BA535" s="107">
        <f>BA534</f>
        <v>1.6500000000000001E-2</v>
      </c>
      <c r="BB535" s="107">
        <f>BB534</f>
        <v>1.6500000000000001E-2</v>
      </c>
      <c r="BC535" s="107">
        <f t="shared" ref="BC535:BG535" si="208">BC534</f>
        <v>1.6500000000000001E-2</v>
      </c>
      <c r="BD535" s="107">
        <f t="shared" si="208"/>
        <v>1.6500000000000001E-2</v>
      </c>
      <c r="BE535" s="107">
        <f t="shared" si="208"/>
        <v>1.6500000000000001E-2</v>
      </c>
      <c r="BF535" s="107">
        <f t="shared" si="208"/>
        <v>1.6500000000000001E-2</v>
      </c>
      <c r="BG535" s="107">
        <f t="shared" si="208"/>
        <v>1.6500000000000001E-2</v>
      </c>
    </row>
    <row r="536" spans="1:59" ht="13.75" customHeight="1" outlineLevel="1">
      <c r="F536" s="168"/>
      <c r="W536" s="109"/>
    </row>
    <row r="537" spans="1:59" ht="13.75" customHeight="1" outlineLevel="1">
      <c r="F537" s="168"/>
      <c r="W537" s="109"/>
    </row>
    <row r="538" spans="1:59" ht="13.75" customHeight="1" outlineLevel="1">
      <c r="F538" s="168"/>
      <c r="W538" s="109"/>
    </row>
    <row r="539" spans="1:59" ht="13.75" customHeight="1" outlineLevel="1">
      <c r="F539" s="168"/>
      <c r="W539" s="109"/>
    </row>
    <row r="540" spans="1:59" ht="13.75" customHeight="1" outlineLevel="1">
      <c r="F540" s="168"/>
      <c r="W540" s="109"/>
    </row>
    <row r="541" spans="1:59" ht="13.75" customHeight="1" outlineLevel="1">
      <c r="F541" s="168"/>
      <c r="W541" s="109"/>
    </row>
    <row r="542" spans="1:59" ht="13.75" customHeight="1" outlineLevel="1">
      <c r="F542" s="168"/>
      <c r="W542" s="109"/>
    </row>
    <row r="543" spans="1:59" ht="13.75" customHeight="1" outlineLevel="1">
      <c r="F543" s="168"/>
      <c r="I543" s="109">
        <v>100</v>
      </c>
      <c r="W543" s="109"/>
    </row>
    <row r="544" spans="1:59" ht="13.75" customHeight="1" outlineLevel="1">
      <c r="F544" s="168"/>
      <c r="W544" s="109"/>
      <c r="AG544" s="128"/>
    </row>
    <row r="545" spans="1:59" ht="13.75" customHeight="1">
      <c r="A545" s="141" t="s">
        <v>166</v>
      </c>
      <c r="B545" s="142" t="s">
        <v>530</v>
      </c>
      <c r="D545" s="142" t="s">
        <v>87</v>
      </c>
      <c r="E545" s="174">
        <v>42108</v>
      </c>
      <c r="F545" s="168" t="s">
        <v>531</v>
      </c>
      <c r="G545" s="109" t="s">
        <v>532</v>
      </c>
      <c r="W545" s="123">
        <v>2.7E-2</v>
      </c>
      <c r="X545" s="107">
        <v>-9.9999999999999978E-2</v>
      </c>
      <c r="Y545" s="107">
        <v>-4.599999999999993E-2</v>
      </c>
      <c r="Z545" s="107">
        <v>1.2999999999999901E-2</v>
      </c>
      <c r="AA545" s="107">
        <v>2.8250000000000001E-2</v>
      </c>
      <c r="AB545" s="107">
        <v>1.8666666666666672E-2</v>
      </c>
      <c r="AC545" s="107">
        <v>-3.2000000000000008E-2</v>
      </c>
      <c r="AD545" s="107">
        <v>8.7666666666666657E-2</v>
      </c>
      <c r="AE545" s="107">
        <v>-6.008333333333335E-2</v>
      </c>
      <c r="AF545" s="107">
        <v>5.7851669572795653E-2</v>
      </c>
      <c r="AG545" s="107">
        <v>-1.6668878750499088E-2</v>
      </c>
      <c r="AH545" s="107">
        <v>1.6211411012577948E-2</v>
      </c>
      <c r="AI545" s="107">
        <v>1.416071603228769E-2</v>
      </c>
      <c r="AJ545" s="107">
        <f t="shared" ref="AJ545:AX545" si="209">AJ2</f>
        <v>0.01</v>
      </c>
      <c r="AK545" s="107">
        <f t="shared" si="209"/>
        <v>0.01</v>
      </c>
      <c r="AL545" s="107">
        <f t="shared" si="209"/>
        <v>0.01</v>
      </c>
      <c r="AM545" s="107">
        <f t="shared" si="209"/>
        <v>0.01</v>
      </c>
      <c r="AN545" s="107">
        <f t="shared" si="209"/>
        <v>0.01</v>
      </c>
      <c r="AO545" s="107">
        <f t="shared" si="209"/>
        <v>0.01</v>
      </c>
      <c r="AP545" s="107">
        <f t="shared" si="209"/>
        <v>0.01</v>
      </c>
      <c r="AQ545" s="107">
        <f t="shared" si="209"/>
        <v>0.01</v>
      </c>
      <c r="AR545" s="107">
        <f t="shared" si="209"/>
        <v>0.01</v>
      </c>
      <c r="AS545" s="107">
        <f t="shared" si="209"/>
        <v>0.01</v>
      </c>
      <c r="AT545" s="107">
        <f t="shared" si="209"/>
        <v>0.01</v>
      </c>
      <c r="AU545" s="107">
        <f t="shared" si="209"/>
        <v>0.01</v>
      </c>
      <c r="AV545" s="107">
        <f t="shared" si="209"/>
        <v>0.01</v>
      </c>
      <c r="AW545" s="107">
        <f t="shared" si="209"/>
        <v>0.01</v>
      </c>
      <c r="AX545" s="107">
        <f t="shared" si="209"/>
        <v>0.01</v>
      </c>
      <c r="AY545" s="107">
        <f>AY2</f>
        <v>0.01</v>
      </c>
      <c r="AZ545" s="107">
        <f>AZ2</f>
        <v>0.01</v>
      </c>
      <c r="BA545" s="107">
        <f t="shared" ref="BA545:BG545" si="210">BA2</f>
        <v>0.01</v>
      </c>
      <c r="BB545" s="107">
        <f t="shared" si="210"/>
        <v>0.01</v>
      </c>
      <c r="BC545" s="107">
        <f t="shared" si="210"/>
        <v>0.01</v>
      </c>
      <c r="BD545" s="107">
        <f t="shared" si="210"/>
        <v>0.01</v>
      </c>
      <c r="BE545" s="107">
        <f t="shared" si="210"/>
        <v>0.01</v>
      </c>
      <c r="BF545" s="107">
        <f t="shared" si="210"/>
        <v>0.01</v>
      </c>
      <c r="BG545" s="107">
        <f t="shared" si="210"/>
        <v>0.01</v>
      </c>
    </row>
    <row r="546" spans="1:59" ht="13.75" customHeight="1">
      <c r="A546" s="141" t="s">
        <v>166</v>
      </c>
      <c r="B546" s="142" t="s">
        <v>530</v>
      </c>
      <c r="D546" s="142" t="s">
        <v>87</v>
      </c>
      <c r="E546" s="174">
        <v>42108</v>
      </c>
      <c r="F546" s="168" t="s">
        <v>533</v>
      </c>
      <c r="G546" s="109" t="s">
        <v>3</v>
      </c>
      <c r="I546" s="175" t="s">
        <v>534</v>
      </c>
      <c r="W546" s="107">
        <v>-1.2000000000000028E-2</v>
      </c>
      <c r="X546" s="107">
        <v>-2.4000000000000056E-2</v>
      </c>
      <c r="Y546" s="107">
        <v>-4.4999999999999998E-2</v>
      </c>
      <c r="Z546" s="107">
        <v>-5.0000000000000001E-3</v>
      </c>
      <c r="AA546" s="107">
        <v>7.9999999999998291E-4</v>
      </c>
      <c r="AB546" s="107">
        <v>9.0250000000000347E-3</v>
      </c>
      <c r="AC546" s="107">
        <v>-2.7749999999999986E-2</v>
      </c>
      <c r="AD546" s="107">
        <v>3.7814280447421314E-2</v>
      </c>
      <c r="AE546" s="107">
        <f t="shared" ref="AE546:BG546" si="211">AE9</f>
        <v>-9.4520199691621159E-3</v>
      </c>
      <c r="AF546" s="107">
        <f t="shared" si="211"/>
        <v>4.4452944161055614E-2</v>
      </c>
      <c r="AG546" s="107">
        <f t="shared" si="211"/>
        <v>-9.2610277905554733E-3</v>
      </c>
      <c r="AH546" s="107">
        <f t="shared" si="211"/>
        <v>9.4512368123722303E-3</v>
      </c>
      <c r="AI546" s="107">
        <f t="shared" si="211"/>
        <v>1.2054108080999538E-2</v>
      </c>
      <c r="AJ546" s="107">
        <f t="shared" si="211"/>
        <v>1.2054108080999538E-2</v>
      </c>
      <c r="AK546" s="107">
        <f t="shared" si="211"/>
        <v>1.2054108080999538E-2</v>
      </c>
      <c r="AL546" s="107">
        <f t="shared" si="211"/>
        <v>1.2054108080999538E-2</v>
      </c>
      <c r="AM546" s="107">
        <f t="shared" si="211"/>
        <v>1.2054108080999538E-2</v>
      </c>
      <c r="AN546" s="107">
        <f t="shared" si="211"/>
        <v>1.2054108080999538E-2</v>
      </c>
      <c r="AO546" s="107">
        <f t="shared" si="211"/>
        <v>1.2054108080999538E-2</v>
      </c>
      <c r="AP546" s="107">
        <f t="shared" si="211"/>
        <v>1.2054108080999538E-2</v>
      </c>
      <c r="AQ546" s="107">
        <f t="shared" si="211"/>
        <v>1.2054108080999538E-2</v>
      </c>
      <c r="AR546" s="107">
        <f t="shared" si="211"/>
        <v>1.2054108080999538E-2</v>
      </c>
      <c r="AS546" s="107">
        <f t="shared" si="211"/>
        <v>1.2054108080999538E-2</v>
      </c>
      <c r="AT546" s="107">
        <f t="shared" si="211"/>
        <v>1.2054108080999538E-2</v>
      </c>
      <c r="AU546" s="107">
        <f t="shared" si="211"/>
        <v>1.2054108080999538E-2</v>
      </c>
      <c r="AV546" s="107">
        <f t="shared" si="211"/>
        <v>1.2054108080999538E-2</v>
      </c>
      <c r="AW546" s="107">
        <f t="shared" si="211"/>
        <v>1.2054108080999538E-2</v>
      </c>
      <c r="AX546" s="107">
        <f t="shared" si="211"/>
        <v>1.2054108080999538E-2</v>
      </c>
      <c r="AY546" s="107">
        <f t="shared" si="211"/>
        <v>1.2054108080999538E-2</v>
      </c>
      <c r="AZ546" s="107">
        <f t="shared" si="211"/>
        <v>1.2054108080999538E-2</v>
      </c>
      <c r="BA546" s="107">
        <f t="shared" si="211"/>
        <v>1.2054108080999538E-2</v>
      </c>
      <c r="BB546" s="107">
        <f t="shared" si="211"/>
        <v>1.2054108080999538E-2</v>
      </c>
      <c r="BC546" s="107">
        <f t="shared" si="211"/>
        <v>1.2054108080999538E-2</v>
      </c>
      <c r="BD546" s="107">
        <f t="shared" si="211"/>
        <v>1.2054108080999538E-2</v>
      </c>
      <c r="BE546" s="107">
        <f t="shared" si="211"/>
        <v>1.2054108080999538E-2</v>
      </c>
      <c r="BF546" s="107">
        <f t="shared" si="211"/>
        <v>1.2054108080999538E-2</v>
      </c>
      <c r="BG546" s="107">
        <f t="shared" si="211"/>
        <v>1.2054108080999538E-2</v>
      </c>
    </row>
    <row r="547" spans="1:59" ht="13.75" customHeight="1">
      <c r="A547" s="141" t="s">
        <v>166</v>
      </c>
      <c r="B547" s="142" t="s">
        <v>530</v>
      </c>
      <c r="D547" s="142" t="s">
        <v>87</v>
      </c>
      <c r="E547" s="174">
        <v>42108</v>
      </c>
      <c r="F547" s="168" t="s">
        <v>535</v>
      </c>
      <c r="G547" s="109" t="s">
        <v>3</v>
      </c>
      <c r="W547" s="123">
        <v>1.6E-2</v>
      </c>
      <c r="X547" s="107">
        <v>-6.0000000000000001E-3</v>
      </c>
      <c r="Y547" s="107">
        <v>1.325E-2</v>
      </c>
      <c r="Z547" s="107">
        <v>2.1000000000000001E-2</v>
      </c>
      <c r="AA547" s="107">
        <v>3.5083333333333334E-2</v>
      </c>
      <c r="AB547" s="107">
        <v>3.3916666666666678E-2</v>
      </c>
      <c r="AC547" s="107">
        <v>-2.0666666666666677E-2</v>
      </c>
      <c r="AD547" s="107">
        <v>6.5964206019097388E-2</v>
      </c>
      <c r="AE547" s="107">
        <v>6.9677409349179235E-3</v>
      </c>
      <c r="AF547" s="107">
        <v>3.500739907380887E-2</v>
      </c>
      <c r="AG547" s="107">
        <v>-1.4295554751105128E-2</v>
      </c>
      <c r="AH547" s="108">
        <v>1.5316998182233144E-2</v>
      </c>
      <c r="AI547" s="108">
        <v>1.7441909181286668E-2</v>
      </c>
      <c r="AJ547" s="108">
        <f t="shared" ref="AJ547:AX547" si="212">AJ2</f>
        <v>0.01</v>
      </c>
      <c r="AK547" s="108">
        <f t="shared" si="212"/>
        <v>0.01</v>
      </c>
      <c r="AL547" s="108">
        <f t="shared" si="212"/>
        <v>0.01</v>
      </c>
      <c r="AM547" s="108">
        <f t="shared" si="212"/>
        <v>0.01</v>
      </c>
      <c r="AN547" s="108">
        <f t="shared" si="212"/>
        <v>0.01</v>
      </c>
      <c r="AO547" s="108">
        <f t="shared" si="212"/>
        <v>0.01</v>
      </c>
      <c r="AP547" s="108">
        <f t="shared" si="212"/>
        <v>0.01</v>
      </c>
      <c r="AQ547" s="108">
        <f t="shared" si="212"/>
        <v>0.01</v>
      </c>
      <c r="AR547" s="108">
        <f t="shared" si="212"/>
        <v>0.01</v>
      </c>
      <c r="AS547" s="108">
        <f t="shared" si="212"/>
        <v>0.01</v>
      </c>
      <c r="AT547" s="108">
        <f t="shared" si="212"/>
        <v>0.01</v>
      </c>
      <c r="AU547" s="108">
        <f t="shared" si="212"/>
        <v>0.01</v>
      </c>
      <c r="AV547" s="108">
        <f t="shared" si="212"/>
        <v>0.01</v>
      </c>
      <c r="AW547" s="108">
        <f t="shared" si="212"/>
        <v>0.01</v>
      </c>
      <c r="AX547" s="108">
        <f t="shared" si="212"/>
        <v>0.01</v>
      </c>
      <c r="AY547" s="108">
        <f t="shared" ref="AY547:BG547" si="213">AY$2</f>
        <v>0.01</v>
      </c>
      <c r="AZ547" s="108">
        <f t="shared" si="213"/>
        <v>0.01</v>
      </c>
      <c r="BA547" s="108">
        <f t="shared" si="213"/>
        <v>0.01</v>
      </c>
      <c r="BB547" s="108">
        <f t="shared" si="213"/>
        <v>0.01</v>
      </c>
      <c r="BC547" s="108">
        <f t="shared" si="213"/>
        <v>0.01</v>
      </c>
      <c r="BD547" s="108">
        <f t="shared" si="213"/>
        <v>0.01</v>
      </c>
      <c r="BE547" s="108">
        <f t="shared" si="213"/>
        <v>0.01</v>
      </c>
      <c r="BF547" s="108">
        <f t="shared" si="213"/>
        <v>0.01</v>
      </c>
      <c r="BG547" s="108">
        <f t="shared" si="213"/>
        <v>0.01</v>
      </c>
    </row>
    <row r="548" spans="1:59" ht="13.75" customHeight="1">
      <c r="A548" s="141" t="s">
        <v>166</v>
      </c>
      <c r="B548" s="142" t="s">
        <v>530</v>
      </c>
      <c r="D548" s="142" t="s">
        <v>87</v>
      </c>
      <c r="E548" s="174">
        <v>42108</v>
      </c>
      <c r="F548" s="168" t="s">
        <v>536</v>
      </c>
      <c r="G548" s="109" t="s">
        <v>3</v>
      </c>
      <c r="W548" s="123">
        <v>5.1999999999999998E-2</v>
      </c>
      <c r="X548" s="107">
        <v>5.6000000000000008E-2</v>
      </c>
      <c r="Y548" s="107">
        <v>5.525E-2</v>
      </c>
      <c r="Z548" s="107">
        <v>5.1999999999999998E-2</v>
      </c>
      <c r="AA548" s="107">
        <v>4.7963292941278955E-2</v>
      </c>
      <c r="AB548" s="107">
        <v>4.5902612031517458E-2</v>
      </c>
      <c r="AC548" s="107">
        <v>5.7743860180995581E-2</v>
      </c>
      <c r="AD548" s="107">
        <v>4.8178062363303908E-2</v>
      </c>
      <c r="AE548" s="107">
        <v>3.9411367738333335E-2</v>
      </c>
      <c r="AF548" s="107">
        <v>3.2238222596666671E-2</v>
      </c>
      <c r="AG548" s="107">
        <v>3.6708333333333336E-2</v>
      </c>
      <c r="AH548" s="107">
        <v>3.4916666666666665E-2</v>
      </c>
      <c r="AI548" s="107">
        <v>3.1041666666666665E-2</v>
      </c>
      <c r="AJ548" s="107">
        <f t="shared" ref="AJ548:AX548" si="214">AI548</f>
        <v>3.1041666666666665E-2</v>
      </c>
      <c r="AK548" s="107">
        <f t="shared" si="214"/>
        <v>3.1041666666666665E-2</v>
      </c>
      <c r="AL548" s="107">
        <f t="shared" si="214"/>
        <v>3.1041666666666665E-2</v>
      </c>
      <c r="AM548" s="107">
        <f t="shared" si="214"/>
        <v>3.1041666666666665E-2</v>
      </c>
      <c r="AN548" s="107">
        <f t="shared" si="214"/>
        <v>3.1041666666666665E-2</v>
      </c>
      <c r="AO548" s="107">
        <f t="shared" si="214"/>
        <v>3.1041666666666665E-2</v>
      </c>
      <c r="AP548" s="107">
        <f t="shared" si="214"/>
        <v>3.1041666666666665E-2</v>
      </c>
      <c r="AQ548" s="107">
        <f t="shared" si="214"/>
        <v>3.1041666666666665E-2</v>
      </c>
      <c r="AR548" s="107">
        <f t="shared" si="214"/>
        <v>3.1041666666666665E-2</v>
      </c>
      <c r="AS548" s="107">
        <f t="shared" si="214"/>
        <v>3.1041666666666665E-2</v>
      </c>
      <c r="AT548" s="107">
        <f t="shared" si="214"/>
        <v>3.1041666666666665E-2</v>
      </c>
      <c r="AU548" s="107">
        <f t="shared" si="214"/>
        <v>3.1041666666666665E-2</v>
      </c>
      <c r="AV548" s="107">
        <f t="shared" si="214"/>
        <v>3.1041666666666665E-2</v>
      </c>
      <c r="AW548" s="107">
        <f t="shared" si="214"/>
        <v>3.1041666666666665E-2</v>
      </c>
      <c r="AX548" s="107">
        <f t="shared" si="214"/>
        <v>3.1041666666666665E-2</v>
      </c>
      <c r="AY548" s="107">
        <f>AX548</f>
        <v>3.1041666666666665E-2</v>
      </c>
      <c r="AZ548" s="107">
        <f>AY548</f>
        <v>3.1041666666666665E-2</v>
      </c>
      <c r="BA548" s="107">
        <f>AZ548</f>
        <v>3.1041666666666665E-2</v>
      </c>
      <c r="BB548" s="107">
        <f>BA548</f>
        <v>3.1041666666666665E-2</v>
      </c>
      <c r="BC548" s="107">
        <f t="shared" ref="BC548:BG548" si="215">BB548</f>
        <v>3.1041666666666665E-2</v>
      </c>
      <c r="BD548" s="107">
        <f t="shared" si="215"/>
        <v>3.1041666666666665E-2</v>
      </c>
      <c r="BE548" s="107">
        <f t="shared" si="215"/>
        <v>3.1041666666666665E-2</v>
      </c>
      <c r="BF548" s="107">
        <f t="shared" si="215"/>
        <v>3.1041666666666665E-2</v>
      </c>
      <c r="BG548" s="107">
        <f t="shared" si="215"/>
        <v>3.1041666666666665E-2</v>
      </c>
    </row>
    <row r="549" spans="1:59" ht="13.75" customHeight="1">
      <c r="A549" s="141" t="s">
        <v>166</v>
      </c>
      <c r="B549" s="142" t="s">
        <v>530</v>
      </c>
      <c r="C549" s="170" t="s">
        <v>537</v>
      </c>
      <c r="D549" s="165" t="s">
        <v>168</v>
      </c>
      <c r="E549" s="174">
        <v>42170</v>
      </c>
      <c r="F549" s="168" t="s">
        <v>538</v>
      </c>
      <c r="G549" s="109" t="s">
        <v>539</v>
      </c>
      <c r="I549" s="109" t="s">
        <v>540</v>
      </c>
      <c r="V549" s="128">
        <v>21251</v>
      </c>
      <c r="W549" s="128">
        <v>24096</v>
      </c>
      <c r="X549" s="128">
        <v>18657</v>
      </c>
      <c r="Y549" s="128">
        <v>34602</v>
      </c>
      <c r="Z549" s="128">
        <v>51298</v>
      </c>
      <c r="AA549" s="128">
        <v>77855</v>
      </c>
      <c r="AB549" s="128">
        <v>74937</v>
      </c>
      <c r="AC549" s="128">
        <v>79216.4677379481</v>
      </c>
      <c r="AD549" s="128">
        <v>102593.93310830084</v>
      </c>
      <c r="AE549" s="128">
        <v>86963.829162308641</v>
      </c>
      <c r="AF549" s="128">
        <v>106257.06676976765</v>
      </c>
      <c r="AG549" s="128">
        <v>81745.077690292266</v>
      </c>
      <c r="AH549" s="128">
        <v>83580.744793546532</v>
      </c>
      <c r="AI549" s="128">
        <v>87100.07062655146</v>
      </c>
      <c r="AJ549" s="128">
        <v>89440.623054416646</v>
      </c>
      <c r="AK549" s="128">
        <v>91722.163869303011</v>
      </c>
      <c r="AL549" s="128">
        <v>93949.87109184514</v>
      </c>
      <c r="AM549" s="128">
        <v>96122.86238064889</v>
      </c>
      <c r="AN549" s="128">
        <v>98240.435490559903</v>
      </c>
      <c r="AO549" s="128">
        <v>100302.06246045303</v>
      </c>
      <c r="AP549" s="128">
        <v>102307.38298026803</v>
      </c>
      <c r="AQ549" s="128">
        <v>104256.19705667542</v>
      </c>
      <c r="AR549" s="128">
        <v>106148.45709567107</v>
      </c>
      <c r="AS549" s="128">
        <v>107984.25951757577</v>
      </c>
      <c r="AT549" s="128">
        <v>109763.83601558146</v>
      </c>
      <c r="AU549" s="128">
        <v>111487.54456338705</v>
      </c>
      <c r="AV549" s="128">
        <v>113155.86027084586</v>
      </c>
      <c r="AW549" s="128">
        <v>114769.36617913601</v>
      </c>
      <c r="AX549" s="128">
        <v>116328.74407899595</v>
      </c>
      <c r="AY549" s="128">
        <v>117834.76542724339</v>
      </c>
      <c r="AZ549" s="128">
        <v>119360.28410883981</v>
      </c>
      <c r="BA549" s="128">
        <v>120905.55254119495</v>
      </c>
      <c r="BB549" s="128">
        <v>122470.82640957818</v>
      </c>
      <c r="BC549" s="128">
        <f t="shared" ref="BC549:BG599" si="216">BB549*(1+((BB549-BA549)/BA549))</f>
        <v>124056.36470942503</v>
      </c>
      <c r="BD549" s="128">
        <f t="shared" si="216"/>
        <v>125662.42978919149</v>
      </c>
      <c r="BE549" s="128">
        <f t="shared" si="216"/>
        <v>127289.28739376301</v>
      </c>
      <c r="BF549" s="128">
        <f t="shared" si="216"/>
        <v>128937.20670842552</v>
      </c>
      <c r="BG549" s="128">
        <f t="shared" si="216"/>
        <v>130606.46040340583</v>
      </c>
    </row>
    <row r="550" spans="1:59" ht="13.75" customHeight="1">
      <c r="A550" s="141" t="s">
        <v>166</v>
      </c>
      <c r="B550" s="142" t="s">
        <v>530</v>
      </c>
      <c r="C550" s="170" t="s">
        <v>537</v>
      </c>
      <c r="D550" s="165" t="s">
        <v>377</v>
      </c>
      <c r="E550" s="174">
        <v>42170</v>
      </c>
      <c r="F550" s="168" t="s">
        <v>541</v>
      </c>
      <c r="G550" s="109" t="s">
        <v>3</v>
      </c>
      <c r="I550" s="109" t="s">
        <v>542</v>
      </c>
      <c r="X550" s="107">
        <v>-0.1</v>
      </c>
      <c r="Y550" s="107">
        <v>-0.05</v>
      </c>
      <c r="Z550" s="107">
        <v>-1.2027357856432386E-2</v>
      </c>
      <c r="AA550" s="107">
        <v>5.8743262987340561E-2</v>
      </c>
      <c r="AB550" s="107">
        <v>0.16248794340150852</v>
      </c>
      <c r="AC550" s="107">
        <v>0.22457006049217587</v>
      </c>
      <c r="AD550" s="107">
        <v>0.26220347263749333</v>
      </c>
      <c r="AE550" s="107">
        <v>6.9578874458237072E-2</v>
      </c>
      <c r="AF550" s="107">
        <v>2.4543335073936579E-3</v>
      </c>
      <c r="AG550" s="107">
        <v>-1.260935638811933E-2</v>
      </c>
      <c r="AH550" s="107">
        <v>-2.2048400685452108E-2</v>
      </c>
      <c r="AI550" s="107">
        <v>5.4423372848741991E-2</v>
      </c>
      <c r="AJ550" s="107">
        <v>3.7419989639159823E-2</v>
      </c>
      <c r="AK550" s="107">
        <v>3.7947845826567406E-2</v>
      </c>
      <c r="AL550" s="107">
        <v>3.8463577197245691E-2</v>
      </c>
      <c r="AM550" s="107">
        <v>3.8966955885990417E-2</v>
      </c>
      <c r="AN550" s="107">
        <v>3.9457795829808573E-2</v>
      </c>
      <c r="AO550" s="107">
        <v>3.9935951575054141E-2</v>
      </c>
      <c r="AP550" s="107">
        <v>4.0401316880164684E-2</v>
      </c>
      <c r="AQ550" s="107">
        <v>4.0853823141166812E-2</v>
      </c>
      <c r="AR550" s="107">
        <v>4.1293437667135446E-2</v>
      </c>
      <c r="AS550" s="107">
        <v>4.172016183240701E-2</v>
      </c>
      <c r="AT550" s="107">
        <v>4.2134029131567496E-2</v>
      </c>
      <c r="AU550" s="107">
        <v>4.25351031621235E-2</v>
      </c>
      <c r="AV550" s="107">
        <v>4.2923475558407143E-2</v>
      </c>
      <c r="AW550" s="107">
        <v>4.3299263898684215E-2</v>
      </c>
      <c r="AX550" s="107">
        <v>4.366260960567292E-2</v>
      </c>
      <c r="AY550" s="107">
        <v>4.401367585884941E-2</v>
      </c>
      <c r="AZ550" s="107">
        <v>4.401367585884941E-2</v>
      </c>
      <c r="BA550" s="107">
        <v>4.401367585884941E-2</v>
      </c>
      <c r="BB550" s="107">
        <v>4.401367585884941E-2</v>
      </c>
      <c r="BC550" s="107">
        <f t="shared" si="216"/>
        <v>4.401367585884941E-2</v>
      </c>
      <c r="BD550" s="107">
        <f t="shared" si="216"/>
        <v>4.401367585884941E-2</v>
      </c>
      <c r="BE550" s="107">
        <f t="shared" si="216"/>
        <v>4.401367585884941E-2</v>
      </c>
      <c r="BF550" s="107">
        <f t="shared" si="216"/>
        <v>4.401367585884941E-2</v>
      </c>
      <c r="BG550" s="107">
        <f t="shared" si="216"/>
        <v>4.401367585884941E-2</v>
      </c>
    </row>
    <row r="551" spans="1:59" ht="13.75" customHeight="1">
      <c r="A551" s="141" t="s">
        <v>166</v>
      </c>
      <c r="B551" s="142" t="s">
        <v>530</v>
      </c>
      <c r="C551" s="170" t="s">
        <v>543</v>
      </c>
      <c r="D551" s="142" t="s">
        <v>168</v>
      </c>
      <c r="F551" s="168" t="s">
        <v>544</v>
      </c>
      <c r="G551" s="109" t="s">
        <v>3</v>
      </c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  <c r="AU551" s="116"/>
      <c r="AV551" s="116"/>
      <c r="AW551" s="116"/>
      <c r="AX551" s="116"/>
      <c r="AY551" s="116"/>
      <c r="AZ551" s="116"/>
      <c r="BA551" s="116"/>
      <c r="BB551" s="116"/>
      <c r="BC551" s="116"/>
      <c r="BD551" s="116"/>
      <c r="BE551" s="116"/>
      <c r="BF551" s="116"/>
      <c r="BG551" s="116"/>
    </row>
    <row r="552" spans="1:59" ht="13.75" customHeight="1">
      <c r="A552" s="141" t="s">
        <v>166</v>
      </c>
      <c r="B552" s="142" t="s">
        <v>530</v>
      </c>
      <c r="C552" s="170" t="s">
        <v>543</v>
      </c>
      <c r="D552" s="142" t="s">
        <v>377</v>
      </c>
      <c r="F552" s="168" t="s">
        <v>545</v>
      </c>
      <c r="G552" s="109" t="s">
        <v>3</v>
      </c>
      <c r="X552" s="110"/>
      <c r="Y552" s="110"/>
      <c r="Z552" s="110">
        <v>0.09</v>
      </c>
      <c r="AA552" s="110">
        <v>0.09</v>
      </c>
      <c r="AB552" s="110">
        <v>0.09</v>
      </c>
      <c r="AC552" s="110">
        <v>0.09</v>
      </c>
      <c r="AD552" s="110">
        <v>0.09</v>
      </c>
      <c r="AE552" s="110">
        <v>9.2499999999999999E-2</v>
      </c>
      <c r="AF552" s="110">
        <v>9.0000000000000011E-2</v>
      </c>
      <c r="AG552" s="110">
        <v>9.0000000000000011E-2</v>
      </c>
      <c r="AH552" s="110">
        <v>8.500000000000002E-2</v>
      </c>
      <c r="AI552" s="110">
        <v>8.500000000000002E-2</v>
      </c>
      <c r="AJ552" s="110">
        <v>8.500000000000002E-2</v>
      </c>
      <c r="AK552" s="110">
        <v>8.500000000000002E-2</v>
      </c>
      <c r="AL552" s="110">
        <v>8.500000000000002E-2</v>
      </c>
      <c r="AM552" s="110">
        <v>8.500000000000002E-2</v>
      </c>
      <c r="AN552" s="110">
        <v>8.500000000000002E-2</v>
      </c>
      <c r="AO552" s="110">
        <v>8.500000000000002E-2</v>
      </c>
      <c r="AP552" s="110">
        <v>8.500000000000002E-2</v>
      </c>
      <c r="AQ552" s="110">
        <v>8.500000000000002E-2</v>
      </c>
      <c r="AR552" s="110">
        <v>8.500000000000002E-2</v>
      </c>
      <c r="AS552" s="110">
        <v>8.500000000000002E-2</v>
      </c>
      <c r="AT552" s="110">
        <v>8.500000000000002E-2</v>
      </c>
      <c r="AU552" s="110">
        <v>8.500000000000002E-2</v>
      </c>
      <c r="AV552" s="110">
        <v>8.500000000000002E-2</v>
      </c>
      <c r="AW552" s="110">
        <v>8.500000000000002E-2</v>
      </c>
      <c r="AX552" s="110">
        <v>8.500000000000002E-2</v>
      </c>
      <c r="AY552" s="110">
        <v>8.500000000000002E-2</v>
      </c>
      <c r="AZ552" s="110">
        <v>8.500000000000002E-2</v>
      </c>
      <c r="BA552" s="110">
        <v>8.500000000000002E-2</v>
      </c>
      <c r="BB552" s="110">
        <v>8.500000000000002E-2</v>
      </c>
      <c r="BC552" s="110">
        <f t="shared" si="216"/>
        <v>8.500000000000002E-2</v>
      </c>
      <c r="BD552" s="110">
        <f t="shared" si="216"/>
        <v>8.500000000000002E-2</v>
      </c>
      <c r="BE552" s="110">
        <f t="shared" si="216"/>
        <v>8.500000000000002E-2</v>
      </c>
      <c r="BF552" s="110">
        <f t="shared" si="216"/>
        <v>8.500000000000002E-2</v>
      </c>
      <c r="BG552" s="110">
        <f t="shared" si="216"/>
        <v>8.500000000000002E-2</v>
      </c>
    </row>
    <row r="553" spans="1:59" ht="13.75" customHeight="1">
      <c r="A553" s="141" t="s">
        <v>166</v>
      </c>
      <c r="B553" s="142" t="s">
        <v>530</v>
      </c>
      <c r="C553" s="170" t="s">
        <v>543</v>
      </c>
      <c r="D553" s="142" t="s">
        <v>377</v>
      </c>
      <c r="F553" s="168" t="s">
        <v>546</v>
      </c>
      <c r="G553" s="109" t="s">
        <v>3</v>
      </c>
      <c r="X553" s="110"/>
      <c r="Y553" s="110"/>
      <c r="Z553" s="110">
        <v>0.12</v>
      </c>
      <c r="AA553" s="110">
        <v>0.12</v>
      </c>
      <c r="AB553" s="110">
        <v>0.10249999999999999</v>
      </c>
      <c r="AC553" s="110">
        <v>0.1075</v>
      </c>
      <c r="AD553" s="110">
        <v>0.1075</v>
      </c>
      <c r="AE553" s="110">
        <v>0.10750000000000001</v>
      </c>
      <c r="AF553" s="110">
        <v>0.10750000000000001</v>
      </c>
      <c r="AG553" s="110">
        <v>0.10750000000000001</v>
      </c>
      <c r="AH553" s="110">
        <v>0.10250000000000001</v>
      </c>
      <c r="AI553" s="110">
        <v>0.10250000000000001</v>
      </c>
      <c r="AJ553" s="110">
        <v>0.10250000000000001</v>
      </c>
      <c r="AK553" s="110">
        <v>0.10250000000000001</v>
      </c>
      <c r="AL553" s="110">
        <v>0.10250000000000001</v>
      </c>
      <c r="AM553" s="110">
        <v>0.10250000000000001</v>
      </c>
      <c r="AN553" s="110">
        <v>0.10250000000000001</v>
      </c>
      <c r="AO553" s="110">
        <v>0.10250000000000001</v>
      </c>
      <c r="AP553" s="110">
        <v>0.10250000000000001</v>
      </c>
      <c r="AQ553" s="110">
        <v>0.10250000000000001</v>
      </c>
      <c r="AR553" s="110">
        <v>0.10250000000000001</v>
      </c>
      <c r="AS553" s="110">
        <v>0.10250000000000001</v>
      </c>
      <c r="AT553" s="110">
        <v>0.10250000000000001</v>
      </c>
      <c r="AU553" s="110">
        <v>0.10250000000000001</v>
      </c>
      <c r="AV553" s="110">
        <v>0.10250000000000001</v>
      </c>
      <c r="AW553" s="110">
        <v>0.10250000000000001</v>
      </c>
      <c r="AX553" s="110">
        <v>0.10250000000000001</v>
      </c>
      <c r="AY553" s="110">
        <v>0.10250000000000001</v>
      </c>
      <c r="AZ553" s="110">
        <v>0.10250000000000001</v>
      </c>
      <c r="BA553" s="110">
        <v>0.10250000000000001</v>
      </c>
      <c r="BB553" s="110">
        <v>0.10250000000000001</v>
      </c>
      <c r="BC553" s="110">
        <f t="shared" si="216"/>
        <v>0.10250000000000001</v>
      </c>
      <c r="BD553" s="110">
        <f t="shared" si="216"/>
        <v>0.10250000000000001</v>
      </c>
      <c r="BE553" s="110">
        <f t="shared" si="216"/>
        <v>0.10250000000000001</v>
      </c>
      <c r="BF553" s="110">
        <f t="shared" si="216"/>
        <v>0.10250000000000001</v>
      </c>
      <c r="BG553" s="110">
        <f t="shared" si="216"/>
        <v>0.10250000000000001</v>
      </c>
    </row>
    <row r="554" spans="1:59" ht="13.75" customHeight="1">
      <c r="A554" s="141" t="s">
        <v>166</v>
      </c>
      <c r="B554" s="142" t="s">
        <v>530</v>
      </c>
      <c r="C554" s="142" t="s">
        <v>547</v>
      </c>
      <c r="D554" s="142" t="s">
        <v>377</v>
      </c>
      <c r="F554" s="168" t="s">
        <v>548</v>
      </c>
      <c r="G554" s="142" t="s">
        <v>3</v>
      </c>
      <c r="H554" s="142"/>
      <c r="I554" s="142" t="s">
        <v>549</v>
      </c>
      <c r="X554" s="110"/>
      <c r="Y554" s="110"/>
      <c r="Z554" s="110">
        <v>9.5000000000000001E-2</v>
      </c>
      <c r="AA554" s="110">
        <v>9.5000000000000001E-2</v>
      </c>
      <c r="AB554" s="110">
        <v>0.09</v>
      </c>
      <c r="AC554" s="110">
        <v>8.7499999999999994E-2</v>
      </c>
      <c r="AD554" s="110">
        <v>8.7499999999999994E-2</v>
      </c>
      <c r="AE554" s="110">
        <v>9.5000000000000001E-2</v>
      </c>
      <c r="AF554" s="110">
        <v>9.5000000000000001E-2</v>
      </c>
      <c r="AG554" s="110">
        <v>9.5000000000000001E-2</v>
      </c>
      <c r="AH554" s="110">
        <v>9.0000000000000011E-2</v>
      </c>
      <c r="AI554" s="110">
        <v>9.0000000000000011E-2</v>
      </c>
      <c r="AJ554" s="110">
        <v>9.0000000000000011E-2</v>
      </c>
      <c r="AK554" s="110">
        <v>9.0000000000000011E-2</v>
      </c>
      <c r="AL554" s="110">
        <v>9.0000000000000011E-2</v>
      </c>
      <c r="AM554" s="110">
        <v>9.0000000000000011E-2</v>
      </c>
      <c r="AN554" s="110">
        <v>9.0000000000000011E-2</v>
      </c>
      <c r="AO554" s="110">
        <v>9.0000000000000011E-2</v>
      </c>
      <c r="AP554" s="110">
        <v>9.0000000000000011E-2</v>
      </c>
      <c r="AQ554" s="110">
        <v>9.0000000000000011E-2</v>
      </c>
      <c r="AR554" s="110">
        <v>9.0000000000000011E-2</v>
      </c>
      <c r="AS554" s="110">
        <v>9.0000000000000011E-2</v>
      </c>
      <c r="AT554" s="110">
        <v>9.0000000000000011E-2</v>
      </c>
      <c r="AU554" s="110">
        <v>9.0000000000000011E-2</v>
      </c>
      <c r="AV554" s="110">
        <v>9.0000000000000011E-2</v>
      </c>
      <c r="AW554" s="110">
        <v>9.0000000000000011E-2</v>
      </c>
      <c r="AX554" s="110">
        <v>9.0000000000000011E-2</v>
      </c>
      <c r="AY554" s="110">
        <v>9.0000000000000011E-2</v>
      </c>
      <c r="AZ554" s="110">
        <v>9.0000000000000011E-2</v>
      </c>
      <c r="BA554" s="110">
        <v>9.0000000000000011E-2</v>
      </c>
      <c r="BB554" s="110">
        <v>9.0000000000000011E-2</v>
      </c>
      <c r="BC554" s="110">
        <f t="shared" si="216"/>
        <v>9.0000000000000011E-2</v>
      </c>
      <c r="BD554" s="110">
        <f t="shared" si="216"/>
        <v>9.0000000000000011E-2</v>
      </c>
      <c r="BE554" s="110">
        <f t="shared" si="216"/>
        <v>9.0000000000000011E-2</v>
      </c>
      <c r="BF554" s="110">
        <f t="shared" si="216"/>
        <v>9.0000000000000011E-2</v>
      </c>
      <c r="BG554" s="110">
        <f t="shared" si="216"/>
        <v>9.0000000000000011E-2</v>
      </c>
    </row>
    <row r="555" spans="1:59" ht="13.75" customHeight="1">
      <c r="A555" s="141" t="s">
        <v>166</v>
      </c>
      <c r="B555" s="142" t="s">
        <v>530</v>
      </c>
      <c r="C555" s="142" t="s">
        <v>547</v>
      </c>
      <c r="D555" s="142" t="s">
        <v>377</v>
      </c>
      <c r="F555" s="168" t="s">
        <v>550</v>
      </c>
      <c r="G555" s="142" t="s">
        <v>3</v>
      </c>
      <c r="H555" s="142"/>
      <c r="I555" s="142" t="s">
        <v>549</v>
      </c>
      <c r="X555" s="110"/>
      <c r="Y555" s="110"/>
      <c r="Z555" s="110">
        <v>0.11749999999999999</v>
      </c>
      <c r="AA555" s="110">
        <v>0.11749999999999999</v>
      </c>
      <c r="AB555" s="110">
        <v>0.115</v>
      </c>
      <c r="AC555" s="110">
        <v>0.1125</v>
      </c>
      <c r="AD555" s="110">
        <v>0.1125</v>
      </c>
      <c r="AE555" s="110">
        <v>0.11750000000000001</v>
      </c>
      <c r="AF555" s="110">
        <v>0.11750000000000001</v>
      </c>
      <c r="AG555" s="110">
        <v>0.11750000000000001</v>
      </c>
      <c r="AH555" s="110">
        <v>0.11250000000000002</v>
      </c>
      <c r="AI555" s="110">
        <v>0.11250000000000002</v>
      </c>
      <c r="AJ555" s="110">
        <v>0.11250000000000002</v>
      </c>
      <c r="AK555" s="110">
        <v>0.11250000000000002</v>
      </c>
      <c r="AL555" s="110">
        <v>0.11250000000000002</v>
      </c>
      <c r="AM555" s="110">
        <v>0.11250000000000002</v>
      </c>
      <c r="AN555" s="110">
        <v>0.11250000000000002</v>
      </c>
      <c r="AO555" s="110">
        <v>0.11250000000000002</v>
      </c>
      <c r="AP555" s="110">
        <v>0.11250000000000002</v>
      </c>
      <c r="AQ555" s="110">
        <v>0.11250000000000002</v>
      </c>
      <c r="AR555" s="110">
        <v>0.11250000000000002</v>
      </c>
      <c r="AS555" s="110">
        <v>0.11250000000000002</v>
      </c>
      <c r="AT555" s="110">
        <v>0.11250000000000002</v>
      </c>
      <c r="AU555" s="110">
        <v>0.11250000000000002</v>
      </c>
      <c r="AV555" s="110">
        <v>0.11250000000000002</v>
      </c>
      <c r="AW555" s="110">
        <v>0.11250000000000002</v>
      </c>
      <c r="AX555" s="110">
        <v>0.11250000000000002</v>
      </c>
      <c r="AY555" s="110">
        <v>0.11250000000000002</v>
      </c>
      <c r="AZ555" s="110">
        <v>0.11250000000000002</v>
      </c>
      <c r="BA555" s="110">
        <v>0.11250000000000002</v>
      </c>
      <c r="BB555" s="110">
        <v>0.11250000000000002</v>
      </c>
      <c r="BC555" s="110">
        <f t="shared" si="216"/>
        <v>0.11250000000000002</v>
      </c>
      <c r="BD555" s="110">
        <f t="shared" si="216"/>
        <v>0.11250000000000002</v>
      </c>
      <c r="BE555" s="110">
        <f t="shared" si="216"/>
        <v>0.11250000000000002</v>
      </c>
      <c r="BF555" s="110">
        <f t="shared" si="216"/>
        <v>0.11250000000000002</v>
      </c>
      <c r="BG555" s="110">
        <f t="shared" si="216"/>
        <v>0.11250000000000002</v>
      </c>
    </row>
    <row r="556" spans="1:59" ht="13.75" customHeight="1">
      <c r="A556" s="141" t="s">
        <v>166</v>
      </c>
      <c r="B556" s="142" t="s">
        <v>530</v>
      </c>
      <c r="C556" s="142" t="s">
        <v>551</v>
      </c>
      <c r="D556" s="142" t="s">
        <v>377</v>
      </c>
      <c r="F556" s="168" t="s">
        <v>552</v>
      </c>
      <c r="G556" s="142" t="s">
        <v>3</v>
      </c>
      <c r="H556" s="142"/>
      <c r="I556" s="142" t="s">
        <v>549</v>
      </c>
      <c r="X556" s="110"/>
      <c r="Y556" s="110"/>
      <c r="Z556" s="110">
        <v>0.11499999999999999</v>
      </c>
      <c r="AA556" s="110">
        <v>0.11499999999999999</v>
      </c>
      <c r="AB556" s="110">
        <v>0.11</v>
      </c>
      <c r="AC556" s="110">
        <v>0.105</v>
      </c>
      <c r="AD556" s="110">
        <v>0.10249999999999999</v>
      </c>
      <c r="AE556" s="110">
        <v>0.1075</v>
      </c>
      <c r="AF556" s="110">
        <v>0.1075</v>
      </c>
      <c r="AG556" s="110">
        <v>0.1075</v>
      </c>
      <c r="AH556" s="110">
        <v>0.10250000000000001</v>
      </c>
      <c r="AI556" s="110">
        <v>0.10250000000000001</v>
      </c>
      <c r="AJ556" s="110">
        <v>0.10250000000000001</v>
      </c>
      <c r="AK556" s="110">
        <v>0.10250000000000001</v>
      </c>
      <c r="AL556" s="110">
        <v>0.10250000000000001</v>
      </c>
      <c r="AM556" s="110">
        <v>0.10250000000000001</v>
      </c>
      <c r="AN556" s="110">
        <v>0.10250000000000001</v>
      </c>
      <c r="AO556" s="110">
        <v>0.10250000000000001</v>
      </c>
      <c r="AP556" s="110">
        <v>0.10250000000000001</v>
      </c>
      <c r="AQ556" s="110">
        <v>0.10250000000000001</v>
      </c>
      <c r="AR556" s="110">
        <v>0.10250000000000001</v>
      </c>
      <c r="AS556" s="110">
        <v>0.10250000000000001</v>
      </c>
      <c r="AT556" s="110">
        <v>0.10250000000000001</v>
      </c>
      <c r="AU556" s="110">
        <v>0.10250000000000001</v>
      </c>
      <c r="AV556" s="110">
        <v>0.10250000000000001</v>
      </c>
      <c r="AW556" s="110">
        <v>0.10250000000000001</v>
      </c>
      <c r="AX556" s="110">
        <v>0.10250000000000001</v>
      </c>
      <c r="AY556" s="110">
        <v>0.10250000000000001</v>
      </c>
      <c r="AZ556" s="110">
        <v>0.10250000000000001</v>
      </c>
      <c r="BA556" s="110">
        <v>0.10250000000000001</v>
      </c>
      <c r="BB556" s="110">
        <v>0.10250000000000001</v>
      </c>
      <c r="BC556" s="110">
        <f t="shared" si="216"/>
        <v>0.10250000000000001</v>
      </c>
      <c r="BD556" s="110">
        <f t="shared" si="216"/>
        <v>0.10250000000000001</v>
      </c>
      <c r="BE556" s="110">
        <f t="shared" si="216"/>
        <v>0.10250000000000001</v>
      </c>
      <c r="BF556" s="110">
        <f t="shared" si="216"/>
        <v>0.10250000000000001</v>
      </c>
      <c r="BG556" s="110">
        <f t="shared" si="216"/>
        <v>0.10250000000000001</v>
      </c>
    </row>
    <row r="557" spans="1:59" ht="13.75" customHeight="1">
      <c r="A557" s="141" t="s">
        <v>166</v>
      </c>
      <c r="B557" s="142" t="s">
        <v>530</v>
      </c>
      <c r="C557" s="142" t="s">
        <v>551</v>
      </c>
      <c r="D557" s="142" t="s">
        <v>377</v>
      </c>
      <c r="F557" s="168" t="s">
        <v>553</v>
      </c>
      <c r="G557" s="142" t="s">
        <v>3</v>
      </c>
      <c r="H557" s="142"/>
      <c r="I557" s="142" t="s">
        <v>549</v>
      </c>
      <c r="X557" s="110"/>
      <c r="Y557" s="110"/>
      <c r="Z557" s="110">
        <v>0.13500000000000001</v>
      </c>
      <c r="AA557" s="110">
        <v>0.13500000000000001</v>
      </c>
      <c r="AB557" s="110">
        <v>0.13250000000000001</v>
      </c>
      <c r="AC557" s="110">
        <v>0.1275</v>
      </c>
      <c r="AD557" s="110">
        <v>0.125</v>
      </c>
      <c r="AE557" s="110">
        <v>0.13</v>
      </c>
      <c r="AF557" s="110">
        <v>0.13</v>
      </c>
      <c r="AG557" s="110">
        <v>0.13</v>
      </c>
      <c r="AH557" s="110">
        <v>0.125</v>
      </c>
      <c r="AI557" s="110">
        <v>0.125</v>
      </c>
      <c r="AJ557" s="110">
        <v>0.125</v>
      </c>
      <c r="AK557" s="110">
        <v>0.125</v>
      </c>
      <c r="AL557" s="110">
        <v>0.125</v>
      </c>
      <c r="AM557" s="110">
        <v>0.125</v>
      </c>
      <c r="AN557" s="110">
        <v>0.125</v>
      </c>
      <c r="AO557" s="110">
        <v>0.125</v>
      </c>
      <c r="AP557" s="110">
        <v>0.125</v>
      </c>
      <c r="AQ557" s="110">
        <v>0.125</v>
      </c>
      <c r="AR557" s="110">
        <v>0.125</v>
      </c>
      <c r="AS557" s="110">
        <v>0.125</v>
      </c>
      <c r="AT557" s="110">
        <v>0.125</v>
      </c>
      <c r="AU557" s="110">
        <v>0.125</v>
      </c>
      <c r="AV557" s="110">
        <v>0.125</v>
      </c>
      <c r="AW557" s="110">
        <v>0.125</v>
      </c>
      <c r="AX557" s="110">
        <v>0.125</v>
      </c>
      <c r="AY557" s="110">
        <v>0.125</v>
      </c>
      <c r="AZ557" s="110">
        <v>0.125</v>
      </c>
      <c r="BA557" s="110">
        <v>0.125</v>
      </c>
      <c r="BB557" s="110">
        <v>0.125</v>
      </c>
      <c r="BC557" s="110">
        <f t="shared" si="216"/>
        <v>0.125</v>
      </c>
      <c r="BD557" s="110">
        <f t="shared" si="216"/>
        <v>0.125</v>
      </c>
      <c r="BE557" s="110">
        <f t="shared" si="216"/>
        <v>0.125</v>
      </c>
      <c r="BF557" s="110">
        <f t="shared" si="216"/>
        <v>0.125</v>
      </c>
      <c r="BG557" s="110">
        <f t="shared" si="216"/>
        <v>0.125</v>
      </c>
    </row>
    <row r="558" spans="1:59" ht="13.75" customHeight="1">
      <c r="A558" s="141" t="s">
        <v>166</v>
      </c>
      <c r="B558" s="142" t="s">
        <v>530</v>
      </c>
      <c r="C558" s="170" t="s">
        <v>554</v>
      </c>
      <c r="D558" s="142" t="s">
        <v>377</v>
      </c>
      <c r="F558" s="168" t="s">
        <v>555</v>
      </c>
      <c r="G558" s="109" t="s">
        <v>3</v>
      </c>
      <c r="X558" s="110"/>
      <c r="Y558" s="110">
        <v>0.1</v>
      </c>
      <c r="Z558" s="110">
        <v>9.5000000000000001E-2</v>
      </c>
      <c r="AA558" s="110">
        <v>9.5000000000000001E-2</v>
      </c>
      <c r="AB558" s="110">
        <v>9.2499999999999999E-2</v>
      </c>
      <c r="AC558" s="110">
        <v>0.09</v>
      </c>
      <c r="AD558" s="110">
        <v>0.09</v>
      </c>
      <c r="AE558" s="110">
        <v>9.5000000000000001E-2</v>
      </c>
      <c r="AF558" s="110">
        <v>9.5000000000000001E-2</v>
      </c>
      <c r="AG558" s="110">
        <v>9.7500000000000003E-2</v>
      </c>
      <c r="AH558" s="110">
        <v>9.2499999999999999E-2</v>
      </c>
      <c r="AI558" s="110">
        <v>9.2499999999999999E-2</v>
      </c>
      <c r="AJ558" s="110">
        <v>9.2499999999999999E-2</v>
      </c>
      <c r="AK558" s="110">
        <v>9.2499999999999999E-2</v>
      </c>
      <c r="AL558" s="110">
        <v>9.2499999999999999E-2</v>
      </c>
      <c r="AM558" s="110">
        <v>9.2499999999999999E-2</v>
      </c>
      <c r="AN558" s="110">
        <v>9.2499999999999999E-2</v>
      </c>
      <c r="AO558" s="110">
        <v>9.2499999999999999E-2</v>
      </c>
      <c r="AP558" s="110">
        <v>9.2499999999999999E-2</v>
      </c>
      <c r="AQ558" s="110">
        <v>9.2499999999999999E-2</v>
      </c>
      <c r="AR558" s="110">
        <v>9.2499999999999999E-2</v>
      </c>
      <c r="AS558" s="110">
        <v>9.2499999999999999E-2</v>
      </c>
      <c r="AT558" s="110">
        <v>9.2499999999999999E-2</v>
      </c>
      <c r="AU558" s="110">
        <v>9.2499999999999999E-2</v>
      </c>
      <c r="AV558" s="110">
        <v>9.2499999999999999E-2</v>
      </c>
      <c r="AW558" s="110">
        <v>9.2499999999999999E-2</v>
      </c>
      <c r="AX558" s="110">
        <v>9.2499999999999999E-2</v>
      </c>
      <c r="AY558" s="110">
        <v>9.2499999999999999E-2</v>
      </c>
      <c r="AZ558" s="110">
        <v>9.2499999999999999E-2</v>
      </c>
      <c r="BA558" s="110">
        <v>9.2499999999999999E-2</v>
      </c>
      <c r="BB558" s="110">
        <v>9.2499999999999999E-2</v>
      </c>
      <c r="BC558" s="110">
        <f t="shared" si="216"/>
        <v>9.2499999999999999E-2</v>
      </c>
      <c r="BD558" s="110">
        <f t="shared" si="216"/>
        <v>9.2499999999999999E-2</v>
      </c>
      <c r="BE558" s="110">
        <f t="shared" si="216"/>
        <v>9.2499999999999999E-2</v>
      </c>
      <c r="BF558" s="110">
        <f t="shared" si="216"/>
        <v>9.2499999999999999E-2</v>
      </c>
      <c r="BG558" s="110">
        <f t="shared" si="216"/>
        <v>9.2499999999999999E-2</v>
      </c>
    </row>
    <row r="559" spans="1:59" ht="13.75" customHeight="1">
      <c r="A559" s="141" t="s">
        <v>166</v>
      </c>
      <c r="B559" s="142" t="s">
        <v>530</v>
      </c>
      <c r="C559" s="170" t="s">
        <v>554</v>
      </c>
      <c r="D559" s="142" t="s">
        <v>377</v>
      </c>
      <c r="F559" s="168" t="s">
        <v>556</v>
      </c>
      <c r="G559" s="109" t="s">
        <v>3</v>
      </c>
      <c r="X559" s="110"/>
      <c r="Y559" s="110">
        <v>0.125</v>
      </c>
      <c r="Z559" s="110">
        <v>0.11</v>
      </c>
      <c r="AA559" s="110">
        <v>0.11</v>
      </c>
      <c r="AB559" s="110">
        <v>0.1075</v>
      </c>
      <c r="AC559" s="110">
        <v>0.105</v>
      </c>
      <c r="AD559" s="110">
        <v>0.105</v>
      </c>
      <c r="AE559" s="110">
        <v>0.11</v>
      </c>
      <c r="AF559" s="110">
        <v>0.11</v>
      </c>
      <c r="AG559" s="110">
        <v>0.1125</v>
      </c>
      <c r="AH559" s="110">
        <v>0.1075</v>
      </c>
      <c r="AI559" s="110">
        <v>0.1075</v>
      </c>
      <c r="AJ559" s="110">
        <v>0.1075</v>
      </c>
      <c r="AK559" s="110">
        <v>0.1075</v>
      </c>
      <c r="AL559" s="110">
        <v>0.1075</v>
      </c>
      <c r="AM559" s="110">
        <v>0.1075</v>
      </c>
      <c r="AN559" s="110">
        <v>0.1075</v>
      </c>
      <c r="AO559" s="110">
        <v>0.1075</v>
      </c>
      <c r="AP559" s="110">
        <v>0.1075</v>
      </c>
      <c r="AQ559" s="110">
        <v>0.1075</v>
      </c>
      <c r="AR559" s="110">
        <v>0.1075</v>
      </c>
      <c r="AS559" s="110">
        <v>0.1075</v>
      </c>
      <c r="AT559" s="110">
        <v>0.1075</v>
      </c>
      <c r="AU559" s="110">
        <v>0.1075</v>
      </c>
      <c r="AV559" s="110">
        <v>0.1075</v>
      </c>
      <c r="AW559" s="110">
        <v>0.1075</v>
      </c>
      <c r="AX559" s="110">
        <v>0.1075</v>
      </c>
      <c r="AY559" s="110">
        <v>0.1075</v>
      </c>
      <c r="AZ559" s="110">
        <v>0.1075</v>
      </c>
      <c r="BA559" s="110">
        <v>0.1075</v>
      </c>
      <c r="BB559" s="110">
        <v>0.1075</v>
      </c>
      <c r="BC559" s="110">
        <f t="shared" si="216"/>
        <v>0.1075</v>
      </c>
      <c r="BD559" s="110">
        <f t="shared" si="216"/>
        <v>0.1075</v>
      </c>
      <c r="BE559" s="110">
        <f t="shared" si="216"/>
        <v>0.1075</v>
      </c>
      <c r="BF559" s="110">
        <f t="shared" si="216"/>
        <v>0.1075</v>
      </c>
      <c r="BG559" s="110">
        <f t="shared" si="216"/>
        <v>0.1075</v>
      </c>
    </row>
    <row r="560" spans="1:59" ht="13.75" customHeight="1">
      <c r="A560" s="141" t="s">
        <v>166</v>
      </c>
      <c r="B560" s="142" t="s">
        <v>530</v>
      </c>
      <c r="C560" s="170" t="s">
        <v>543</v>
      </c>
      <c r="D560" s="142" t="s">
        <v>377</v>
      </c>
      <c r="F560" s="168" t="s">
        <v>557</v>
      </c>
      <c r="G560" s="109" t="s">
        <v>3</v>
      </c>
      <c r="X560" s="107"/>
      <c r="Y560" s="107"/>
      <c r="Z560" s="107">
        <v>0.29166666666666663</v>
      </c>
      <c r="AA560" s="107">
        <v>0.2340000000000001</v>
      </c>
      <c r="AB560" s="107">
        <v>0.21799999999999997</v>
      </c>
      <c r="AC560" s="107">
        <v>0.61499999999999999</v>
      </c>
      <c r="AD560" s="107">
        <v>0.39500000000000002</v>
      </c>
      <c r="AE560" s="107">
        <v>0.43299999999999994</v>
      </c>
      <c r="AF560" s="107">
        <v>0.42299999999999993</v>
      </c>
      <c r="AG560" s="107">
        <v>0.40299999999999997</v>
      </c>
      <c r="AH560" s="107">
        <v>0.35299999999999998</v>
      </c>
      <c r="AI560" s="107">
        <v>0.32299999999999995</v>
      </c>
      <c r="AJ560" s="107">
        <v>0.32299999999999995</v>
      </c>
      <c r="AK560" s="107">
        <v>0.32299999999999995</v>
      </c>
      <c r="AL560" s="107">
        <v>0.32299999999999995</v>
      </c>
      <c r="AM560" s="107">
        <v>0.32299999999999995</v>
      </c>
      <c r="AN560" s="107">
        <v>0.32299999999999995</v>
      </c>
      <c r="AO560" s="107">
        <v>0.32299999999999995</v>
      </c>
      <c r="AP560" s="107">
        <v>0.32299999999999995</v>
      </c>
      <c r="AQ560" s="107">
        <v>0.32299999999999995</v>
      </c>
      <c r="AR560" s="107">
        <v>0.32299999999999995</v>
      </c>
      <c r="AS560" s="107">
        <v>0.32299999999999995</v>
      </c>
      <c r="AT560" s="107">
        <v>0.32299999999999995</v>
      </c>
      <c r="AU560" s="107">
        <v>0.32299999999999995</v>
      </c>
      <c r="AV560" s="107">
        <v>0.32299999999999995</v>
      </c>
      <c r="AW560" s="107">
        <v>0.32299999999999995</v>
      </c>
      <c r="AX560" s="107">
        <v>0.32299999999999995</v>
      </c>
      <c r="AY560" s="107">
        <v>0.32299999999999995</v>
      </c>
      <c r="AZ560" s="107">
        <v>0.32299999999999995</v>
      </c>
      <c r="BA560" s="107">
        <v>0.32299999999999995</v>
      </c>
      <c r="BB560" s="107">
        <v>0.32299999999999995</v>
      </c>
      <c r="BC560" s="107">
        <f t="shared" si="216"/>
        <v>0.32299999999999995</v>
      </c>
      <c r="BD560" s="107">
        <f t="shared" si="216"/>
        <v>0.32299999999999995</v>
      </c>
      <c r="BE560" s="107">
        <f t="shared" si="216"/>
        <v>0.32299999999999995</v>
      </c>
      <c r="BF560" s="107">
        <f t="shared" si="216"/>
        <v>0.32299999999999995</v>
      </c>
      <c r="BG560" s="107">
        <f t="shared" si="216"/>
        <v>0.32299999999999995</v>
      </c>
    </row>
    <row r="561" spans="1:59" ht="13.75" customHeight="1">
      <c r="A561" s="141" t="s">
        <v>166</v>
      </c>
      <c r="B561" s="142" t="s">
        <v>530</v>
      </c>
      <c r="C561" s="142" t="s">
        <v>547</v>
      </c>
      <c r="D561" s="142" t="s">
        <v>377</v>
      </c>
      <c r="F561" s="168" t="s">
        <v>558</v>
      </c>
      <c r="G561" s="142" t="s">
        <v>3</v>
      </c>
      <c r="H561" s="142"/>
      <c r="I561" s="142" t="s">
        <v>549</v>
      </c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10">
        <v>0.105045</v>
      </c>
      <c r="AA561" s="110">
        <v>8.7044999999999997E-2</v>
      </c>
      <c r="AB561" s="110">
        <v>8.1192500000000001E-2</v>
      </c>
      <c r="AC561" s="110">
        <v>0.11863294520547944</v>
      </c>
      <c r="AD561" s="110">
        <v>0.11444731598029825</v>
      </c>
      <c r="AE561" s="110">
        <v>0.1082</v>
      </c>
      <c r="AF561" s="110">
        <v>0.1039787118816598</v>
      </c>
      <c r="AG561" s="110">
        <v>0.11717105880345681</v>
      </c>
      <c r="AH561" s="110">
        <v>0.10815211721596217</v>
      </c>
      <c r="AI561" s="110">
        <v>0.10089626416668686</v>
      </c>
      <c r="AJ561" s="110">
        <v>9.4096264166686858E-2</v>
      </c>
      <c r="AK561" s="110">
        <v>9.4096264166686858E-2</v>
      </c>
      <c r="AL561" s="110">
        <v>9.4096264166686858E-2</v>
      </c>
      <c r="AM561" s="110">
        <v>9.4096264166686858E-2</v>
      </c>
      <c r="AN561" s="110">
        <v>9.4096264166686858E-2</v>
      </c>
      <c r="AO561" s="110">
        <v>9.4096264166686858E-2</v>
      </c>
      <c r="AP561" s="110">
        <v>9.4096264166686858E-2</v>
      </c>
      <c r="AQ561" s="110">
        <v>9.4096264166686858E-2</v>
      </c>
      <c r="AR561" s="110">
        <v>9.4096264166686858E-2</v>
      </c>
      <c r="AS561" s="110">
        <v>9.4096264166686858E-2</v>
      </c>
      <c r="AT561" s="110">
        <v>9.4096264166686858E-2</v>
      </c>
      <c r="AU561" s="110">
        <v>9.4096264166686858E-2</v>
      </c>
      <c r="AV561" s="110">
        <v>9.4096264166686858E-2</v>
      </c>
      <c r="AW561" s="110">
        <v>9.4096264166686858E-2</v>
      </c>
      <c r="AX561" s="110">
        <v>9.4096264166686858E-2</v>
      </c>
      <c r="AY561" s="110">
        <v>9.4096264166686858E-2</v>
      </c>
      <c r="AZ561" s="110">
        <v>9.4096264166686858E-2</v>
      </c>
      <c r="BA561" s="110">
        <v>9.4096264166686858E-2</v>
      </c>
      <c r="BB561" s="110">
        <v>9.4096264166686858E-2</v>
      </c>
      <c r="BC561" s="110">
        <f t="shared" si="216"/>
        <v>9.4096264166686858E-2</v>
      </c>
      <c r="BD561" s="110">
        <f t="shared" si="216"/>
        <v>9.4096264166686858E-2</v>
      </c>
      <c r="BE561" s="110">
        <f t="shared" si="216"/>
        <v>9.4096264166686858E-2</v>
      </c>
      <c r="BF561" s="110">
        <f t="shared" si="216"/>
        <v>9.4096264166686858E-2</v>
      </c>
      <c r="BG561" s="110">
        <f t="shared" si="216"/>
        <v>9.4096264166686858E-2</v>
      </c>
    </row>
    <row r="562" spans="1:59" ht="13.75" customHeight="1">
      <c r="A562" s="141" t="s">
        <v>166</v>
      </c>
      <c r="B562" s="142" t="s">
        <v>530</v>
      </c>
      <c r="C562" s="142" t="s">
        <v>551</v>
      </c>
      <c r="D562" s="142" t="s">
        <v>377</v>
      </c>
      <c r="F562" s="168" t="s">
        <v>559</v>
      </c>
      <c r="G562" s="142" t="s">
        <v>3</v>
      </c>
      <c r="H562" s="142"/>
      <c r="I562" s="142" t="s">
        <v>549</v>
      </c>
      <c r="X562" s="107"/>
      <c r="Y562" s="107"/>
      <c r="Z562" s="110">
        <v>7.9000000000000001E-2</v>
      </c>
      <c r="AA562" s="110">
        <v>6.2E-2</v>
      </c>
      <c r="AB562" s="110">
        <v>3.6999999999999998E-2</v>
      </c>
      <c r="AC562" s="110">
        <v>3.4999999999999996E-2</v>
      </c>
      <c r="AD562" s="110">
        <v>0.01</v>
      </c>
      <c r="AE562" s="110">
        <v>1.7999999999999999E-2</v>
      </c>
      <c r="AF562" s="110">
        <v>3.0264701918325171E-2</v>
      </c>
      <c r="AG562" s="110">
        <v>5.7999999999999996E-2</v>
      </c>
      <c r="AH562" s="110">
        <v>5.7999999999999996E-2</v>
      </c>
      <c r="AI562" s="110">
        <v>5.7999999999999996E-2</v>
      </c>
      <c r="AJ562" s="110">
        <v>5.7999999999999996E-2</v>
      </c>
      <c r="AK562" s="110">
        <v>5.7999999999999996E-2</v>
      </c>
      <c r="AL562" s="110">
        <v>5.7999999999999996E-2</v>
      </c>
      <c r="AM562" s="110">
        <v>5.7999999999999996E-2</v>
      </c>
      <c r="AN562" s="110">
        <v>5.7999999999999996E-2</v>
      </c>
      <c r="AO562" s="110">
        <v>5.7999999999999996E-2</v>
      </c>
      <c r="AP562" s="110">
        <v>5.7999999999999996E-2</v>
      </c>
      <c r="AQ562" s="110">
        <v>5.7999999999999996E-2</v>
      </c>
      <c r="AR562" s="110">
        <v>5.7999999999999996E-2</v>
      </c>
      <c r="AS562" s="110">
        <v>5.7999999999999996E-2</v>
      </c>
      <c r="AT562" s="110">
        <v>5.7999999999999996E-2</v>
      </c>
      <c r="AU562" s="110">
        <v>5.7999999999999996E-2</v>
      </c>
      <c r="AV562" s="110">
        <v>5.7999999999999996E-2</v>
      </c>
      <c r="AW562" s="110">
        <v>5.7999999999999996E-2</v>
      </c>
      <c r="AX562" s="110">
        <v>5.7999999999999996E-2</v>
      </c>
      <c r="AY562" s="110">
        <v>5.7999999999999996E-2</v>
      </c>
      <c r="AZ562" s="110">
        <v>5.7999999999999996E-2</v>
      </c>
      <c r="BA562" s="110">
        <v>5.7999999999999996E-2</v>
      </c>
      <c r="BB562" s="110">
        <v>5.7999999999999996E-2</v>
      </c>
      <c r="BC562" s="110">
        <f t="shared" si="216"/>
        <v>5.7999999999999996E-2</v>
      </c>
      <c r="BD562" s="110">
        <f t="shared" si="216"/>
        <v>5.7999999999999996E-2</v>
      </c>
      <c r="BE562" s="110">
        <f t="shared" si="216"/>
        <v>5.7999999999999996E-2</v>
      </c>
      <c r="BF562" s="110">
        <f t="shared" si="216"/>
        <v>5.7999999999999996E-2</v>
      </c>
      <c r="BG562" s="110">
        <f t="shared" si="216"/>
        <v>5.7999999999999996E-2</v>
      </c>
    </row>
    <row r="563" spans="1:59" ht="13.75" customHeight="1">
      <c r="A563" s="141" t="s">
        <v>166</v>
      </c>
      <c r="B563" s="142" t="s">
        <v>530</v>
      </c>
      <c r="C563" s="170" t="s">
        <v>554</v>
      </c>
      <c r="D563" s="142" t="s">
        <v>377</v>
      </c>
      <c r="F563" s="168" t="s">
        <v>560</v>
      </c>
      <c r="G563" s="109" t="s">
        <v>3</v>
      </c>
      <c r="L563" s="107">
        <v>1.6E-2</v>
      </c>
      <c r="M563" s="107">
        <v>1.2999999999999999E-2</v>
      </c>
      <c r="N563" s="107">
        <v>7.0000000000000001E-3</v>
      </c>
      <c r="O563" s="107">
        <v>7.0000000000000001E-3</v>
      </c>
      <c r="P563" s="107">
        <v>0.01</v>
      </c>
      <c r="Q563" s="107">
        <v>0.03</v>
      </c>
      <c r="R563" s="107">
        <v>0.06</v>
      </c>
      <c r="S563" s="107">
        <v>0.05</v>
      </c>
      <c r="T563" s="107">
        <v>0.03</v>
      </c>
      <c r="U563" s="107">
        <v>0.02</v>
      </c>
      <c r="V563" s="107">
        <v>2.8000000000000001E-2</v>
      </c>
      <c r="W563" s="107">
        <v>0.06</v>
      </c>
      <c r="X563" s="107">
        <v>0.08</v>
      </c>
      <c r="Y563" s="107">
        <v>0.11</v>
      </c>
      <c r="Z563" s="107">
        <v>0.10100000000000001</v>
      </c>
      <c r="AA563" s="107">
        <v>8.5999999999999993E-2</v>
      </c>
      <c r="AB563" s="107">
        <v>9.0999999999999998E-2</v>
      </c>
      <c r="AC563" s="107">
        <v>0.107</v>
      </c>
      <c r="AD563" s="107">
        <v>0.115</v>
      </c>
      <c r="AE563" s="107">
        <v>0.14899999999999999</v>
      </c>
      <c r="AF563" s="107">
        <v>0.1349251546518038</v>
      </c>
      <c r="AG563" s="107">
        <v>0.1301402553397471</v>
      </c>
      <c r="AH563" s="107">
        <v>0.11620181850597257</v>
      </c>
      <c r="AI563" s="107">
        <v>0.10120181850597257</v>
      </c>
      <c r="AJ563" s="107">
        <v>9.6201818505972564E-2</v>
      </c>
      <c r="AK563" s="107">
        <v>9.6201818505972564E-2</v>
      </c>
      <c r="AL563" s="107">
        <v>9.6201818505972564E-2</v>
      </c>
      <c r="AM563" s="107">
        <v>9.6201818505972564E-2</v>
      </c>
      <c r="AN563" s="107">
        <v>9.6201818505972564E-2</v>
      </c>
      <c r="AO563" s="107">
        <v>9.6201818505972564E-2</v>
      </c>
      <c r="AP563" s="107">
        <v>9.6201818505972564E-2</v>
      </c>
      <c r="AQ563" s="107">
        <v>9.6201818505972564E-2</v>
      </c>
      <c r="AR563" s="107">
        <v>9.6201818505972564E-2</v>
      </c>
      <c r="AS563" s="107">
        <v>9.6201818505972564E-2</v>
      </c>
      <c r="AT563" s="107">
        <v>9.6201818505972564E-2</v>
      </c>
      <c r="AU563" s="107">
        <v>9.6201818505972564E-2</v>
      </c>
      <c r="AV563" s="107">
        <v>9.6201818505972564E-2</v>
      </c>
      <c r="AW563" s="107">
        <v>9.6201818505972564E-2</v>
      </c>
      <c r="AX563" s="107">
        <v>9.6201818505972564E-2</v>
      </c>
      <c r="AY563" s="107">
        <v>9.6201818505972564E-2</v>
      </c>
      <c r="AZ563" s="107">
        <v>9.6201818505972564E-2</v>
      </c>
      <c r="BA563" s="107">
        <v>9.6201818505972564E-2</v>
      </c>
      <c r="BB563" s="107">
        <v>9.6201818505972564E-2</v>
      </c>
      <c r="BC563" s="107">
        <f t="shared" si="216"/>
        <v>9.6201818505972564E-2</v>
      </c>
      <c r="BD563" s="107">
        <f t="shared" si="216"/>
        <v>9.6201818505972564E-2</v>
      </c>
      <c r="BE563" s="107">
        <f t="shared" si="216"/>
        <v>9.6201818505972564E-2</v>
      </c>
      <c r="BF563" s="107">
        <f t="shared" si="216"/>
        <v>9.6201818505972564E-2</v>
      </c>
      <c r="BG563" s="107">
        <f t="shared" si="216"/>
        <v>9.6201818505972564E-2</v>
      </c>
    </row>
    <row r="564" spans="1:59" ht="13.75" customHeight="1">
      <c r="A564" s="141" t="s">
        <v>166</v>
      </c>
      <c r="B564" s="142" t="s">
        <v>530</v>
      </c>
      <c r="C564" s="170" t="s">
        <v>547</v>
      </c>
      <c r="D564" s="142" t="s">
        <v>377</v>
      </c>
      <c r="F564" s="168" t="s">
        <v>561</v>
      </c>
      <c r="G564" s="109" t="s">
        <v>3</v>
      </c>
      <c r="K564" s="107">
        <v>3.9912762829645843E-3</v>
      </c>
      <c r="L564" s="107">
        <v>-1.6236345590277201E-2</v>
      </c>
      <c r="M564" s="107">
        <v>7.9434971955183453E-2</v>
      </c>
      <c r="N564" s="107">
        <v>3.3884496513613804E-2</v>
      </c>
      <c r="O564" s="107">
        <v>9.3034814507108043E-2</v>
      </c>
      <c r="P564" s="107">
        <v>0.1357363168061263</v>
      </c>
      <c r="Q564" s="107">
        <v>0.22483711565783127</v>
      </c>
      <c r="R564" s="107">
        <v>-0.36156967974364462</v>
      </c>
      <c r="S564" s="107">
        <v>-3.2156469509323493E-3</v>
      </c>
      <c r="T564" s="107">
        <v>2.5428474290161152E-2</v>
      </c>
      <c r="U564" s="107">
        <v>0.14825567168483622</v>
      </c>
      <c r="V564" s="107">
        <v>0.10912804589846958</v>
      </c>
      <c r="W564" s="107">
        <v>-6.226708243569079E-2</v>
      </c>
      <c r="X564" s="107">
        <v>9.1848319743374374E-2</v>
      </c>
      <c r="Y564" s="107">
        <v>-9.3389758904701581E-2</v>
      </c>
      <c r="Z564" s="107">
        <v>-1.8338295531031057E-2</v>
      </c>
      <c r="AA564" s="107">
        <v>7.9562799246192473E-2</v>
      </c>
      <c r="AB564" s="107">
        <v>4.3439390574297992E-2</v>
      </c>
      <c r="AC564" s="107">
        <v>1.2999999999999999E-2</v>
      </c>
      <c r="AD564" s="107">
        <v>3.3212445123115053E-2</v>
      </c>
      <c r="AE564" s="107">
        <v>-0.05</v>
      </c>
      <c r="AF564" s="107">
        <v>0</v>
      </c>
      <c r="AG564" s="107">
        <v>-3.4310987109914537E-3</v>
      </c>
      <c r="AH564" s="107">
        <v>4.4711118252260151E-2</v>
      </c>
      <c r="AI564" s="107">
        <v>4.9380292580568419E-2</v>
      </c>
      <c r="AJ564" s="107">
        <v>4.9850795575686835E-2</v>
      </c>
      <c r="AK564" s="107">
        <v>4.0000000000000036E-2</v>
      </c>
      <c r="AL564" s="107">
        <v>4.0000000000000036E-2</v>
      </c>
      <c r="AM564" s="107">
        <v>4.0000000000000036E-2</v>
      </c>
      <c r="AN564" s="107">
        <v>4.0000000000000036E-2</v>
      </c>
      <c r="AO564" s="107">
        <v>4.0000000000000036E-2</v>
      </c>
      <c r="AP564" s="107">
        <v>4.0000000000000036E-2</v>
      </c>
      <c r="AQ564" s="107">
        <v>4.0000000000000036E-2</v>
      </c>
      <c r="AR564" s="107">
        <v>4.0000000000000036E-2</v>
      </c>
      <c r="AS564" s="107">
        <v>4.0000000000000036E-2</v>
      </c>
      <c r="AT564" s="107">
        <v>4.0000000000000036E-2</v>
      </c>
      <c r="AU564" s="107">
        <v>4.0000000000000036E-2</v>
      </c>
      <c r="AV564" s="107">
        <v>4.0000000000000036E-2</v>
      </c>
      <c r="AW564" s="107">
        <v>4.0000000000000036E-2</v>
      </c>
      <c r="AX564" s="107">
        <v>4.0000000000000036E-2</v>
      </c>
      <c r="AY564" s="107">
        <v>4.0000000000000036E-2</v>
      </c>
      <c r="AZ564" s="107">
        <v>4.0000000000000036E-2</v>
      </c>
      <c r="BA564" s="107">
        <v>4.0000000000000036E-2</v>
      </c>
      <c r="BB564" s="107">
        <v>4.0000000000000036E-2</v>
      </c>
      <c r="BC564" s="107">
        <f t="shared" si="216"/>
        <v>4.0000000000000036E-2</v>
      </c>
      <c r="BD564" s="107">
        <f t="shared" si="216"/>
        <v>4.0000000000000036E-2</v>
      </c>
      <c r="BE564" s="107">
        <f t="shared" si="216"/>
        <v>4.0000000000000036E-2</v>
      </c>
      <c r="BF564" s="107">
        <f t="shared" si="216"/>
        <v>4.0000000000000036E-2</v>
      </c>
      <c r="BG564" s="107">
        <f t="shared" si="216"/>
        <v>4.0000000000000036E-2</v>
      </c>
    </row>
    <row r="565" spans="1:59" ht="13.75" customHeight="1">
      <c r="A565" s="141" t="s">
        <v>166</v>
      </c>
      <c r="B565" s="142" t="s">
        <v>530</v>
      </c>
      <c r="C565" s="170" t="s">
        <v>551</v>
      </c>
      <c r="D565" s="142" t="s">
        <v>377</v>
      </c>
      <c r="F565" s="168" t="s">
        <v>562</v>
      </c>
      <c r="G565" s="109" t="s">
        <v>3</v>
      </c>
      <c r="K565" s="107">
        <v>0.18436140886486641</v>
      </c>
      <c r="L565" s="107">
        <v>0.15875134903481358</v>
      </c>
      <c r="M565" s="107">
        <v>3.7879122856574243E-2</v>
      </c>
      <c r="N565" s="107">
        <v>-4.6577196215583427E-2</v>
      </c>
      <c r="O565" s="107">
        <v>-9.3842391275719139E-3</v>
      </c>
      <c r="P565" s="107">
        <v>-8.723978634740337E-2</v>
      </c>
      <c r="Q565" s="107">
        <v>7.2181893334628544E-2</v>
      </c>
      <c r="R565" s="107">
        <v>-0.10451875792389653</v>
      </c>
      <c r="S565" s="107">
        <v>6.1520691116587756E-2</v>
      </c>
      <c r="T565" s="107">
        <v>0.17531098096333575</v>
      </c>
      <c r="U565" s="107">
        <v>7.2582762430523085E-2</v>
      </c>
      <c r="V565" s="107">
        <v>2.6669640717010612E-2</v>
      </c>
      <c r="W565" s="107">
        <v>1.3155296347179268E-2</v>
      </c>
      <c r="X565" s="107">
        <v>-6.6761320365148813E-2</v>
      </c>
      <c r="Y565" s="107">
        <v>-4.148350807071044E-2</v>
      </c>
      <c r="Z565" s="107">
        <v>-6.2559708389305579E-2</v>
      </c>
      <c r="AA565" s="107">
        <v>2.7804678561840657E-2</v>
      </c>
      <c r="AB565" s="107">
        <v>7.1428571428571397E-2</v>
      </c>
      <c r="AC565" s="107">
        <v>5.3333333333333233E-2</v>
      </c>
      <c r="AD565" s="107">
        <v>0.31645569620253156</v>
      </c>
      <c r="AE565" s="107">
        <v>0</v>
      </c>
      <c r="AF565" s="107">
        <v>0.05</v>
      </c>
      <c r="AG565" s="107">
        <v>5.4118161371849341E-2</v>
      </c>
      <c r="AH565" s="107">
        <v>4.3453021866158847E-2</v>
      </c>
      <c r="AI565" s="107">
        <v>4.0391390824965567E-2</v>
      </c>
      <c r="AJ565" s="107">
        <v>4.0000000000000036E-2</v>
      </c>
      <c r="AK565" s="107">
        <v>4.0000000000000036E-2</v>
      </c>
      <c r="AL565" s="107">
        <v>4.0000000000000036E-2</v>
      </c>
      <c r="AM565" s="107">
        <v>4.0000000000000036E-2</v>
      </c>
      <c r="AN565" s="107">
        <v>4.0000000000000036E-2</v>
      </c>
      <c r="AO565" s="107">
        <v>4.0000000000000036E-2</v>
      </c>
      <c r="AP565" s="107">
        <v>4.0000000000000036E-2</v>
      </c>
      <c r="AQ565" s="107">
        <v>4.0000000000000036E-2</v>
      </c>
      <c r="AR565" s="107">
        <v>4.0000000000000036E-2</v>
      </c>
      <c r="AS565" s="107">
        <v>4.0000000000000036E-2</v>
      </c>
      <c r="AT565" s="107">
        <v>4.0000000000000036E-2</v>
      </c>
      <c r="AU565" s="107">
        <v>4.0000000000000036E-2</v>
      </c>
      <c r="AV565" s="107">
        <v>4.0000000000000036E-2</v>
      </c>
      <c r="AW565" s="107">
        <v>4.0000000000000036E-2</v>
      </c>
      <c r="AX565" s="107">
        <v>4.0000000000000036E-2</v>
      </c>
      <c r="AY565" s="107">
        <v>4.0000000000000036E-2</v>
      </c>
      <c r="AZ565" s="107">
        <v>4.0000000000000036E-2</v>
      </c>
      <c r="BA565" s="107">
        <v>4.0000000000000036E-2</v>
      </c>
      <c r="BB565" s="107">
        <v>4.0000000000000036E-2</v>
      </c>
      <c r="BC565" s="107">
        <f t="shared" si="216"/>
        <v>4.0000000000000036E-2</v>
      </c>
      <c r="BD565" s="107">
        <f t="shared" si="216"/>
        <v>4.0000000000000036E-2</v>
      </c>
      <c r="BE565" s="107">
        <f t="shared" si="216"/>
        <v>4.0000000000000036E-2</v>
      </c>
      <c r="BF565" s="107">
        <f t="shared" si="216"/>
        <v>4.0000000000000036E-2</v>
      </c>
      <c r="BG565" s="107">
        <f t="shared" si="216"/>
        <v>4.0000000000000036E-2</v>
      </c>
    </row>
    <row r="566" spans="1:59" ht="13.75" customHeight="1">
      <c r="A566" s="141" t="s">
        <v>166</v>
      </c>
      <c r="B566" s="142" t="s">
        <v>530</v>
      </c>
      <c r="C566" s="170" t="s">
        <v>554</v>
      </c>
      <c r="D566" s="142" t="s">
        <v>377</v>
      </c>
      <c r="F566" s="168" t="s">
        <v>563</v>
      </c>
      <c r="G566" s="109" t="s">
        <v>3</v>
      </c>
      <c r="P566" s="107">
        <v>-3.1687546057479699E-2</v>
      </c>
      <c r="Q566" s="107">
        <v>8.1539465101108988E-2</v>
      </c>
      <c r="R566" s="107">
        <v>-0.12175311620426221</v>
      </c>
      <c r="S566" s="107">
        <v>8.4012453072062065E-3</v>
      </c>
      <c r="T566" s="107">
        <v>0.20092619917822518</v>
      </c>
      <c r="U566" s="107">
        <v>8.6527919549355348E-2</v>
      </c>
      <c r="V566" s="107">
        <v>5.4793448098887421E-2</v>
      </c>
      <c r="W566" s="107">
        <v>5.0487390522687248E-2</v>
      </c>
      <c r="X566" s="107">
        <v>0.25162505887894482</v>
      </c>
      <c r="Y566" s="107">
        <v>-9.0521350795323419E-2</v>
      </c>
      <c r="Z566" s="107">
        <v>3.4482758620689724E-2</v>
      </c>
      <c r="AA566" s="107">
        <v>3.3333333333333437E-2</v>
      </c>
      <c r="AB566" s="107">
        <v>6.0606060606060552E-2</v>
      </c>
      <c r="AC566" s="107">
        <v>0</v>
      </c>
      <c r="AD566" s="107">
        <v>0</v>
      </c>
      <c r="AE566" s="107">
        <v>-0.05</v>
      </c>
      <c r="AF566" s="107">
        <v>0</v>
      </c>
      <c r="AG566" s="107">
        <v>1.4722809887425043E-2</v>
      </c>
      <c r="AH566" s="107">
        <v>5.023202685903283E-2</v>
      </c>
      <c r="AI566" s="107">
        <v>4.3726347773699992E-2</v>
      </c>
      <c r="AJ566" s="107">
        <v>4.1087159692541952E-2</v>
      </c>
      <c r="AK566" s="107">
        <v>4.0000000000000036E-2</v>
      </c>
      <c r="AL566" s="107">
        <v>4.0000000000000036E-2</v>
      </c>
      <c r="AM566" s="107">
        <v>4.0000000000000036E-2</v>
      </c>
      <c r="AN566" s="107">
        <v>4.0000000000000036E-2</v>
      </c>
      <c r="AO566" s="107">
        <v>4.0000000000000036E-2</v>
      </c>
      <c r="AP566" s="107">
        <v>4.0000000000000036E-2</v>
      </c>
      <c r="AQ566" s="107">
        <v>4.0000000000000036E-2</v>
      </c>
      <c r="AR566" s="107">
        <v>4.0000000000000036E-2</v>
      </c>
      <c r="AS566" s="107">
        <v>4.0000000000000036E-2</v>
      </c>
      <c r="AT566" s="107">
        <v>4.0000000000000036E-2</v>
      </c>
      <c r="AU566" s="107">
        <v>4.0000000000000036E-2</v>
      </c>
      <c r="AV566" s="107">
        <v>4.0000000000000036E-2</v>
      </c>
      <c r="AW566" s="107">
        <v>4.0000000000000036E-2</v>
      </c>
      <c r="AX566" s="107">
        <v>4.0000000000000036E-2</v>
      </c>
      <c r="AY566" s="107">
        <v>4.0000000000000036E-2</v>
      </c>
      <c r="AZ566" s="107">
        <v>4.0000000000000036E-2</v>
      </c>
      <c r="BA566" s="107">
        <v>4.0000000000000036E-2</v>
      </c>
      <c r="BB566" s="107">
        <v>4.0000000000000036E-2</v>
      </c>
      <c r="BC566" s="107">
        <f t="shared" si="216"/>
        <v>4.0000000000000036E-2</v>
      </c>
      <c r="BD566" s="107">
        <f t="shared" si="216"/>
        <v>4.0000000000000036E-2</v>
      </c>
      <c r="BE566" s="107">
        <f t="shared" si="216"/>
        <v>4.0000000000000036E-2</v>
      </c>
      <c r="BF566" s="107">
        <f t="shared" si="216"/>
        <v>4.0000000000000036E-2</v>
      </c>
      <c r="BG566" s="107">
        <f t="shared" si="216"/>
        <v>4.0000000000000036E-2</v>
      </c>
    </row>
    <row r="567" spans="1:59" ht="13.75" customHeight="1">
      <c r="A567" s="141" t="s">
        <v>166</v>
      </c>
      <c r="B567" s="142" t="s">
        <v>530</v>
      </c>
      <c r="C567" s="170" t="s">
        <v>543</v>
      </c>
      <c r="D567" s="142" t="s">
        <v>377</v>
      </c>
      <c r="E567" s="176"/>
      <c r="F567" s="168" t="s">
        <v>564</v>
      </c>
      <c r="G567" s="109" t="s">
        <v>3</v>
      </c>
      <c r="X567" s="107">
        <v>0</v>
      </c>
      <c r="Y567" s="107">
        <v>6.8000000000000005E-2</v>
      </c>
      <c r="Z567" s="107">
        <v>6.8000000000000005E-2</v>
      </c>
      <c r="AA567" s="107">
        <v>0.54800000000000004</v>
      </c>
      <c r="AB567" s="107">
        <v>-0.19658530800816298</v>
      </c>
      <c r="AC567" s="107">
        <v>-0.23</v>
      </c>
      <c r="AD567" s="107">
        <v>0.22</v>
      </c>
      <c r="AE567" s="107">
        <v>0.03</v>
      </c>
      <c r="AF567" s="107">
        <v>6.785009571876488E-2</v>
      </c>
      <c r="AG567" s="107">
        <v>4.0209220025215361E-2</v>
      </c>
      <c r="AH567" s="107">
        <v>4.7818096877329637E-2</v>
      </c>
      <c r="AI567" s="107">
        <v>4.8438826693459669E-2</v>
      </c>
      <c r="AJ567" s="107">
        <v>4.0000000000000036E-2</v>
      </c>
      <c r="AK567" s="107">
        <v>4.0000000000000036E-2</v>
      </c>
      <c r="AL567" s="107">
        <v>4.0000000000000036E-2</v>
      </c>
      <c r="AM567" s="107">
        <v>4.0000000000000036E-2</v>
      </c>
      <c r="AN567" s="107">
        <v>4.0000000000000036E-2</v>
      </c>
      <c r="AO567" s="107">
        <v>4.0000000000000036E-2</v>
      </c>
      <c r="AP567" s="107">
        <v>4.0000000000000036E-2</v>
      </c>
      <c r="AQ567" s="107">
        <v>4.0000000000000036E-2</v>
      </c>
      <c r="AR567" s="107">
        <v>4.0000000000000036E-2</v>
      </c>
      <c r="AS567" s="107">
        <v>4.0000000000000036E-2</v>
      </c>
      <c r="AT567" s="107">
        <v>4.0000000000000036E-2</v>
      </c>
      <c r="AU567" s="107">
        <v>4.0000000000000036E-2</v>
      </c>
      <c r="AV567" s="107">
        <v>4.0000000000000036E-2</v>
      </c>
      <c r="AW567" s="107">
        <v>4.0000000000000036E-2</v>
      </c>
      <c r="AX567" s="107">
        <v>4.0000000000000036E-2</v>
      </c>
      <c r="AY567" s="107">
        <v>4.0000000000000036E-2</v>
      </c>
      <c r="AZ567" s="107">
        <v>4.0000000000000036E-2</v>
      </c>
      <c r="BA567" s="107">
        <v>4.0000000000000036E-2</v>
      </c>
      <c r="BB567" s="107">
        <v>4.0000000000000036E-2</v>
      </c>
      <c r="BC567" s="107">
        <f t="shared" si="216"/>
        <v>4.0000000000000036E-2</v>
      </c>
      <c r="BD567" s="107">
        <f t="shared" si="216"/>
        <v>4.0000000000000036E-2</v>
      </c>
      <c r="BE567" s="107">
        <f t="shared" si="216"/>
        <v>4.0000000000000036E-2</v>
      </c>
      <c r="BF567" s="107">
        <f t="shared" si="216"/>
        <v>4.0000000000000036E-2</v>
      </c>
      <c r="BG567" s="107">
        <f t="shared" si="216"/>
        <v>4.0000000000000036E-2</v>
      </c>
    </row>
    <row r="568" spans="1:59" ht="13.75" customHeight="1">
      <c r="A568" s="141" t="s">
        <v>166</v>
      </c>
      <c r="B568" s="142" t="s">
        <v>530</v>
      </c>
      <c r="C568" s="170" t="s">
        <v>547</v>
      </c>
      <c r="D568" s="142" t="s">
        <v>377</v>
      </c>
      <c r="E568" s="176"/>
      <c r="F568" s="168" t="s">
        <v>565</v>
      </c>
      <c r="G568" s="109" t="s">
        <v>3</v>
      </c>
      <c r="X568" s="107">
        <v>0.05</v>
      </c>
      <c r="Y568" s="107">
        <v>0.05</v>
      </c>
      <c r="Z568" s="107">
        <v>0.05</v>
      </c>
      <c r="AA568" s="107">
        <v>0.05</v>
      </c>
      <c r="AB568" s="107">
        <v>5.3439390574297994E-2</v>
      </c>
      <c r="AC568" s="107">
        <v>2.3E-2</v>
      </c>
      <c r="AD568" s="107">
        <v>4.3212445123115055E-2</v>
      </c>
      <c r="AE568" s="107">
        <v>-0.04</v>
      </c>
      <c r="AF568" s="107">
        <v>0.01</v>
      </c>
      <c r="AG568" s="107">
        <v>6.5689012890085465E-3</v>
      </c>
      <c r="AH568" s="107">
        <v>5.4711118252260153E-2</v>
      </c>
      <c r="AI568" s="107">
        <v>5.9380292580568421E-2</v>
      </c>
      <c r="AJ568" s="107">
        <v>5.9850795575686837E-2</v>
      </c>
      <c r="AK568" s="107">
        <v>5.0000000000000037E-2</v>
      </c>
      <c r="AL568" s="107">
        <v>5.0000000000000037E-2</v>
      </c>
      <c r="AM568" s="107">
        <v>5.0000000000000037E-2</v>
      </c>
      <c r="AN568" s="107">
        <v>5.0000000000000037E-2</v>
      </c>
      <c r="AO568" s="107">
        <v>5.0000000000000037E-2</v>
      </c>
      <c r="AP568" s="107">
        <v>5.0000000000000037E-2</v>
      </c>
      <c r="AQ568" s="107">
        <v>5.0000000000000037E-2</v>
      </c>
      <c r="AR568" s="107">
        <v>5.0000000000000037E-2</v>
      </c>
      <c r="AS568" s="107">
        <v>5.0000000000000037E-2</v>
      </c>
      <c r="AT568" s="107">
        <v>5.0000000000000037E-2</v>
      </c>
      <c r="AU568" s="107">
        <v>5.0000000000000037E-2</v>
      </c>
      <c r="AV568" s="107">
        <v>5.0000000000000037E-2</v>
      </c>
      <c r="AW568" s="107">
        <v>5.0000000000000037E-2</v>
      </c>
      <c r="AX568" s="107">
        <v>5.0000000000000037E-2</v>
      </c>
      <c r="AY568" s="107">
        <v>5.0000000000000037E-2</v>
      </c>
      <c r="AZ568" s="107">
        <v>5.0000000000000037E-2</v>
      </c>
      <c r="BA568" s="107">
        <v>5.0000000000000037E-2</v>
      </c>
      <c r="BB568" s="107">
        <v>5.0000000000000037E-2</v>
      </c>
      <c r="BC568" s="107">
        <f t="shared" si="216"/>
        <v>5.0000000000000037E-2</v>
      </c>
      <c r="BD568" s="107">
        <f t="shared" si="216"/>
        <v>5.0000000000000037E-2</v>
      </c>
      <c r="BE568" s="107">
        <f t="shared" si="216"/>
        <v>5.0000000000000037E-2</v>
      </c>
      <c r="BF568" s="107">
        <f t="shared" si="216"/>
        <v>5.0000000000000037E-2</v>
      </c>
      <c r="BG568" s="107">
        <f t="shared" si="216"/>
        <v>5.0000000000000037E-2</v>
      </c>
    </row>
    <row r="569" spans="1:59" ht="13.75" customHeight="1">
      <c r="A569" s="141" t="s">
        <v>166</v>
      </c>
      <c r="B569" s="142" t="s">
        <v>530</v>
      </c>
      <c r="C569" s="170" t="s">
        <v>551</v>
      </c>
      <c r="D569" s="142" t="s">
        <v>377</v>
      </c>
      <c r="E569" s="176"/>
      <c r="F569" s="168" t="s">
        <v>566</v>
      </c>
      <c r="G569" s="109" t="s">
        <v>3</v>
      </c>
      <c r="X569" s="107">
        <v>-1.676132036514881E-2</v>
      </c>
      <c r="Y569" s="107">
        <v>0</v>
      </c>
      <c r="Z569" s="107">
        <v>0.04</v>
      </c>
      <c r="AA569" s="107">
        <v>0.05</v>
      </c>
      <c r="AB569" s="107">
        <v>8.1428571428571392E-2</v>
      </c>
      <c r="AC569" s="107">
        <v>6.3333333333333228E-2</v>
      </c>
      <c r="AD569" s="107">
        <v>0.32645569620253156</v>
      </c>
      <c r="AE569" s="107">
        <v>0</v>
      </c>
      <c r="AF569" s="107">
        <v>6.0000000000000005E-2</v>
      </c>
      <c r="AG569" s="107">
        <v>6.4118161371849336E-2</v>
      </c>
      <c r="AH569" s="107">
        <v>5.3453021866158849E-2</v>
      </c>
      <c r="AI569" s="107">
        <v>5.0391390824965569E-2</v>
      </c>
      <c r="AJ569" s="107">
        <v>5.0000000000000037E-2</v>
      </c>
      <c r="AK569" s="107">
        <v>5.0000000000000037E-2</v>
      </c>
      <c r="AL569" s="107">
        <v>5.0000000000000037E-2</v>
      </c>
      <c r="AM569" s="107">
        <v>5.0000000000000037E-2</v>
      </c>
      <c r="AN569" s="107">
        <v>5.0000000000000037E-2</v>
      </c>
      <c r="AO569" s="107">
        <v>5.0000000000000037E-2</v>
      </c>
      <c r="AP569" s="107">
        <v>5.0000000000000037E-2</v>
      </c>
      <c r="AQ569" s="107">
        <v>5.0000000000000037E-2</v>
      </c>
      <c r="AR569" s="107">
        <v>5.0000000000000037E-2</v>
      </c>
      <c r="AS569" s="107">
        <v>5.0000000000000037E-2</v>
      </c>
      <c r="AT569" s="107">
        <v>5.0000000000000037E-2</v>
      </c>
      <c r="AU569" s="107">
        <v>5.0000000000000037E-2</v>
      </c>
      <c r="AV569" s="107">
        <v>5.0000000000000037E-2</v>
      </c>
      <c r="AW569" s="107">
        <v>5.0000000000000037E-2</v>
      </c>
      <c r="AX569" s="107">
        <v>5.0000000000000037E-2</v>
      </c>
      <c r="AY569" s="107">
        <v>5.0000000000000037E-2</v>
      </c>
      <c r="AZ569" s="107">
        <v>5.0000000000000037E-2</v>
      </c>
      <c r="BA569" s="107">
        <v>5.0000000000000037E-2</v>
      </c>
      <c r="BB569" s="107">
        <v>5.0000000000000037E-2</v>
      </c>
      <c r="BC569" s="107">
        <f t="shared" si="216"/>
        <v>5.0000000000000037E-2</v>
      </c>
      <c r="BD569" s="107">
        <f t="shared" si="216"/>
        <v>5.0000000000000037E-2</v>
      </c>
      <c r="BE569" s="107">
        <f t="shared" si="216"/>
        <v>5.0000000000000037E-2</v>
      </c>
      <c r="BF569" s="107">
        <f t="shared" si="216"/>
        <v>5.0000000000000037E-2</v>
      </c>
      <c r="BG569" s="107">
        <f t="shared" si="216"/>
        <v>5.0000000000000037E-2</v>
      </c>
    </row>
    <row r="570" spans="1:59" ht="13.75" customHeight="1">
      <c r="A570" s="141" t="s">
        <v>166</v>
      </c>
      <c r="B570" s="142" t="s">
        <v>530</v>
      </c>
      <c r="C570" s="170" t="s">
        <v>554</v>
      </c>
      <c r="D570" s="142" t="s">
        <v>377</v>
      </c>
      <c r="E570" s="176"/>
      <c r="F570" s="168" t="s">
        <v>567</v>
      </c>
      <c r="G570" s="109" t="s">
        <v>3</v>
      </c>
      <c r="X570" s="107">
        <v>0</v>
      </c>
      <c r="Y570" s="107">
        <v>0</v>
      </c>
      <c r="Z570" s="107">
        <v>0.04</v>
      </c>
      <c r="AA570" s="107">
        <v>0.05</v>
      </c>
      <c r="AB570" s="107">
        <v>7.0606060606060547E-2</v>
      </c>
      <c r="AC570" s="107">
        <v>-3.846105287452229E-2</v>
      </c>
      <c r="AD570" s="107">
        <v>0.01</v>
      </c>
      <c r="AE570" s="107">
        <v>-0.04</v>
      </c>
      <c r="AF570" s="107">
        <v>0.01</v>
      </c>
      <c r="AG570" s="107">
        <v>2.4722809887425042E-2</v>
      </c>
      <c r="AH570" s="107">
        <v>6.0232026859032832E-2</v>
      </c>
      <c r="AI570" s="107">
        <v>5.3726347773699994E-2</v>
      </c>
      <c r="AJ570" s="107">
        <v>5.1087159692541954E-2</v>
      </c>
      <c r="AK570" s="107">
        <v>5.0000000000000037E-2</v>
      </c>
      <c r="AL570" s="107">
        <v>5.0000000000000037E-2</v>
      </c>
      <c r="AM570" s="107">
        <v>5.0000000000000037E-2</v>
      </c>
      <c r="AN570" s="107">
        <v>5.0000000000000037E-2</v>
      </c>
      <c r="AO570" s="107">
        <v>5.0000000000000037E-2</v>
      </c>
      <c r="AP570" s="107">
        <v>5.0000000000000037E-2</v>
      </c>
      <c r="AQ570" s="107">
        <v>5.0000000000000037E-2</v>
      </c>
      <c r="AR570" s="107">
        <v>5.0000000000000037E-2</v>
      </c>
      <c r="AS570" s="107">
        <v>5.0000000000000037E-2</v>
      </c>
      <c r="AT570" s="107">
        <v>5.0000000000000037E-2</v>
      </c>
      <c r="AU570" s="107">
        <v>5.0000000000000037E-2</v>
      </c>
      <c r="AV570" s="107">
        <v>5.0000000000000037E-2</v>
      </c>
      <c r="AW570" s="107">
        <v>5.0000000000000037E-2</v>
      </c>
      <c r="AX570" s="107">
        <v>5.0000000000000037E-2</v>
      </c>
      <c r="AY570" s="107">
        <v>5.0000000000000037E-2</v>
      </c>
      <c r="AZ570" s="107">
        <v>5.0000000000000037E-2</v>
      </c>
      <c r="BA570" s="107">
        <v>5.0000000000000037E-2</v>
      </c>
      <c r="BB570" s="107">
        <v>5.0000000000000037E-2</v>
      </c>
      <c r="BC570" s="107">
        <f t="shared" si="216"/>
        <v>5.0000000000000037E-2</v>
      </c>
      <c r="BD570" s="107">
        <f t="shared" si="216"/>
        <v>5.0000000000000037E-2</v>
      </c>
      <c r="BE570" s="107">
        <f t="shared" si="216"/>
        <v>5.0000000000000037E-2</v>
      </c>
      <c r="BF570" s="107">
        <f t="shared" si="216"/>
        <v>5.0000000000000037E-2</v>
      </c>
      <c r="BG570" s="107">
        <f t="shared" si="216"/>
        <v>5.0000000000000037E-2</v>
      </c>
    </row>
    <row r="571" spans="1:59" ht="13.75" customHeight="1" outlineLevel="1">
      <c r="A571" s="141" t="s">
        <v>166</v>
      </c>
      <c r="B571" s="142" t="s">
        <v>530</v>
      </c>
      <c r="C571" s="170" t="s">
        <v>547</v>
      </c>
      <c r="D571" s="142" t="s">
        <v>377</v>
      </c>
      <c r="F571" s="168" t="s">
        <v>568</v>
      </c>
      <c r="G571" s="109" t="s">
        <v>3</v>
      </c>
      <c r="Z571" s="110">
        <v>9.5000000000000001E-2</v>
      </c>
      <c r="AA571" s="110">
        <v>9.5000000000000001E-2</v>
      </c>
      <c r="AB571" s="110">
        <v>0.09</v>
      </c>
      <c r="AC571" s="110">
        <v>8.7499999999999994E-2</v>
      </c>
      <c r="AD571" s="110">
        <v>8.7499999999999994E-2</v>
      </c>
      <c r="AE571" s="110">
        <v>9.5000000000000001E-2</v>
      </c>
      <c r="AF571" s="110">
        <v>9.5000000000000001E-2</v>
      </c>
      <c r="AG571" s="110">
        <v>9.5000000000000001E-2</v>
      </c>
      <c r="AH571" s="110">
        <v>9.0000000000000011E-2</v>
      </c>
      <c r="AI571" s="110">
        <v>9.0000000000000011E-2</v>
      </c>
      <c r="AJ571" s="110">
        <v>9.0000000000000011E-2</v>
      </c>
      <c r="AK571" s="110">
        <v>9.0000000000000011E-2</v>
      </c>
      <c r="AL571" s="110">
        <v>9.0000000000000011E-2</v>
      </c>
      <c r="AM571" s="110">
        <v>9.0000000000000011E-2</v>
      </c>
      <c r="AN571" s="110">
        <v>9.0000000000000011E-2</v>
      </c>
      <c r="AO571" s="110">
        <v>9.0000000000000011E-2</v>
      </c>
      <c r="AP571" s="110">
        <v>9.0000000000000011E-2</v>
      </c>
      <c r="AQ571" s="110">
        <v>9.0000000000000011E-2</v>
      </c>
      <c r="AR571" s="110">
        <v>9.0000000000000011E-2</v>
      </c>
      <c r="AS571" s="110">
        <v>9.0000000000000011E-2</v>
      </c>
      <c r="AT571" s="110">
        <v>9.0000000000000011E-2</v>
      </c>
      <c r="AU571" s="110">
        <v>9.0000000000000011E-2</v>
      </c>
      <c r="AV571" s="110">
        <v>9.0000000000000011E-2</v>
      </c>
      <c r="AW571" s="110">
        <v>9.0000000000000011E-2</v>
      </c>
      <c r="AX571" s="110">
        <v>9.0000000000000011E-2</v>
      </c>
      <c r="AY571" s="110">
        <v>9.0000000000000011E-2</v>
      </c>
      <c r="AZ571" s="110">
        <v>9.0000000000000011E-2</v>
      </c>
      <c r="BA571" s="110">
        <v>9.0000000000000011E-2</v>
      </c>
      <c r="BB571" s="110">
        <v>9.0000000000000011E-2</v>
      </c>
      <c r="BC571" s="110">
        <f t="shared" si="216"/>
        <v>9.0000000000000011E-2</v>
      </c>
      <c r="BD571" s="110">
        <f t="shared" si="216"/>
        <v>9.0000000000000011E-2</v>
      </c>
      <c r="BE571" s="110">
        <f t="shared" si="216"/>
        <v>9.0000000000000011E-2</v>
      </c>
      <c r="BF571" s="110">
        <f t="shared" si="216"/>
        <v>9.0000000000000011E-2</v>
      </c>
      <c r="BG571" s="110">
        <f t="shared" si="216"/>
        <v>9.0000000000000011E-2</v>
      </c>
    </row>
    <row r="572" spans="1:59" ht="13.75" customHeight="1" outlineLevel="1">
      <c r="A572" s="141" t="s">
        <v>166</v>
      </c>
      <c r="B572" s="142" t="s">
        <v>530</v>
      </c>
      <c r="C572" s="170" t="s">
        <v>547</v>
      </c>
      <c r="D572" s="142" t="s">
        <v>377</v>
      </c>
      <c r="F572" s="168" t="s">
        <v>569</v>
      </c>
      <c r="G572" s="109" t="s">
        <v>3</v>
      </c>
      <c r="Z572" s="110">
        <v>0.105</v>
      </c>
      <c r="AA572" s="110">
        <v>0.105</v>
      </c>
      <c r="AB572" s="110">
        <v>0.10249999999999999</v>
      </c>
      <c r="AC572" s="110">
        <v>9.9999999999999992E-2</v>
      </c>
      <c r="AD572" s="110">
        <v>9.9999999999999992E-2</v>
      </c>
      <c r="AE572" s="110">
        <v>0.105</v>
      </c>
      <c r="AF572" s="110">
        <v>0.105</v>
      </c>
      <c r="AG572" s="110">
        <v>0.105</v>
      </c>
      <c r="AH572" s="110">
        <v>0.1</v>
      </c>
      <c r="AI572" s="110">
        <v>0.1</v>
      </c>
      <c r="AJ572" s="110">
        <v>0.1</v>
      </c>
      <c r="AK572" s="110">
        <v>0.1</v>
      </c>
      <c r="AL572" s="110">
        <v>0.1</v>
      </c>
      <c r="AM572" s="110">
        <v>0.1</v>
      </c>
      <c r="AN572" s="110">
        <v>0.1</v>
      </c>
      <c r="AO572" s="110">
        <v>0.1</v>
      </c>
      <c r="AP572" s="110">
        <v>0.1</v>
      </c>
      <c r="AQ572" s="110">
        <v>0.1</v>
      </c>
      <c r="AR572" s="110">
        <v>0.1</v>
      </c>
      <c r="AS572" s="110">
        <v>0.1</v>
      </c>
      <c r="AT572" s="110">
        <v>0.1</v>
      </c>
      <c r="AU572" s="110">
        <v>0.1</v>
      </c>
      <c r="AV572" s="110">
        <v>0.1</v>
      </c>
      <c r="AW572" s="110">
        <v>0.1</v>
      </c>
      <c r="AX572" s="110">
        <v>0.1</v>
      </c>
      <c r="AY572" s="110">
        <v>0.1</v>
      </c>
      <c r="AZ572" s="110">
        <v>0.1</v>
      </c>
      <c r="BA572" s="110">
        <v>0.1</v>
      </c>
      <c r="BB572" s="110">
        <v>0.1</v>
      </c>
      <c r="BC572" s="110">
        <f t="shared" si="216"/>
        <v>0.1</v>
      </c>
      <c r="BD572" s="110">
        <f t="shared" si="216"/>
        <v>0.1</v>
      </c>
      <c r="BE572" s="110">
        <f t="shared" si="216"/>
        <v>0.1</v>
      </c>
      <c r="BF572" s="110">
        <f t="shared" si="216"/>
        <v>0.1</v>
      </c>
      <c r="BG572" s="110">
        <f t="shared" si="216"/>
        <v>0.1</v>
      </c>
    </row>
    <row r="573" spans="1:59" ht="13.75" customHeight="1" outlineLevel="1">
      <c r="A573" s="141" t="s">
        <v>166</v>
      </c>
      <c r="B573" s="142" t="s">
        <v>530</v>
      </c>
      <c r="C573" s="170" t="s">
        <v>547</v>
      </c>
      <c r="D573" s="142" t="s">
        <v>377</v>
      </c>
      <c r="F573" s="168" t="s">
        <v>570</v>
      </c>
      <c r="G573" s="109" t="s">
        <v>3</v>
      </c>
      <c r="Z573" s="110">
        <v>0.10249999999999999</v>
      </c>
      <c r="AA573" s="110">
        <v>0.10249999999999999</v>
      </c>
      <c r="AB573" s="110">
        <v>0.1</v>
      </c>
      <c r="AC573" s="110">
        <v>9.7500000000000003E-2</v>
      </c>
      <c r="AD573" s="110">
        <v>9.7500000000000003E-2</v>
      </c>
      <c r="AE573" s="110">
        <v>0.10250000000000001</v>
      </c>
      <c r="AF573" s="110">
        <v>0.10250000000000001</v>
      </c>
      <c r="AG573" s="110">
        <v>0.10250000000000001</v>
      </c>
      <c r="AH573" s="110">
        <v>9.7500000000000017E-2</v>
      </c>
      <c r="AI573" s="110">
        <v>9.7500000000000017E-2</v>
      </c>
      <c r="AJ573" s="110">
        <v>9.7500000000000017E-2</v>
      </c>
      <c r="AK573" s="110">
        <v>9.7500000000000017E-2</v>
      </c>
      <c r="AL573" s="110">
        <v>9.7500000000000017E-2</v>
      </c>
      <c r="AM573" s="110">
        <v>9.7500000000000017E-2</v>
      </c>
      <c r="AN573" s="110">
        <v>9.7500000000000017E-2</v>
      </c>
      <c r="AO573" s="110">
        <v>9.7500000000000017E-2</v>
      </c>
      <c r="AP573" s="110">
        <v>9.7500000000000017E-2</v>
      </c>
      <c r="AQ573" s="110">
        <v>9.7500000000000017E-2</v>
      </c>
      <c r="AR573" s="110">
        <v>9.7500000000000017E-2</v>
      </c>
      <c r="AS573" s="110">
        <v>9.7500000000000017E-2</v>
      </c>
      <c r="AT573" s="110">
        <v>9.7500000000000017E-2</v>
      </c>
      <c r="AU573" s="110">
        <v>9.7500000000000017E-2</v>
      </c>
      <c r="AV573" s="110">
        <v>9.7500000000000017E-2</v>
      </c>
      <c r="AW573" s="110">
        <v>9.7500000000000017E-2</v>
      </c>
      <c r="AX573" s="110">
        <v>9.7500000000000017E-2</v>
      </c>
      <c r="AY573" s="110">
        <v>9.7500000000000017E-2</v>
      </c>
      <c r="AZ573" s="110">
        <v>9.7500000000000017E-2</v>
      </c>
      <c r="BA573" s="110">
        <v>9.7500000000000017E-2</v>
      </c>
      <c r="BB573" s="110">
        <v>9.7500000000000017E-2</v>
      </c>
      <c r="BC573" s="110">
        <f t="shared" si="216"/>
        <v>9.7500000000000017E-2</v>
      </c>
      <c r="BD573" s="110">
        <f t="shared" si="216"/>
        <v>9.7500000000000017E-2</v>
      </c>
      <c r="BE573" s="110">
        <f t="shared" si="216"/>
        <v>9.7500000000000017E-2</v>
      </c>
      <c r="BF573" s="110">
        <f t="shared" si="216"/>
        <v>9.7500000000000017E-2</v>
      </c>
      <c r="BG573" s="110">
        <f t="shared" si="216"/>
        <v>9.7500000000000017E-2</v>
      </c>
    </row>
    <row r="574" spans="1:59" ht="13.75" customHeight="1" outlineLevel="1">
      <c r="A574" s="141" t="s">
        <v>166</v>
      </c>
      <c r="B574" s="142" t="s">
        <v>530</v>
      </c>
      <c r="C574" s="170" t="s">
        <v>547</v>
      </c>
      <c r="D574" s="142" t="s">
        <v>377</v>
      </c>
      <c r="F574" s="168" t="s">
        <v>571</v>
      </c>
      <c r="G574" s="109" t="s">
        <v>3</v>
      </c>
      <c r="Z574" s="110">
        <v>0.11749999999999999</v>
      </c>
      <c r="AA574" s="110">
        <v>0.11749999999999999</v>
      </c>
      <c r="AB574" s="110">
        <v>0.115</v>
      </c>
      <c r="AC574" s="110">
        <v>0.1125</v>
      </c>
      <c r="AD574" s="110">
        <v>0.1125</v>
      </c>
      <c r="AE574" s="110">
        <v>0.11750000000000001</v>
      </c>
      <c r="AF574" s="110">
        <v>0.11750000000000001</v>
      </c>
      <c r="AG574" s="110">
        <v>0.11750000000000001</v>
      </c>
      <c r="AH574" s="110">
        <v>0.11250000000000002</v>
      </c>
      <c r="AI574" s="110">
        <v>0.11250000000000002</v>
      </c>
      <c r="AJ574" s="110">
        <v>0.11250000000000002</v>
      </c>
      <c r="AK574" s="110">
        <v>0.11250000000000002</v>
      </c>
      <c r="AL574" s="110">
        <v>0.11250000000000002</v>
      </c>
      <c r="AM574" s="110">
        <v>0.11250000000000002</v>
      </c>
      <c r="AN574" s="110">
        <v>0.11250000000000002</v>
      </c>
      <c r="AO574" s="110">
        <v>0.11250000000000002</v>
      </c>
      <c r="AP574" s="110">
        <v>0.11250000000000002</v>
      </c>
      <c r="AQ574" s="110">
        <v>0.11250000000000002</v>
      </c>
      <c r="AR574" s="110">
        <v>0.11250000000000002</v>
      </c>
      <c r="AS574" s="110">
        <v>0.11250000000000002</v>
      </c>
      <c r="AT574" s="110">
        <v>0.11250000000000002</v>
      </c>
      <c r="AU574" s="110">
        <v>0.11250000000000002</v>
      </c>
      <c r="AV574" s="110">
        <v>0.11250000000000002</v>
      </c>
      <c r="AW574" s="110">
        <v>0.11250000000000002</v>
      </c>
      <c r="AX574" s="110">
        <v>0.11250000000000002</v>
      </c>
      <c r="AY574" s="110">
        <v>0.11250000000000002</v>
      </c>
      <c r="AZ574" s="110">
        <v>0.11250000000000002</v>
      </c>
      <c r="BA574" s="110">
        <v>0.11250000000000002</v>
      </c>
      <c r="BB574" s="110">
        <v>0.11250000000000002</v>
      </c>
      <c r="BC574" s="110">
        <f t="shared" si="216"/>
        <v>0.11250000000000002</v>
      </c>
      <c r="BD574" s="110">
        <f t="shared" si="216"/>
        <v>0.11250000000000002</v>
      </c>
      <c r="BE574" s="110">
        <f t="shared" si="216"/>
        <v>0.11250000000000002</v>
      </c>
      <c r="BF574" s="110">
        <f t="shared" si="216"/>
        <v>0.11250000000000002</v>
      </c>
      <c r="BG574" s="110">
        <f t="shared" si="216"/>
        <v>0.11250000000000002</v>
      </c>
    </row>
    <row r="575" spans="1:59" ht="13.75" customHeight="1" outlineLevel="1">
      <c r="A575" s="141" t="s">
        <v>166</v>
      </c>
      <c r="B575" s="142" t="s">
        <v>530</v>
      </c>
      <c r="C575" s="170" t="s">
        <v>551</v>
      </c>
      <c r="D575" s="142" t="s">
        <v>377</v>
      </c>
      <c r="F575" s="168" t="s">
        <v>572</v>
      </c>
      <c r="G575" s="109" t="s">
        <v>3</v>
      </c>
      <c r="Z575" s="110">
        <v>0.11499999999999999</v>
      </c>
      <c r="AA575" s="110">
        <v>0.11499999999999999</v>
      </c>
      <c r="AB575" s="110">
        <v>0.11</v>
      </c>
      <c r="AC575" s="110">
        <v>0.105</v>
      </c>
      <c r="AD575" s="110">
        <v>0.10249999999999999</v>
      </c>
      <c r="AE575" s="110">
        <v>0.1075</v>
      </c>
      <c r="AF575" s="110">
        <v>0.1075</v>
      </c>
      <c r="AG575" s="110">
        <v>0.1075</v>
      </c>
      <c r="AH575" s="110">
        <v>0.10250000000000001</v>
      </c>
      <c r="AI575" s="110">
        <v>0.10250000000000001</v>
      </c>
      <c r="AJ575" s="110">
        <v>0.10250000000000001</v>
      </c>
      <c r="AK575" s="110">
        <v>0.10250000000000001</v>
      </c>
      <c r="AL575" s="110">
        <v>0.10250000000000001</v>
      </c>
      <c r="AM575" s="110">
        <v>0.10250000000000001</v>
      </c>
      <c r="AN575" s="110">
        <v>0.10250000000000001</v>
      </c>
      <c r="AO575" s="110">
        <v>0.10250000000000001</v>
      </c>
      <c r="AP575" s="110">
        <v>0.10250000000000001</v>
      </c>
      <c r="AQ575" s="110">
        <v>0.10250000000000001</v>
      </c>
      <c r="AR575" s="110">
        <v>0.10250000000000001</v>
      </c>
      <c r="AS575" s="110">
        <v>0.10250000000000001</v>
      </c>
      <c r="AT575" s="110">
        <v>0.10250000000000001</v>
      </c>
      <c r="AU575" s="110">
        <v>0.10250000000000001</v>
      </c>
      <c r="AV575" s="110">
        <v>0.10250000000000001</v>
      </c>
      <c r="AW575" s="110">
        <v>0.10250000000000001</v>
      </c>
      <c r="AX575" s="110">
        <v>0.10250000000000001</v>
      </c>
      <c r="AY575" s="110">
        <v>0.10250000000000001</v>
      </c>
      <c r="AZ575" s="110">
        <v>0.10250000000000001</v>
      </c>
      <c r="BA575" s="110">
        <v>0.10250000000000001</v>
      </c>
      <c r="BB575" s="110">
        <v>0.10250000000000001</v>
      </c>
      <c r="BC575" s="110">
        <f t="shared" si="216"/>
        <v>0.10250000000000001</v>
      </c>
      <c r="BD575" s="110">
        <f t="shared" si="216"/>
        <v>0.10250000000000001</v>
      </c>
      <c r="BE575" s="110">
        <f t="shared" si="216"/>
        <v>0.10250000000000001</v>
      </c>
      <c r="BF575" s="110">
        <f t="shared" si="216"/>
        <v>0.10250000000000001</v>
      </c>
      <c r="BG575" s="110">
        <f t="shared" si="216"/>
        <v>0.10250000000000001</v>
      </c>
    </row>
    <row r="576" spans="1:59" ht="13.75" customHeight="1" outlineLevel="1">
      <c r="A576" s="141" t="s">
        <v>166</v>
      </c>
      <c r="B576" s="142" t="s">
        <v>530</v>
      </c>
      <c r="C576" s="170" t="s">
        <v>551</v>
      </c>
      <c r="D576" s="142" t="s">
        <v>377</v>
      </c>
      <c r="F576" s="168" t="s">
        <v>573</v>
      </c>
      <c r="G576" s="109" t="s">
        <v>3</v>
      </c>
      <c r="Z576" s="110">
        <v>0.13</v>
      </c>
      <c r="AA576" s="110">
        <v>0.13</v>
      </c>
      <c r="AB576" s="110">
        <v>0.1225</v>
      </c>
      <c r="AC576" s="110">
        <v>0.11749999999999999</v>
      </c>
      <c r="AD576" s="110">
        <v>0.11499999999999999</v>
      </c>
      <c r="AE576" s="110">
        <v>0.12</v>
      </c>
      <c r="AF576" s="110">
        <v>0.12</v>
      </c>
      <c r="AG576" s="110">
        <v>0.12</v>
      </c>
      <c r="AH576" s="110">
        <v>0.115</v>
      </c>
      <c r="AI576" s="110">
        <v>0.115</v>
      </c>
      <c r="AJ576" s="110">
        <v>0.115</v>
      </c>
      <c r="AK576" s="110">
        <v>0.115</v>
      </c>
      <c r="AL576" s="110">
        <v>0.115</v>
      </c>
      <c r="AM576" s="110">
        <v>0.115</v>
      </c>
      <c r="AN576" s="110">
        <v>0.115</v>
      </c>
      <c r="AO576" s="110">
        <v>0.115</v>
      </c>
      <c r="AP576" s="110">
        <v>0.115</v>
      </c>
      <c r="AQ576" s="110">
        <v>0.115</v>
      </c>
      <c r="AR576" s="110">
        <v>0.115</v>
      </c>
      <c r="AS576" s="110">
        <v>0.115</v>
      </c>
      <c r="AT576" s="110">
        <v>0.115</v>
      </c>
      <c r="AU576" s="110">
        <v>0.115</v>
      </c>
      <c r="AV576" s="110">
        <v>0.115</v>
      </c>
      <c r="AW576" s="110">
        <v>0.115</v>
      </c>
      <c r="AX576" s="110">
        <v>0.115</v>
      </c>
      <c r="AY576" s="110">
        <v>0.115</v>
      </c>
      <c r="AZ576" s="110">
        <v>0.115</v>
      </c>
      <c r="BA576" s="110">
        <v>0.115</v>
      </c>
      <c r="BB576" s="110">
        <v>0.115</v>
      </c>
      <c r="BC576" s="110">
        <f t="shared" si="216"/>
        <v>0.115</v>
      </c>
      <c r="BD576" s="110">
        <f t="shared" si="216"/>
        <v>0.115</v>
      </c>
      <c r="BE576" s="110">
        <f t="shared" si="216"/>
        <v>0.115</v>
      </c>
      <c r="BF576" s="110">
        <f t="shared" si="216"/>
        <v>0.115</v>
      </c>
      <c r="BG576" s="110">
        <f t="shared" si="216"/>
        <v>0.115</v>
      </c>
    </row>
    <row r="577" spans="1:59" ht="13.75" customHeight="1" outlineLevel="1">
      <c r="A577" s="141" t="s">
        <v>166</v>
      </c>
      <c r="B577" s="142" t="s">
        <v>530</v>
      </c>
      <c r="C577" s="170" t="s">
        <v>551</v>
      </c>
      <c r="D577" s="142" t="s">
        <v>377</v>
      </c>
      <c r="F577" s="168" t="s">
        <v>574</v>
      </c>
      <c r="G577" s="109" t="s">
        <v>3</v>
      </c>
      <c r="Z577" s="110">
        <v>0.12</v>
      </c>
      <c r="AA577" s="110">
        <v>0.12</v>
      </c>
      <c r="AB577" s="110">
        <v>0.11749999999999999</v>
      </c>
      <c r="AC577" s="110">
        <v>0.11249999999999999</v>
      </c>
      <c r="AD577" s="110">
        <v>0.10999999999999999</v>
      </c>
      <c r="AE577" s="110">
        <v>0.11499999999999999</v>
      </c>
      <c r="AF577" s="110">
        <v>0.11499999999999999</v>
      </c>
      <c r="AG577" s="110">
        <v>0.11499999999999999</v>
      </c>
      <c r="AH577" s="110">
        <v>0.11</v>
      </c>
      <c r="AI577" s="110">
        <v>0.11</v>
      </c>
      <c r="AJ577" s="110">
        <v>0.11</v>
      </c>
      <c r="AK577" s="110">
        <v>0.11</v>
      </c>
      <c r="AL577" s="110">
        <v>0.11</v>
      </c>
      <c r="AM577" s="110">
        <v>0.11</v>
      </c>
      <c r="AN577" s="110">
        <v>0.11</v>
      </c>
      <c r="AO577" s="110">
        <v>0.11</v>
      </c>
      <c r="AP577" s="110">
        <v>0.11</v>
      </c>
      <c r="AQ577" s="110">
        <v>0.11</v>
      </c>
      <c r="AR577" s="110">
        <v>0.11</v>
      </c>
      <c r="AS577" s="110">
        <v>0.11</v>
      </c>
      <c r="AT577" s="110">
        <v>0.11</v>
      </c>
      <c r="AU577" s="110">
        <v>0.11</v>
      </c>
      <c r="AV577" s="110">
        <v>0.11</v>
      </c>
      <c r="AW577" s="110">
        <v>0.11</v>
      </c>
      <c r="AX577" s="110">
        <v>0.11</v>
      </c>
      <c r="AY577" s="110">
        <v>0.11</v>
      </c>
      <c r="AZ577" s="110">
        <v>0.11</v>
      </c>
      <c r="BA577" s="110">
        <v>0.11</v>
      </c>
      <c r="BB577" s="110">
        <v>0.11</v>
      </c>
      <c r="BC577" s="110">
        <f t="shared" si="216"/>
        <v>0.11</v>
      </c>
      <c r="BD577" s="110">
        <f t="shared" si="216"/>
        <v>0.11</v>
      </c>
      <c r="BE577" s="110">
        <f t="shared" si="216"/>
        <v>0.11</v>
      </c>
      <c r="BF577" s="110">
        <f t="shared" si="216"/>
        <v>0.11</v>
      </c>
      <c r="BG577" s="110">
        <f t="shared" si="216"/>
        <v>0.11</v>
      </c>
    </row>
    <row r="578" spans="1:59" ht="13.75" customHeight="1" outlineLevel="1">
      <c r="A578" s="141" t="s">
        <v>166</v>
      </c>
      <c r="B578" s="142" t="s">
        <v>530</v>
      </c>
      <c r="C578" s="170" t="s">
        <v>551</v>
      </c>
      <c r="D578" s="142" t="s">
        <v>377</v>
      </c>
      <c r="F578" s="168" t="s">
        <v>575</v>
      </c>
      <c r="G578" s="109" t="s">
        <v>3</v>
      </c>
      <c r="Z578" s="110">
        <v>0.13500000000000001</v>
      </c>
      <c r="AA578" s="110">
        <v>0.13500000000000001</v>
      </c>
      <c r="AB578" s="110">
        <v>0.13250000000000001</v>
      </c>
      <c r="AC578" s="110">
        <v>0.1275</v>
      </c>
      <c r="AD578" s="110">
        <v>0.125</v>
      </c>
      <c r="AE578" s="110">
        <v>0.13</v>
      </c>
      <c r="AF578" s="110">
        <v>0.13</v>
      </c>
      <c r="AG578" s="110">
        <v>0.13</v>
      </c>
      <c r="AH578" s="110">
        <v>0.125</v>
      </c>
      <c r="AI578" s="110">
        <v>0.125</v>
      </c>
      <c r="AJ578" s="110">
        <v>0.125</v>
      </c>
      <c r="AK578" s="110">
        <v>0.125</v>
      </c>
      <c r="AL578" s="110">
        <v>0.125</v>
      </c>
      <c r="AM578" s="110">
        <v>0.125</v>
      </c>
      <c r="AN578" s="110">
        <v>0.125</v>
      </c>
      <c r="AO578" s="110">
        <v>0.125</v>
      </c>
      <c r="AP578" s="110">
        <v>0.125</v>
      </c>
      <c r="AQ578" s="110">
        <v>0.125</v>
      </c>
      <c r="AR578" s="110">
        <v>0.125</v>
      </c>
      <c r="AS578" s="110">
        <v>0.125</v>
      </c>
      <c r="AT578" s="110">
        <v>0.125</v>
      </c>
      <c r="AU578" s="110">
        <v>0.125</v>
      </c>
      <c r="AV578" s="110">
        <v>0.125</v>
      </c>
      <c r="AW578" s="110">
        <v>0.125</v>
      </c>
      <c r="AX578" s="110">
        <v>0.125</v>
      </c>
      <c r="AY578" s="110">
        <v>0.125</v>
      </c>
      <c r="AZ578" s="110">
        <v>0.125</v>
      </c>
      <c r="BA578" s="110">
        <v>0.125</v>
      </c>
      <c r="BB578" s="110">
        <v>0.125</v>
      </c>
      <c r="BC578" s="110">
        <f t="shared" si="216"/>
        <v>0.125</v>
      </c>
      <c r="BD578" s="110">
        <f t="shared" si="216"/>
        <v>0.125</v>
      </c>
      <c r="BE578" s="110">
        <f t="shared" si="216"/>
        <v>0.125</v>
      </c>
      <c r="BF578" s="110">
        <f t="shared" si="216"/>
        <v>0.125</v>
      </c>
      <c r="BG578" s="110">
        <f t="shared" si="216"/>
        <v>0.125</v>
      </c>
    </row>
    <row r="579" spans="1:59" ht="13.75" customHeight="1" outlineLevel="1">
      <c r="A579" s="141" t="s">
        <v>166</v>
      </c>
      <c r="B579" s="142" t="s">
        <v>530</v>
      </c>
      <c r="C579" s="170" t="s">
        <v>547</v>
      </c>
      <c r="D579" s="142" t="s">
        <v>377</v>
      </c>
      <c r="F579" s="168" t="s">
        <v>576</v>
      </c>
      <c r="G579" s="109" t="s">
        <v>3</v>
      </c>
      <c r="Z579" s="110">
        <v>0.16700000000000001</v>
      </c>
      <c r="AA579" s="110">
        <v>0.11</v>
      </c>
      <c r="AB579" s="110">
        <v>8.1000000000000003E-2</v>
      </c>
      <c r="AC579" s="110">
        <v>0.126</v>
      </c>
      <c r="AD579" s="110">
        <v>0.10299999999999999</v>
      </c>
      <c r="AE579" s="110">
        <v>0.128</v>
      </c>
      <c r="AF579" s="110">
        <v>0.12327762405460246</v>
      </c>
      <c r="AG579" s="107">
        <v>0.14055287537143857</v>
      </c>
      <c r="AH579" s="107">
        <v>0.1278674210437426</v>
      </c>
      <c r="AI579" s="107">
        <v>0.10860698402240157</v>
      </c>
      <c r="AJ579" s="107">
        <v>8.8606984022401566E-2</v>
      </c>
      <c r="AK579" s="107">
        <v>8.8606984022401566E-2</v>
      </c>
      <c r="AL579" s="107">
        <v>8.8606984022401566E-2</v>
      </c>
      <c r="AM579" s="107">
        <v>8.8606984022401566E-2</v>
      </c>
      <c r="AN579" s="107">
        <v>8.8606984022401566E-2</v>
      </c>
      <c r="AO579" s="107">
        <v>8.8606984022401566E-2</v>
      </c>
      <c r="AP579" s="107">
        <v>8.8606984022401566E-2</v>
      </c>
      <c r="AQ579" s="107">
        <v>8.8606984022401566E-2</v>
      </c>
      <c r="AR579" s="107">
        <v>8.8606984022401566E-2</v>
      </c>
      <c r="AS579" s="107">
        <v>8.8606984022401566E-2</v>
      </c>
      <c r="AT579" s="107">
        <v>8.8606984022401566E-2</v>
      </c>
      <c r="AU579" s="107">
        <v>8.8606984022401566E-2</v>
      </c>
      <c r="AV579" s="107">
        <v>8.8606984022401566E-2</v>
      </c>
      <c r="AW579" s="107">
        <v>8.8606984022401566E-2</v>
      </c>
      <c r="AX579" s="107">
        <v>8.8606984022401566E-2</v>
      </c>
      <c r="AY579" s="107">
        <v>8.8606984022401566E-2</v>
      </c>
      <c r="AZ579" s="107">
        <v>8.8606984022401566E-2</v>
      </c>
      <c r="BA579" s="107">
        <v>8.8606984022401566E-2</v>
      </c>
      <c r="BB579" s="107">
        <v>8.8606984022401566E-2</v>
      </c>
      <c r="BC579" s="107">
        <f t="shared" si="216"/>
        <v>8.8606984022401566E-2</v>
      </c>
      <c r="BD579" s="107">
        <f t="shared" si="216"/>
        <v>8.8606984022401566E-2</v>
      </c>
      <c r="BE579" s="107">
        <f t="shared" si="216"/>
        <v>8.8606984022401566E-2</v>
      </c>
      <c r="BF579" s="107">
        <f t="shared" si="216"/>
        <v>8.8606984022401566E-2</v>
      </c>
      <c r="BG579" s="107">
        <f t="shared" si="216"/>
        <v>8.8606984022401566E-2</v>
      </c>
    </row>
    <row r="580" spans="1:59" ht="13.75" customHeight="1" outlineLevel="1">
      <c r="A580" s="141" t="s">
        <v>166</v>
      </c>
      <c r="B580" s="142" t="s">
        <v>530</v>
      </c>
      <c r="C580" s="170" t="s">
        <v>547</v>
      </c>
      <c r="D580" s="142" t="s">
        <v>377</v>
      </c>
      <c r="F580" s="168" t="s">
        <v>577</v>
      </c>
      <c r="G580" s="109" t="s">
        <v>3</v>
      </c>
      <c r="Z580" s="107">
        <v>0.12619874407392062</v>
      </c>
      <c r="AA580" s="107">
        <v>9.4974148880558482E-2</v>
      </c>
      <c r="AB580" s="107">
        <v>0.10065583890437556</v>
      </c>
      <c r="AC580" s="107">
        <v>0.11636986301369862</v>
      </c>
      <c r="AD580" s="107">
        <v>0.11796381173895197</v>
      </c>
      <c r="AE580" s="107">
        <v>9.8000000000000004E-2</v>
      </c>
      <c r="AF580" s="107">
        <v>9.403684803499239E-2</v>
      </c>
      <c r="AG580" s="107">
        <v>0.10512588057146621</v>
      </c>
      <c r="AH580" s="107">
        <v>9.7995748577408628E-2</v>
      </c>
      <c r="AI580" s="107">
        <v>9.6924075150106564E-2</v>
      </c>
      <c r="AJ580" s="107">
        <v>9.6924075150106564E-2</v>
      </c>
      <c r="AK580" s="107">
        <v>9.6924075150106564E-2</v>
      </c>
      <c r="AL580" s="107">
        <v>9.6924075150106564E-2</v>
      </c>
      <c r="AM580" s="107">
        <v>9.6924075150106564E-2</v>
      </c>
      <c r="AN580" s="107">
        <v>9.6924075150106564E-2</v>
      </c>
      <c r="AO580" s="107">
        <v>9.6924075150106564E-2</v>
      </c>
      <c r="AP580" s="107">
        <v>9.6924075150106564E-2</v>
      </c>
      <c r="AQ580" s="107">
        <v>9.6924075150106564E-2</v>
      </c>
      <c r="AR580" s="107">
        <v>9.6924075150106564E-2</v>
      </c>
      <c r="AS580" s="107">
        <v>9.6924075150106564E-2</v>
      </c>
      <c r="AT580" s="107">
        <v>9.6924075150106564E-2</v>
      </c>
      <c r="AU580" s="107">
        <v>9.6924075150106564E-2</v>
      </c>
      <c r="AV580" s="107">
        <v>9.6924075150106564E-2</v>
      </c>
      <c r="AW580" s="107">
        <v>9.6924075150106564E-2</v>
      </c>
      <c r="AX580" s="107">
        <v>9.6924075150106564E-2</v>
      </c>
      <c r="AY580" s="107">
        <v>9.6924075150106564E-2</v>
      </c>
      <c r="AZ580" s="107">
        <v>9.6924075150106564E-2</v>
      </c>
      <c r="BA580" s="107">
        <v>9.6924075150106564E-2</v>
      </c>
      <c r="BB580" s="107">
        <v>9.6924075150106564E-2</v>
      </c>
      <c r="BC580" s="107">
        <f t="shared" si="216"/>
        <v>9.6924075150106564E-2</v>
      </c>
      <c r="BD580" s="107">
        <f t="shared" si="216"/>
        <v>9.6924075150106564E-2</v>
      </c>
      <c r="BE580" s="107">
        <f t="shared" si="216"/>
        <v>9.6924075150106564E-2</v>
      </c>
      <c r="BF580" s="107">
        <f t="shared" si="216"/>
        <v>9.6924075150106564E-2</v>
      </c>
      <c r="BG580" s="107">
        <f t="shared" si="216"/>
        <v>9.6924075150106564E-2</v>
      </c>
    </row>
    <row r="581" spans="1:59" ht="13.75" customHeight="1" outlineLevel="1">
      <c r="A581" s="141" t="s">
        <v>166</v>
      </c>
      <c r="B581" s="142" t="s">
        <v>530</v>
      </c>
      <c r="C581" s="170" t="s">
        <v>551</v>
      </c>
      <c r="D581" s="142" t="s">
        <v>377</v>
      </c>
      <c r="F581" s="168" t="s">
        <v>578</v>
      </c>
      <c r="G581" s="109" t="s">
        <v>3</v>
      </c>
      <c r="Z581" s="107">
        <v>7.9000000000000001E-2</v>
      </c>
      <c r="AA581" s="107">
        <v>6.2E-2</v>
      </c>
      <c r="AB581" s="107">
        <v>3.6999999999999998E-2</v>
      </c>
      <c r="AC581" s="107">
        <v>3.4999999999999996E-2</v>
      </c>
      <c r="AD581" s="107">
        <v>0.01</v>
      </c>
      <c r="AE581" s="107">
        <v>1.7999999999999999E-2</v>
      </c>
      <c r="AF581" s="107">
        <v>3.0264701918325171E-2</v>
      </c>
      <c r="AG581" s="107">
        <v>5.7999999999999996E-2</v>
      </c>
      <c r="AH581" s="107">
        <v>5.7999999999999996E-2</v>
      </c>
      <c r="AI581" s="107">
        <v>5.7999999999999996E-2</v>
      </c>
      <c r="AJ581" s="107">
        <v>5.7999999999999996E-2</v>
      </c>
      <c r="AK581" s="107">
        <v>5.7999999999999996E-2</v>
      </c>
      <c r="AL581" s="107">
        <v>5.7999999999999996E-2</v>
      </c>
      <c r="AM581" s="107">
        <v>5.7999999999999996E-2</v>
      </c>
      <c r="AN581" s="107">
        <v>5.7999999999999996E-2</v>
      </c>
      <c r="AO581" s="107">
        <v>5.7999999999999996E-2</v>
      </c>
      <c r="AP581" s="107">
        <v>5.7999999999999996E-2</v>
      </c>
      <c r="AQ581" s="107">
        <v>5.7999999999999996E-2</v>
      </c>
      <c r="AR581" s="107">
        <v>5.7999999999999996E-2</v>
      </c>
      <c r="AS581" s="107">
        <v>5.7999999999999996E-2</v>
      </c>
      <c r="AT581" s="107">
        <v>5.7999999999999996E-2</v>
      </c>
      <c r="AU581" s="107">
        <v>5.7999999999999996E-2</v>
      </c>
      <c r="AV581" s="107">
        <v>5.7999999999999996E-2</v>
      </c>
      <c r="AW581" s="107">
        <v>5.7999999999999996E-2</v>
      </c>
      <c r="AX581" s="107">
        <v>5.7999999999999996E-2</v>
      </c>
      <c r="AY581" s="107">
        <v>5.7999999999999996E-2</v>
      </c>
      <c r="AZ581" s="107">
        <v>5.7999999999999996E-2</v>
      </c>
      <c r="BA581" s="107">
        <v>5.7999999999999996E-2</v>
      </c>
      <c r="BB581" s="107">
        <v>5.7999999999999996E-2</v>
      </c>
      <c r="BC581" s="107">
        <f t="shared" si="216"/>
        <v>5.7999999999999996E-2</v>
      </c>
      <c r="BD581" s="107">
        <f t="shared" si="216"/>
        <v>5.7999999999999996E-2</v>
      </c>
      <c r="BE581" s="107">
        <f t="shared" si="216"/>
        <v>5.7999999999999996E-2</v>
      </c>
      <c r="BF581" s="107">
        <f t="shared" si="216"/>
        <v>5.7999999999999996E-2</v>
      </c>
      <c r="BG581" s="107">
        <f t="shared" si="216"/>
        <v>5.7999999999999996E-2</v>
      </c>
    </row>
    <row r="582" spans="1:59" ht="13.75" customHeight="1" outlineLevel="1">
      <c r="A582" s="141" t="s">
        <v>166</v>
      </c>
      <c r="B582" s="142" t="s">
        <v>530</v>
      </c>
      <c r="C582" s="170" t="s">
        <v>551</v>
      </c>
      <c r="D582" s="142" t="s">
        <v>377</v>
      </c>
      <c r="F582" s="168" t="s">
        <v>579</v>
      </c>
      <c r="G582" s="109" t="s">
        <v>3</v>
      </c>
      <c r="Z582" s="107">
        <v>7.9000000000000001E-2</v>
      </c>
      <c r="AA582" s="107">
        <v>6.2E-2</v>
      </c>
      <c r="AB582" s="107">
        <v>3.6999999999999998E-2</v>
      </c>
      <c r="AC582" s="107">
        <v>3.4999999999999996E-2</v>
      </c>
      <c r="AD582" s="107">
        <v>0.01</v>
      </c>
      <c r="AE582" s="107">
        <v>1.7999999999999999E-2</v>
      </c>
      <c r="AF582" s="107">
        <v>3.0264701918325171E-2</v>
      </c>
      <c r="AG582" s="107">
        <v>5.7999999999999996E-2</v>
      </c>
      <c r="AH582" s="107">
        <v>5.7999999999999996E-2</v>
      </c>
      <c r="AI582" s="107">
        <v>5.7999999999999996E-2</v>
      </c>
      <c r="AJ582" s="107">
        <v>5.7999999999999996E-2</v>
      </c>
      <c r="AK582" s="107">
        <v>5.7999999999999996E-2</v>
      </c>
      <c r="AL582" s="107">
        <v>5.7999999999999996E-2</v>
      </c>
      <c r="AM582" s="107">
        <v>5.7999999999999996E-2</v>
      </c>
      <c r="AN582" s="107">
        <v>5.7999999999999996E-2</v>
      </c>
      <c r="AO582" s="107">
        <v>5.7999999999999996E-2</v>
      </c>
      <c r="AP582" s="107">
        <v>5.7999999999999996E-2</v>
      </c>
      <c r="AQ582" s="107">
        <v>5.7999999999999996E-2</v>
      </c>
      <c r="AR582" s="107">
        <v>5.7999999999999996E-2</v>
      </c>
      <c r="AS582" s="107">
        <v>5.7999999999999996E-2</v>
      </c>
      <c r="AT582" s="107">
        <v>5.7999999999999996E-2</v>
      </c>
      <c r="AU582" s="107">
        <v>5.7999999999999996E-2</v>
      </c>
      <c r="AV582" s="107">
        <v>5.7999999999999996E-2</v>
      </c>
      <c r="AW582" s="107">
        <v>5.7999999999999996E-2</v>
      </c>
      <c r="AX582" s="107">
        <v>5.7999999999999996E-2</v>
      </c>
      <c r="AY582" s="107">
        <v>5.7999999999999996E-2</v>
      </c>
      <c r="AZ582" s="107">
        <v>5.7999999999999996E-2</v>
      </c>
      <c r="BA582" s="107">
        <v>5.7999999999999996E-2</v>
      </c>
      <c r="BB582" s="107">
        <v>5.7999999999999996E-2</v>
      </c>
      <c r="BC582" s="107">
        <f t="shared" si="216"/>
        <v>5.7999999999999996E-2</v>
      </c>
      <c r="BD582" s="107">
        <f t="shared" si="216"/>
        <v>5.7999999999999996E-2</v>
      </c>
      <c r="BE582" s="107">
        <f t="shared" si="216"/>
        <v>5.7999999999999996E-2</v>
      </c>
      <c r="BF582" s="107">
        <f t="shared" si="216"/>
        <v>5.7999999999999996E-2</v>
      </c>
      <c r="BG582" s="107">
        <f t="shared" si="216"/>
        <v>5.7999999999999996E-2</v>
      </c>
    </row>
    <row r="583" spans="1:59" ht="13.75" customHeight="1" outlineLevel="1">
      <c r="A583" s="141" t="s">
        <v>166</v>
      </c>
      <c r="B583" s="142" t="s">
        <v>530</v>
      </c>
      <c r="C583" s="142" t="s">
        <v>537</v>
      </c>
      <c r="D583" s="142" t="s">
        <v>168</v>
      </c>
      <c r="F583" s="168" t="s">
        <v>580</v>
      </c>
      <c r="G583" s="109" t="s">
        <v>3</v>
      </c>
      <c r="Z583" s="123">
        <v>-3.3299611005828123E-3</v>
      </c>
      <c r="AA583" s="123">
        <v>0.13792240729806582</v>
      </c>
      <c r="AB583" s="123">
        <v>-1.6097825731896331E-2</v>
      </c>
      <c r="AC583" s="123">
        <v>-2.4732708237298118E-2</v>
      </c>
      <c r="AD583" s="123">
        <v>0.17651656794507198</v>
      </c>
      <c r="AE583" s="123">
        <v>-0.21723584184397404</v>
      </c>
      <c r="AF583" s="123">
        <v>0.15261871704146968</v>
      </c>
      <c r="AG583" s="107">
        <v>-0.1738219216283905</v>
      </c>
      <c r="AH583" s="107">
        <v>-6.3942607036764354E-3</v>
      </c>
      <c r="AI583" s="107">
        <v>8.7327105509190206E-2</v>
      </c>
      <c r="AJ583" s="107">
        <v>6.0699117019440418E-3</v>
      </c>
      <c r="AK583" s="107">
        <v>6.1358899959735869E-3</v>
      </c>
      <c r="AL583" s="107">
        <v>5.9610615131717726E-3</v>
      </c>
      <c r="AM583" s="107">
        <v>5.786340466939377E-3</v>
      </c>
      <c r="AN583" s="107">
        <v>5.612147057766137E-3</v>
      </c>
      <c r="AO583" s="107">
        <v>5.438875370921803E-3</v>
      </c>
      <c r="AP583" s="107">
        <v>5.2668927388233033E-3</v>
      </c>
      <c r="AQ583" s="107">
        <v>5.0965393783539703E-3</v>
      </c>
      <c r="AR583" s="107">
        <v>4.9281282826161288E-3</v>
      </c>
      <c r="AS583" s="107">
        <v>4.7619453450755689E-3</v>
      </c>
      <c r="AT583" s="107">
        <v>4.5982496931329386E-3</v>
      </c>
      <c r="AU583" s="107">
        <v>4.437274207665487E-3</v>
      </c>
      <c r="AV583" s="107">
        <v>4.2792262050999064E-3</v>
      </c>
      <c r="AW583" s="107">
        <v>4.1242882589462848E-3</v>
      </c>
      <c r="AX583" s="107">
        <v>3.972619138421507E-3</v>
      </c>
      <c r="AY583" s="107">
        <v>3.824354842801414E-3</v>
      </c>
      <c r="AZ583" s="107">
        <v>3.824354842801414E-3</v>
      </c>
      <c r="BA583" s="107">
        <v>3.824354842801414E-3</v>
      </c>
      <c r="BB583" s="107">
        <v>3.824354842801414E-3</v>
      </c>
      <c r="BC583" s="107">
        <f t="shared" si="216"/>
        <v>3.824354842801414E-3</v>
      </c>
      <c r="BD583" s="107">
        <f t="shared" si="216"/>
        <v>3.824354842801414E-3</v>
      </c>
      <c r="BE583" s="107">
        <f t="shared" si="216"/>
        <v>3.824354842801414E-3</v>
      </c>
      <c r="BF583" s="107">
        <f t="shared" si="216"/>
        <v>3.824354842801414E-3</v>
      </c>
      <c r="BG583" s="107">
        <f t="shared" si="216"/>
        <v>3.824354842801414E-3</v>
      </c>
    </row>
    <row r="584" spans="1:59" ht="13.75" customHeight="1" outlineLevel="1">
      <c r="A584" s="141" t="s">
        <v>166</v>
      </c>
      <c r="B584" s="142" t="s">
        <v>530</v>
      </c>
      <c r="C584" s="142" t="s">
        <v>537</v>
      </c>
      <c r="D584" s="142" t="s">
        <v>377</v>
      </c>
      <c r="F584" s="168" t="s">
        <v>581</v>
      </c>
      <c r="G584" s="109" t="s">
        <v>3</v>
      </c>
      <c r="Z584" s="123">
        <v>-2.9793464113103907E-2</v>
      </c>
      <c r="AA584" s="123">
        <v>7.2205955206304573E-2</v>
      </c>
      <c r="AB584" s="123">
        <v>9.0944429488471368E-2</v>
      </c>
      <c r="AC584" s="123">
        <v>0.17263326754274377</v>
      </c>
      <c r="AD584" s="123">
        <v>0.29269173529089887</v>
      </c>
      <c r="AE584" s="123">
        <v>0.24596081103355538</v>
      </c>
      <c r="AF584" s="123">
        <v>6.8460103266909655E-4</v>
      </c>
      <c r="AG584" s="107">
        <v>-1.1754537654467767E-2</v>
      </c>
      <c r="AH584" s="107">
        <v>-2.1595838240958121E-2</v>
      </c>
      <c r="AI584" s="107">
        <v>3.1308630183122244E-2</v>
      </c>
      <c r="AJ584" s="107">
        <v>3.2543885847936549E-2</v>
      </c>
      <c r="AK584" s="107">
        <v>3.737622156431919E-2</v>
      </c>
      <c r="AL584" s="107">
        <v>3.7905059537601371E-2</v>
      </c>
      <c r="AM584" s="107">
        <v>3.8421793243165192E-2</v>
      </c>
      <c r="AN584" s="107">
        <v>3.8926191345682648E-2</v>
      </c>
      <c r="AO584" s="107">
        <v>3.941806439986717E-2</v>
      </c>
      <c r="AP584" s="107">
        <v>3.9897263675540584E-2</v>
      </c>
      <c r="AQ584" s="107">
        <v>4.0363679776100891E-2</v>
      </c>
      <c r="AR584" s="107">
        <v>4.0817241077516497E-2</v>
      </c>
      <c r="AS584" s="107">
        <v>4.1257912015060016E-2</v>
      </c>
      <c r="AT584" s="107">
        <v>4.1685691244630174E-2</v>
      </c>
      <c r="AU584" s="107">
        <v>4.2100609704746716E-2</v>
      </c>
      <c r="AV584" s="107">
        <v>4.2502728604239648E-2</v>
      </c>
      <c r="AW584" s="107">
        <v>4.2892137359303861E-2</v>
      </c>
      <c r="AX584" s="107">
        <v>4.326895150201282E-2</v>
      </c>
      <c r="AY584" s="107">
        <v>4.3633310580662998E-2</v>
      </c>
      <c r="AZ584" s="107">
        <v>4.3633310580662998E-2</v>
      </c>
      <c r="BA584" s="107">
        <v>4.3633310580662998E-2</v>
      </c>
      <c r="BB584" s="107">
        <v>4.3633310580662998E-2</v>
      </c>
      <c r="BC584" s="107">
        <f t="shared" si="216"/>
        <v>4.3633310580662998E-2</v>
      </c>
      <c r="BD584" s="107">
        <f t="shared" si="216"/>
        <v>4.3633310580662998E-2</v>
      </c>
      <c r="BE584" s="107">
        <f t="shared" si="216"/>
        <v>4.3633310580662998E-2</v>
      </c>
      <c r="BF584" s="107">
        <f t="shared" si="216"/>
        <v>4.3633310580662998E-2</v>
      </c>
      <c r="BG584" s="107">
        <f t="shared" si="216"/>
        <v>4.3633310580662998E-2</v>
      </c>
    </row>
    <row r="585" spans="1:59" ht="13.75" customHeight="1" outlineLevel="1">
      <c r="A585" s="141" t="s">
        <v>166</v>
      </c>
      <c r="B585" s="142" t="s">
        <v>530</v>
      </c>
      <c r="C585" s="142" t="s">
        <v>537</v>
      </c>
      <c r="D585" s="142" t="s">
        <v>168</v>
      </c>
      <c r="F585" s="168" t="s">
        <v>582</v>
      </c>
      <c r="Z585" s="123">
        <v>0.48251546153401548</v>
      </c>
      <c r="AA585" s="123">
        <v>0.44908693090970297</v>
      </c>
      <c r="AB585" s="123">
        <v>1.7935092966307575E-2</v>
      </c>
      <c r="AC585" s="123">
        <v>5.7107540173053195E-2</v>
      </c>
      <c r="AD585" s="123">
        <v>0.29510865654457796</v>
      </c>
      <c r="AE585" s="123">
        <v>-0.15234920304198352</v>
      </c>
      <c r="AF585" s="123">
        <v>0.22185358893811191</v>
      </c>
      <c r="AG585" s="107">
        <v>-0.17485769246985206</v>
      </c>
      <c r="AH585" s="107">
        <v>6.7137963132770651E-3</v>
      </c>
      <c r="AI585" s="107">
        <v>2.8692801342435681E-2</v>
      </c>
      <c r="AJ585" s="107">
        <v>2.7856249825198853E-2</v>
      </c>
      <c r="AK585" s="107">
        <v>2.7539915831956474E-2</v>
      </c>
      <c r="AL585" s="107">
        <v>2.6210857164437273E-2</v>
      </c>
      <c r="AM585" s="107">
        <v>2.4952606465374894E-2</v>
      </c>
      <c r="AN585" s="123">
        <v>2.3760068469718343E-2</v>
      </c>
      <c r="AO585" s="123">
        <v>2.2628708967700195E-2</v>
      </c>
      <c r="AP585" s="123">
        <v>2.1554473081774272E-2</v>
      </c>
      <c r="AQ585" s="123">
        <v>2.0533717104498139E-2</v>
      </c>
      <c r="AR585" s="123">
        <v>1.956315142313092E-2</v>
      </c>
      <c r="AS585" s="123">
        <v>1.8639792555980916E-2</v>
      </c>
      <c r="AT585" s="123">
        <v>1.7760922713467853E-2</v>
      </c>
      <c r="AU585" s="123">
        <v>1.6924055600575194E-2</v>
      </c>
      <c r="AV585" s="123">
        <v>1.6126907416840419E-2</v>
      </c>
      <c r="AW585" s="123">
        <v>1.5367372200081331E-2</v>
      </c>
      <c r="AX585" s="123">
        <v>1.4643500811972965E-2</v>
      </c>
      <c r="AY585" s="123">
        <v>1.3953482985674004E-2</v>
      </c>
      <c r="AZ585" s="123">
        <v>1.3953482985674004E-2</v>
      </c>
      <c r="BA585" s="123">
        <v>1.3953482985674004E-2</v>
      </c>
      <c r="BB585" s="123">
        <v>1.3953482985674004E-2</v>
      </c>
      <c r="BC585" s="123">
        <f t="shared" si="216"/>
        <v>1.3953482985674004E-2</v>
      </c>
      <c r="BD585" s="123">
        <f t="shared" si="216"/>
        <v>1.3953482985674004E-2</v>
      </c>
      <c r="BE585" s="123">
        <f t="shared" si="216"/>
        <v>1.3953482985674004E-2</v>
      </c>
      <c r="BF585" s="123">
        <f t="shared" si="216"/>
        <v>1.3953482985674004E-2</v>
      </c>
      <c r="BG585" s="123">
        <f t="shared" si="216"/>
        <v>1.3953482985674004E-2</v>
      </c>
    </row>
    <row r="586" spans="1:59" ht="13.75" customHeight="1" outlineLevel="1">
      <c r="A586" s="141" t="s">
        <v>166</v>
      </c>
      <c r="B586" s="142" t="s">
        <v>530</v>
      </c>
      <c r="C586" s="142" t="s">
        <v>537</v>
      </c>
      <c r="D586" s="142" t="s">
        <v>377</v>
      </c>
      <c r="F586" s="168" t="s">
        <v>583</v>
      </c>
      <c r="Z586" s="123">
        <v>-1.2027357856432386E-2</v>
      </c>
      <c r="AA586" s="123">
        <v>5.8743262987340561E-2</v>
      </c>
      <c r="AB586" s="123">
        <v>0.16248794340150852</v>
      </c>
      <c r="AC586" s="123">
        <v>0.22457006049217587</v>
      </c>
      <c r="AD586" s="123">
        <v>0.26220347263749333</v>
      </c>
      <c r="AE586" s="123">
        <v>6.9578874458237072E-2</v>
      </c>
      <c r="AF586" s="123">
        <v>2.4543335073936579E-3</v>
      </c>
      <c r="AG586" s="107">
        <v>-1.7455273036131702E-2</v>
      </c>
      <c r="AH586" s="107">
        <v>-2.1444058173612723E-2</v>
      </c>
      <c r="AI586" s="107">
        <v>3.108376455114481E-2</v>
      </c>
      <c r="AJ586" s="107">
        <v>3.231719474450756E-2</v>
      </c>
      <c r="AK586" s="107">
        <v>3.7124020274752478E-2</v>
      </c>
      <c r="AL586" s="107">
        <v>3.7658445157011222E-2</v>
      </c>
      <c r="AM586" s="107">
        <v>3.8180889016309782E-2</v>
      </c>
      <c r="AN586" s="123">
        <v>3.8691100524739674E-2</v>
      </c>
      <c r="AO586" s="123">
        <v>3.9188870716869717E-2</v>
      </c>
      <c r="AP586" s="123">
        <v>3.9674031920970299E-2</v>
      </c>
      <c r="AQ586" s="123">
        <v>4.0146456471046976E-2</v>
      </c>
      <c r="AR586" s="123">
        <v>4.0606055226642956E-2</v>
      </c>
      <c r="AS586" s="123">
        <v>4.1052775927629348E-2</v>
      </c>
      <c r="AT586" s="123">
        <v>4.148660141106375E-2</v>
      </c>
      <c r="AU586" s="123">
        <v>4.1907547716595328E-2</v>
      </c>
      <c r="AV586" s="123">
        <v>4.2315662105978591E-2</v>
      </c>
      <c r="AW586" s="123">
        <v>4.2711021021034634E-2</v>
      </c>
      <c r="AX586" s="123">
        <v>4.3093728002907117E-2</v>
      </c>
      <c r="AY586" s="123">
        <v>4.346391159381735E-2</v>
      </c>
      <c r="AZ586" s="123">
        <v>4.346391159381735E-2</v>
      </c>
      <c r="BA586" s="123">
        <v>4.346391159381735E-2</v>
      </c>
      <c r="BB586" s="123">
        <v>4.346391159381735E-2</v>
      </c>
      <c r="BC586" s="123">
        <f t="shared" si="216"/>
        <v>4.346391159381735E-2</v>
      </c>
      <c r="BD586" s="123">
        <f t="shared" si="216"/>
        <v>4.346391159381735E-2</v>
      </c>
      <c r="BE586" s="123">
        <f t="shared" si="216"/>
        <v>4.346391159381735E-2</v>
      </c>
      <c r="BF586" s="123">
        <f t="shared" si="216"/>
        <v>4.346391159381735E-2</v>
      </c>
      <c r="BG586" s="123">
        <f t="shared" si="216"/>
        <v>4.346391159381735E-2</v>
      </c>
    </row>
    <row r="587" spans="1:59" ht="13.75" customHeight="1" outlineLevel="1">
      <c r="A587" s="141" t="s">
        <v>166</v>
      </c>
      <c r="B587" s="142" t="s">
        <v>530</v>
      </c>
      <c r="C587" s="142" t="s">
        <v>537</v>
      </c>
      <c r="D587" s="142" t="s">
        <v>168</v>
      </c>
      <c r="F587" s="168" t="s">
        <v>584</v>
      </c>
      <c r="Z587" s="123">
        <v>2.5700579565434367E-2</v>
      </c>
      <c r="AA587" s="123">
        <v>-9.7009713668973374E-2</v>
      </c>
      <c r="AB587" s="123">
        <v>-4.1751622958119516E-2</v>
      </c>
      <c r="AC587" s="123">
        <v>-7.4350351574442586E-3</v>
      </c>
      <c r="AD587" s="123">
        <v>0.43297152783766801</v>
      </c>
      <c r="AE587" s="123">
        <v>-0.30334451036024412</v>
      </c>
      <c r="AF587" s="123">
        <v>-0.1420308962039295</v>
      </c>
      <c r="AG587" s="107">
        <v>-0.11231295062038038</v>
      </c>
      <c r="AH587" s="107">
        <v>4.116914172854691E-2</v>
      </c>
      <c r="AI587" s="107">
        <v>5.9973044158016187E-2</v>
      </c>
      <c r="AJ587" s="107">
        <v>0</v>
      </c>
      <c r="AK587" s="107">
        <v>0</v>
      </c>
      <c r="AL587" s="107">
        <v>0</v>
      </c>
      <c r="AM587" s="107">
        <v>0</v>
      </c>
      <c r="AN587" s="123">
        <v>0</v>
      </c>
      <c r="AO587" s="123">
        <v>0</v>
      </c>
      <c r="AP587" s="123">
        <v>0</v>
      </c>
      <c r="AQ587" s="123">
        <v>0</v>
      </c>
      <c r="AR587" s="123">
        <v>0</v>
      </c>
      <c r="AS587" s="123">
        <v>0</v>
      </c>
      <c r="AT587" s="123">
        <v>0</v>
      </c>
      <c r="AU587" s="123">
        <v>0</v>
      </c>
      <c r="AV587" s="123">
        <v>0</v>
      </c>
      <c r="AW587" s="123">
        <v>0</v>
      </c>
      <c r="AX587" s="123">
        <v>0</v>
      </c>
      <c r="AY587" s="123">
        <v>0</v>
      </c>
      <c r="AZ587" s="123">
        <v>0</v>
      </c>
      <c r="BA587" s="123">
        <v>0</v>
      </c>
      <c r="BB587" s="123">
        <v>0</v>
      </c>
      <c r="BC587" s="123">
        <v>0</v>
      </c>
      <c r="BD587" s="123">
        <v>0</v>
      </c>
      <c r="BE587" s="123">
        <v>0</v>
      </c>
      <c r="BF587" s="123">
        <v>0</v>
      </c>
      <c r="BG587" s="123">
        <v>0</v>
      </c>
    </row>
    <row r="588" spans="1:59" ht="13.75" customHeight="1" outlineLevel="1">
      <c r="A588" s="141" t="s">
        <v>166</v>
      </c>
      <c r="B588" s="142" t="s">
        <v>530</v>
      </c>
      <c r="C588" s="142" t="s">
        <v>537</v>
      </c>
      <c r="D588" s="142" t="s">
        <v>377</v>
      </c>
      <c r="F588" s="168" t="s">
        <v>585</v>
      </c>
      <c r="Z588" s="123">
        <v>8.3000000000000001E-3</v>
      </c>
      <c r="AA588" s="123">
        <v>5.315383809287999E-2</v>
      </c>
      <c r="AB588" s="123">
        <v>0.11207899456446047</v>
      </c>
      <c r="AC588" s="123">
        <v>0.19952814736283075</v>
      </c>
      <c r="AD588" s="123">
        <v>0.27883746730684811</v>
      </c>
      <c r="AE588" s="123">
        <v>0.16698338562776094</v>
      </c>
      <c r="AF588" s="123">
        <v>-5.7162384374570219E-2</v>
      </c>
      <c r="AG588" s="107">
        <v>-1.2327266332393783E-2</v>
      </c>
      <c r="AH588" s="107">
        <v>-2.3647587936693082E-2</v>
      </c>
      <c r="AI588" s="107">
        <v>3.4355204489623148E-2</v>
      </c>
      <c r="AJ588" s="107">
        <v>3.56054785377804E-2</v>
      </c>
      <c r="AK588" s="107">
        <v>4.0771528656877498E-2</v>
      </c>
      <c r="AL588" s="107">
        <v>4.1213516161001218E-2</v>
      </c>
      <c r="AM588" s="107">
        <v>4.1642610581458905E-2</v>
      </c>
      <c r="AN588" s="123">
        <v>4.205883965229229E-2</v>
      </c>
      <c r="AO588" s="123">
        <v>4.2462261585995531E-2</v>
      </c>
      <c r="AP588" s="123">
        <v>4.2852963014691658E-2</v>
      </c>
      <c r="AQ588" s="123">
        <v>4.3231056900602027E-2</v>
      </c>
      <c r="AR588" s="123">
        <v>4.3596680436341018E-2</v>
      </c>
      <c r="AS588" s="123">
        <v>4.394999295376234E-2</v>
      </c>
      <c r="AT588" s="123">
        <v>4.429117385815684E-2</v>
      </c>
      <c r="AU588" s="123">
        <v>4.4620420602666799E-2</v>
      </c>
      <c r="AV588" s="123">
        <v>4.4937946715856159E-2</v>
      </c>
      <c r="AW588" s="123">
        <v>4.5243979893474728E-2</v>
      </c>
      <c r="AX588" s="123">
        <v>4.5538760163647218E-2</v>
      </c>
      <c r="AY588" s="123">
        <v>4.5822538132954005E-2</v>
      </c>
      <c r="AZ588" s="123">
        <v>4.5822538132954005E-2</v>
      </c>
      <c r="BA588" s="123">
        <v>4.5822538132954005E-2</v>
      </c>
      <c r="BB588" s="123">
        <v>4.5822538132954005E-2</v>
      </c>
      <c r="BC588" s="123">
        <f t="shared" si="216"/>
        <v>4.5822538132954005E-2</v>
      </c>
      <c r="BD588" s="123">
        <f t="shared" si="216"/>
        <v>4.5822538132954005E-2</v>
      </c>
      <c r="BE588" s="123">
        <f t="shared" si="216"/>
        <v>4.5822538132954005E-2</v>
      </c>
      <c r="BF588" s="123">
        <f t="shared" si="216"/>
        <v>4.5822538132954005E-2</v>
      </c>
      <c r="BG588" s="123">
        <f t="shared" si="216"/>
        <v>4.5822538132954005E-2</v>
      </c>
    </row>
    <row r="589" spans="1:59" ht="13.75" customHeight="1" outlineLevel="1">
      <c r="A589" s="141" t="s">
        <v>166</v>
      </c>
      <c r="B589" s="142" t="s">
        <v>530</v>
      </c>
      <c r="C589" s="142" t="s">
        <v>537</v>
      </c>
      <c r="D589" s="142" t="s">
        <v>168</v>
      </c>
      <c r="F589" s="168" t="s">
        <v>586</v>
      </c>
      <c r="Z589" s="123">
        <v>9.4596474147223386E-2</v>
      </c>
      <c r="AA589" s="123">
        <v>0.41870105941962232</v>
      </c>
      <c r="AB589" s="123">
        <v>0.11496865203761764</v>
      </c>
      <c r="AC589" s="123">
        <v>-0.18614505618090349</v>
      </c>
      <c r="AD589" s="123">
        <v>-6.5279885504188728E-2</v>
      </c>
      <c r="AE589" s="123">
        <v>-0.18249736008447726</v>
      </c>
      <c r="AF589" s="123">
        <v>-0.11559580121197421</v>
      </c>
      <c r="AG589" s="107">
        <v>-0.20203742630161992</v>
      </c>
      <c r="AH589" s="107">
        <v>-2.469417884400138E-2</v>
      </c>
      <c r="AI589" s="107">
        <v>0.11995352742543419</v>
      </c>
      <c r="AJ589" s="107">
        <v>2.3018465009443378E-2</v>
      </c>
      <c r="AK589" s="107">
        <v>2.2742339712834347E-2</v>
      </c>
      <c r="AL589" s="107">
        <v>2.1618857520029788E-2</v>
      </c>
      <c r="AM589" s="107">
        <v>2.0555423994477184E-2</v>
      </c>
      <c r="AN589" s="123">
        <v>1.9547990671354043E-2</v>
      </c>
      <c r="AO589" s="123">
        <v>1.8592907603929065E-2</v>
      </c>
      <c r="AP589" s="123">
        <v>1.768686976105327E-2</v>
      </c>
      <c r="AQ589" s="123">
        <v>1.682687190367993E-2</v>
      </c>
      <c r="AR589" s="123">
        <v>1.6010170461961293E-2</v>
      </c>
      <c r="AS589" s="123">
        <v>1.5234251216949435E-2</v>
      </c>
      <c r="AT589" s="123">
        <v>1.4496801814072535E-2</v>
      </c>
      <c r="AU589" s="123">
        <v>1.3795688313041232E-2</v>
      </c>
      <c r="AV589" s="123">
        <v>1.3128935120782392E-2</v>
      </c>
      <c r="AW589" s="123">
        <v>1.2494707768302638E-2</v>
      </c>
      <c r="AX589" s="123">
        <v>1.1891298084836022E-2</v>
      </c>
      <c r="AY589" s="123">
        <v>1.1317111397893598E-2</v>
      </c>
      <c r="AZ589" s="123">
        <v>1.1317111397893598E-2</v>
      </c>
      <c r="BA589" s="123">
        <v>1.1317111397893598E-2</v>
      </c>
      <c r="BB589" s="123">
        <v>1.1317111397893598E-2</v>
      </c>
      <c r="BC589" s="123">
        <f t="shared" si="216"/>
        <v>1.1317111397893598E-2</v>
      </c>
      <c r="BD589" s="123">
        <f t="shared" si="216"/>
        <v>1.1317111397893598E-2</v>
      </c>
      <c r="BE589" s="123">
        <f t="shared" si="216"/>
        <v>1.1317111397893598E-2</v>
      </c>
      <c r="BF589" s="123">
        <f t="shared" si="216"/>
        <v>1.1317111397893598E-2</v>
      </c>
      <c r="BG589" s="123">
        <f t="shared" si="216"/>
        <v>1.1317111397893598E-2</v>
      </c>
    </row>
    <row r="590" spans="1:59" ht="13.75" customHeight="1" outlineLevel="1">
      <c r="A590" s="141" t="s">
        <v>166</v>
      </c>
      <c r="B590" s="142" t="s">
        <v>530</v>
      </c>
      <c r="C590" s="142" t="s">
        <v>537</v>
      </c>
      <c r="D590" s="142" t="s">
        <v>377</v>
      </c>
      <c r="F590" s="168" t="s">
        <v>587</v>
      </c>
      <c r="Z590" s="123">
        <v>7.3363502287884241E-3</v>
      </c>
      <c r="AA590" s="123">
        <v>7.7996094415240469E-2</v>
      </c>
      <c r="AB590" s="123">
        <v>0.11273666302990182</v>
      </c>
      <c r="AC590" s="123">
        <v>0.18754164492381009</v>
      </c>
      <c r="AD590" s="123">
        <v>0.33081671194165563</v>
      </c>
      <c r="AE590" s="123">
        <v>0.21794652266472547</v>
      </c>
      <c r="AF590" s="123">
        <v>-6.7368013667747917E-2</v>
      </c>
      <c r="AG590" s="107">
        <v>-1.1668236112792219E-2</v>
      </c>
      <c r="AH590" s="107">
        <v>-2.3293276825476772E-2</v>
      </c>
      <c r="AI590" s="107">
        <v>3.3828185476257433E-2</v>
      </c>
      <c r="AJ590" s="107">
        <v>3.5077152269173961E-2</v>
      </c>
      <c r="AK590" s="107">
        <v>4.0187048663400615E-2</v>
      </c>
      <c r="AL590" s="107">
        <v>4.0645525910275593E-2</v>
      </c>
      <c r="AM590" s="107">
        <v>4.1091122235512589E-2</v>
      </c>
      <c r="AN590" s="123">
        <v>4.1523823448520458E-2</v>
      </c>
      <c r="AO590" s="123">
        <v>4.1943648391644661E-2</v>
      </c>
      <c r="AP590" s="123">
        <v>4.2350646953364102E-2</v>
      </c>
      <c r="AQ590" s="123">
        <v>4.2744898021987998E-2</v>
      </c>
      <c r="AR590" s="123">
        <v>4.3126507402568848E-2</v>
      </c>
      <c r="AS590" s="123">
        <v>4.3495605718077979E-2</v>
      </c>
      <c r="AT590" s="123">
        <v>4.3852346314085189E-2</v>
      </c>
      <c r="AU590" s="123">
        <v>4.4196903184277048E-2</v>
      </c>
      <c r="AV590" s="123">
        <v>4.4529468932231753E-2</v>
      </c>
      <c r="AW590" s="123">
        <v>4.4850252782919986E-2</v>
      </c>
      <c r="AX590" s="123">
        <v>4.5159478655498519E-2</v>
      </c>
      <c r="AY590" s="123">
        <v>4.5457383307120347E-2</v>
      </c>
      <c r="AZ590" s="123">
        <v>4.5457383307120347E-2</v>
      </c>
      <c r="BA590" s="123">
        <v>4.5457383307120347E-2</v>
      </c>
      <c r="BB590" s="123">
        <v>4.5457383307120347E-2</v>
      </c>
      <c r="BC590" s="123">
        <f t="shared" si="216"/>
        <v>4.5457383307120347E-2</v>
      </c>
      <c r="BD590" s="123">
        <f t="shared" si="216"/>
        <v>4.5457383307120347E-2</v>
      </c>
      <c r="BE590" s="123">
        <f t="shared" si="216"/>
        <v>4.5457383307120347E-2</v>
      </c>
      <c r="BF590" s="123">
        <f t="shared" si="216"/>
        <v>4.5457383307120347E-2</v>
      </c>
      <c r="BG590" s="123">
        <f t="shared" si="216"/>
        <v>4.5457383307120347E-2</v>
      </c>
    </row>
    <row r="591" spans="1:59" ht="13.75" customHeight="1" outlineLevel="1">
      <c r="A591" s="141" t="s">
        <v>166</v>
      </c>
      <c r="B591" s="142" t="s">
        <v>530</v>
      </c>
      <c r="C591" s="142" t="s">
        <v>537</v>
      </c>
      <c r="D591" s="142" t="s">
        <v>377</v>
      </c>
      <c r="F591" s="168" t="s">
        <v>588</v>
      </c>
      <c r="AA591" s="123">
        <v>7.5681639297942027E-4</v>
      </c>
      <c r="AB591" s="123">
        <v>0.11429368485797742</v>
      </c>
      <c r="AC591" s="123">
        <v>0.19437875533891558</v>
      </c>
      <c r="AD591" s="123">
        <v>9.6226986892946398E-2</v>
      </c>
      <c r="AE591" s="123">
        <v>0.17027093891131173</v>
      </c>
      <c r="AF591" s="123">
        <v>2.2675403157631724E-2</v>
      </c>
      <c r="AG591" s="123">
        <v>-8.837461405811653E-3</v>
      </c>
      <c r="AH591" s="123">
        <v>4.1882854362461419E-2</v>
      </c>
      <c r="AI591" s="123">
        <v>4.1958876480037821E-2</v>
      </c>
      <c r="AJ591" s="123">
        <v>4.2064882033874484E-2</v>
      </c>
      <c r="AK591" s="123">
        <v>4.2468115673666818E-2</v>
      </c>
      <c r="AL591" s="123">
        <v>4.2858630288244104E-2</v>
      </c>
      <c r="AM591" s="123">
        <v>4.3236539212423208E-2</v>
      </c>
      <c r="AN591" s="123">
        <v>4.3601979980470329E-2</v>
      </c>
      <c r="AO591" s="123">
        <v>4.3955112235201099E-2</v>
      </c>
      <c r="AP591" s="123">
        <v>4.4296115662668223E-2</v>
      </c>
      <c r="AQ591" s="123">
        <v>4.4625187967274549E-2</v>
      </c>
      <c r="AR591" s="123">
        <v>4.4942542900209048E-2</v>
      </c>
      <c r="AS591" s="123">
        <v>4.5248408352235092E-2</v>
      </c>
      <c r="AT591" s="123">
        <v>4.5543024520017905E-2</v>
      </c>
      <c r="AU591" s="123">
        <v>4.5826642153453445E-2</v>
      </c>
      <c r="AV591" s="123">
        <v>4.6099520889834489E-2</v>
      </c>
      <c r="AW591" s="123">
        <v>4.6361927679177128E-2</v>
      </c>
      <c r="AX591" s="123">
        <v>4.66141353036571E-2</v>
      </c>
      <c r="AY591" s="123">
        <v>4.6856420992849923E-2</v>
      </c>
      <c r="AZ591" s="123">
        <v>4.6856420992849923E-2</v>
      </c>
      <c r="BA591" s="123">
        <v>4.6856420992849923E-2</v>
      </c>
      <c r="BB591" s="123">
        <v>4.6856420992849923E-2</v>
      </c>
      <c r="BC591" s="123">
        <f t="shared" si="216"/>
        <v>4.6856420992849923E-2</v>
      </c>
      <c r="BD591" s="123">
        <f t="shared" si="216"/>
        <v>4.6856420992849923E-2</v>
      </c>
      <c r="BE591" s="123">
        <f t="shared" si="216"/>
        <v>4.6856420992849923E-2</v>
      </c>
      <c r="BF591" s="123">
        <f t="shared" si="216"/>
        <v>4.6856420992849923E-2</v>
      </c>
      <c r="BG591" s="123">
        <f t="shared" si="216"/>
        <v>4.6856420992849923E-2</v>
      </c>
    </row>
    <row r="592" spans="1:59" ht="13.75" customHeight="1" outlineLevel="1">
      <c r="A592" s="141" t="s">
        <v>166</v>
      </c>
      <c r="B592" s="142" t="s">
        <v>530</v>
      </c>
      <c r="C592" s="142" t="s">
        <v>537</v>
      </c>
      <c r="D592" s="142" t="s">
        <v>377</v>
      </c>
      <c r="F592" s="168" t="s">
        <v>589</v>
      </c>
      <c r="Z592" s="124">
        <v>-0.11329474024199371</v>
      </c>
      <c r="AA592" s="123">
        <v>-0.15663089467342861</v>
      </c>
      <c r="AB592" s="123">
        <v>-8.2394763945646154E-2</v>
      </c>
      <c r="AC592" s="123">
        <v>-0.19790723777109953</v>
      </c>
      <c r="AD592" s="123">
        <v>-2.708436780571466E-2</v>
      </c>
      <c r="AE592" s="123">
        <v>7.9756878392799102E-2</v>
      </c>
      <c r="AF592" s="123">
        <v>-9.2635575194612962E-2</v>
      </c>
      <c r="AG592" s="107">
        <v>-0.20203742630161992</v>
      </c>
      <c r="AH592" s="107">
        <v>-2.469417884400138E-2</v>
      </c>
      <c r="AI592" s="107">
        <v>0.11995352742543419</v>
      </c>
      <c r="AJ592" s="107">
        <v>2.3018465009443378E-2</v>
      </c>
      <c r="AK592" s="107">
        <v>2.2742339712834347E-2</v>
      </c>
      <c r="AL592" s="107">
        <v>2.1618857520029788E-2</v>
      </c>
      <c r="AM592" s="107">
        <v>2.0555423994477184E-2</v>
      </c>
      <c r="AN592" s="123">
        <v>1.9547990671354043E-2</v>
      </c>
      <c r="AO592" s="123">
        <v>1.8592907603929065E-2</v>
      </c>
      <c r="AP592" s="123">
        <v>1.768686976105327E-2</v>
      </c>
      <c r="AQ592" s="123">
        <v>1.682687190367993E-2</v>
      </c>
      <c r="AR592" s="123">
        <v>1.6010170461961293E-2</v>
      </c>
      <c r="AS592" s="123">
        <v>1.5234251216949435E-2</v>
      </c>
      <c r="AT592" s="123">
        <v>1.4496801814072535E-2</v>
      </c>
      <c r="AU592" s="123">
        <v>1.3795688313041232E-2</v>
      </c>
      <c r="AV592" s="123">
        <v>1.3128935120782392E-2</v>
      </c>
      <c r="AW592" s="123">
        <v>1.2494707768302638E-2</v>
      </c>
      <c r="AX592" s="123">
        <v>1.1891298084836022E-2</v>
      </c>
      <c r="AY592" s="123">
        <v>1.1317111397893598E-2</v>
      </c>
      <c r="AZ592" s="123">
        <v>1.1317111397893598E-2</v>
      </c>
      <c r="BA592" s="123">
        <v>1.1317111397893598E-2</v>
      </c>
      <c r="BB592" s="123">
        <v>1.1317111397893598E-2</v>
      </c>
      <c r="BC592" s="123">
        <f t="shared" si="216"/>
        <v>1.1317111397893598E-2</v>
      </c>
      <c r="BD592" s="123">
        <f t="shared" si="216"/>
        <v>1.1317111397893598E-2</v>
      </c>
      <c r="BE592" s="123">
        <f t="shared" si="216"/>
        <v>1.1317111397893598E-2</v>
      </c>
      <c r="BF592" s="123">
        <f t="shared" si="216"/>
        <v>1.1317111397893598E-2</v>
      </c>
      <c r="BG592" s="123">
        <f t="shared" si="216"/>
        <v>1.1317111397893598E-2</v>
      </c>
    </row>
    <row r="593" spans="1:59" ht="13.75" customHeight="1" outlineLevel="1">
      <c r="A593" s="141" t="s">
        <v>166</v>
      </c>
      <c r="B593" s="142" t="s">
        <v>530</v>
      </c>
      <c r="C593" s="142" t="s">
        <v>537</v>
      </c>
      <c r="D593" s="142" t="s">
        <v>377</v>
      </c>
      <c r="F593" s="168" t="s">
        <v>590</v>
      </c>
      <c r="W593" s="109"/>
      <c r="X593" s="109"/>
      <c r="Y593" s="109"/>
      <c r="Z593" s="131"/>
      <c r="AA593" s="107"/>
      <c r="AB593" s="123">
        <v>6.0378981257698916E-2</v>
      </c>
      <c r="AC593" s="123">
        <v>0.21969014465760606</v>
      </c>
      <c r="AD593" s="123">
        <v>0.25939544093362743</v>
      </c>
      <c r="AE593" s="123">
        <v>0.21794652266472547</v>
      </c>
      <c r="AF593" s="123">
        <v>-7.1871164139968746E-2</v>
      </c>
      <c r="AG593" s="107">
        <v>-1.1668236112792219E-2</v>
      </c>
      <c r="AH593" s="107">
        <v>-2.3293276825476772E-2</v>
      </c>
      <c r="AI593" s="107">
        <v>3.3828185476257433E-2</v>
      </c>
      <c r="AJ593" s="107">
        <v>3.5077152269173961E-2</v>
      </c>
      <c r="AK593" s="107">
        <v>4.0187048663400615E-2</v>
      </c>
      <c r="AL593" s="107">
        <v>4.0645525910275593E-2</v>
      </c>
      <c r="AM593" s="107">
        <v>4.1091122235512589E-2</v>
      </c>
      <c r="AN593" s="123">
        <v>4.1523823448520458E-2</v>
      </c>
      <c r="AO593" s="123">
        <v>4.1943648391644661E-2</v>
      </c>
      <c r="AP593" s="123">
        <v>4.2350646953364102E-2</v>
      </c>
      <c r="AQ593" s="123">
        <v>4.2744898021987998E-2</v>
      </c>
      <c r="AR593" s="123">
        <v>4.3126507402568848E-2</v>
      </c>
      <c r="AS593" s="123">
        <v>4.3495605718077979E-2</v>
      </c>
      <c r="AT593" s="123">
        <v>4.3852346314085189E-2</v>
      </c>
      <c r="AU593" s="123">
        <v>4.4196903184277048E-2</v>
      </c>
      <c r="AV593" s="123">
        <v>4.4529468932231753E-2</v>
      </c>
      <c r="AW593" s="123">
        <v>4.4850252782919986E-2</v>
      </c>
      <c r="AX593" s="123">
        <v>4.5159478655498519E-2</v>
      </c>
      <c r="AY593" s="123">
        <v>4.5457383307120347E-2</v>
      </c>
      <c r="AZ593" s="123">
        <v>4.5457383307120347E-2</v>
      </c>
      <c r="BA593" s="123">
        <v>4.5457383307120347E-2</v>
      </c>
      <c r="BB593" s="123">
        <v>4.5457383307120347E-2</v>
      </c>
      <c r="BC593" s="123">
        <f>BB593</f>
        <v>4.5457383307120347E-2</v>
      </c>
      <c r="BD593" s="123">
        <f t="shared" ref="BD593:BG593" si="217">BC593</f>
        <v>4.5457383307120347E-2</v>
      </c>
      <c r="BE593" s="123">
        <f t="shared" si="217"/>
        <v>4.5457383307120347E-2</v>
      </c>
      <c r="BF593" s="123">
        <f t="shared" si="217"/>
        <v>4.5457383307120347E-2</v>
      </c>
      <c r="BG593" s="123">
        <f t="shared" si="217"/>
        <v>4.5457383307120347E-2</v>
      </c>
    </row>
    <row r="594" spans="1:59" ht="13.75" customHeight="1" outlineLevel="1">
      <c r="A594" s="141" t="s">
        <v>166</v>
      </c>
      <c r="B594" s="142" t="s">
        <v>530</v>
      </c>
      <c r="C594" s="142" t="s">
        <v>537</v>
      </c>
      <c r="D594" s="142" t="s">
        <v>377</v>
      </c>
      <c r="F594" s="168" t="s">
        <v>591</v>
      </c>
      <c r="W594" s="109"/>
      <c r="X594" s="109"/>
      <c r="Y594" s="109"/>
      <c r="Z594" s="109"/>
      <c r="AA594" s="109"/>
      <c r="AB594" s="109"/>
      <c r="AC594" s="109"/>
      <c r="AD594" s="109"/>
      <c r="AE594" s="123">
        <v>0.21991232099322433</v>
      </c>
      <c r="AF594" s="123">
        <v>4.0251928588409092E-2</v>
      </c>
      <c r="AG594" s="123">
        <v>-1.3134205756647921E-2</v>
      </c>
      <c r="AH594" s="123">
        <v>-2.1244666945178348E-2</v>
      </c>
      <c r="AI594" s="123">
        <v>3.0788467886597282E-2</v>
      </c>
      <c r="AJ594" s="123">
        <v>3.2019350621572684E-2</v>
      </c>
      <c r="AK594" s="123">
        <v>3.6792490498616548E-2</v>
      </c>
      <c r="AL594" s="123">
        <v>3.7334077098673202E-2</v>
      </c>
      <c r="AM594" s="123">
        <v>3.7863857025624448E-2</v>
      </c>
      <c r="AN594" s="123">
        <v>3.8381552707462685E-2</v>
      </c>
      <c r="AO594" s="123">
        <v>3.8886929467428555E-2</v>
      </c>
      <c r="AP594" s="123">
        <v>3.9379794601744011E-2</v>
      </c>
      <c r="AQ594" s="123">
        <v>3.9859996222097793E-2</v>
      </c>
      <c r="AR594" s="123">
        <v>4.0327421889393644E-2</v>
      </c>
      <c r="AS594" s="123">
        <v>4.0781997065884035E-2</v>
      </c>
      <c r="AT594" s="123">
        <v>4.122368341291982E-2</v>
      </c>
      <c r="AU594" s="123">
        <v>4.165247696118124E-2</v>
      </c>
      <c r="AV594" s="123">
        <v>4.2068406179571749E-2</v>
      </c>
      <c r="AW594" s="123">
        <v>4.2471529967881727E-2</v>
      </c>
      <c r="AX594" s="123">
        <v>4.2861935597005685E-2</v>
      </c>
      <c r="AY594" s="123">
        <v>4.3239736618940539E-2</v>
      </c>
      <c r="AZ594" s="123">
        <v>4.3239736618940539E-2</v>
      </c>
      <c r="BA594" s="123">
        <v>4.3239736618940539E-2</v>
      </c>
      <c r="BB594" s="123">
        <v>4.3239736618940539E-2</v>
      </c>
      <c r="BC594" s="123">
        <f t="shared" si="216"/>
        <v>4.3239736618940539E-2</v>
      </c>
      <c r="BD594" s="123">
        <f t="shared" si="216"/>
        <v>4.3239736618940539E-2</v>
      </c>
      <c r="BE594" s="123">
        <f t="shared" si="216"/>
        <v>4.3239736618940539E-2</v>
      </c>
      <c r="BF594" s="123">
        <f t="shared" si="216"/>
        <v>4.3239736618940539E-2</v>
      </c>
      <c r="BG594" s="123">
        <f t="shared" si="216"/>
        <v>4.3239736618940539E-2</v>
      </c>
    </row>
    <row r="595" spans="1:59" ht="13.75" customHeight="1" outlineLevel="1">
      <c r="F595" s="168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7"/>
      <c r="AH595" s="107"/>
      <c r="AI595" s="107"/>
      <c r="AJ595" s="107"/>
      <c r="AK595" s="107"/>
      <c r="AL595" s="107"/>
      <c r="AM595" s="107"/>
    </row>
    <row r="596" spans="1:59" ht="13.75" customHeight="1" outlineLevel="1">
      <c r="F596" s="168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7"/>
      <c r="AH596" s="107"/>
      <c r="AI596" s="107"/>
      <c r="AJ596" s="107"/>
      <c r="AK596" s="107"/>
      <c r="AL596" s="107"/>
      <c r="AM596" s="107"/>
    </row>
    <row r="597" spans="1:59" ht="13.75" customHeight="1" outlineLevel="1">
      <c r="F597" s="168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7"/>
      <c r="AH597" s="107"/>
      <c r="AI597" s="107"/>
      <c r="AJ597" s="107"/>
      <c r="AK597" s="107"/>
      <c r="AL597" s="107"/>
      <c r="AM597" s="107"/>
    </row>
    <row r="598" spans="1:59" ht="13.75" customHeight="1" outlineLevel="1">
      <c r="F598" s="168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</row>
    <row r="599" spans="1:59" ht="13.75" customHeight="1" outlineLevel="1">
      <c r="A599" s="177" t="s">
        <v>166</v>
      </c>
      <c r="B599" s="178" t="s">
        <v>530</v>
      </c>
      <c r="C599" s="179" t="s">
        <v>543</v>
      </c>
      <c r="D599" s="178" t="s">
        <v>377</v>
      </c>
      <c r="E599" s="124"/>
      <c r="F599" s="180" t="s">
        <v>592</v>
      </c>
      <c r="G599" s="124" t="s">
        <v>3</v>
      </c>
      <c r="H599" s="124"/>
      <c r="I599" s="124"/>
      <c r="W599" s="109"/>
      <c r="X599" s="109"/>
      <c r="Y599" s="109"/>
      <c r="Z599" s="109"/>
      <c r="AA599" s="124"/>
      <c r="AB599" s="124"/>
      <c r="AC599" s="124"/>
      <c r="AD599" s="124"/>
      <c r="AE599" s="123">
        <v>6.2210915288542508E-2</v>
      </c>
      <c r="AF599" s="123">
        <v>6.468104623202886E-2</v>
      </c>
      <c r="AG599" s="123">
        <v>5.8371420223164286E-2</v>
      </c>
      <c r="AH599" s="123">
        <v>5.2904258678531074E-2</v>
      </c>
      <c r="AI599" s="123">
        <v>5.2445498905965102E-2</v>
      </c>
      <c r="AJ599" s="123">
        <v>5.2054108080999542E-2</v>
      </c>
      <c r="AK599" s="123">
        <v>5.2054108080999542E-2</v>
      </c>
      <c r="AL599" s="123">
        <v>5.2054108080999542E-2</v>
      </c>
      <c r="AM599" s="123">
        <v>5.2054108080999542E-2</v>
      </c>
      <c r="AN599" s="123">
        <v>5.2054108080999542E-2</v>
      </c>
      <c r="AO599" s="123">
        <v>5.2054108080999542E-2</v>
      </c>
      <c r="AP599" s="123">
        <v>5.2054108080999542E-2</v>
      </c>
      <c r="AQ599" s="123">
        <v>5.2054108080999542E-2</v>
      </c>
      <c r="AR599" s="123">
        <v>5.2054108080999542E-2</v>
      </c>
      <c r="AS599" s="123">
        <v>5.2054108080999542E-2</v>
      </c>
      <c r="AT599" s="123">
        <v>5.2054108080999542E-2</v>
      </c>
      <c r="AU599" s="123">
        <v>5.2054108080999542E-2</v>
      </c>
      <c r="AV599" s="123">
        <v>5.2054108080999542E-2</v>
      </c>
      <c r="AW599" s="123">
        <v>5.2054108080999542E-2</v>
      </c>
      <c r="AX599" s="123">
        <v>5.2054108080999542E-2</v>
      </c>
      <c r="AY599" s="123">
        <v>5.2054108080999542E-2</v>
      </c>
      <c r="AZ599" s="123">
        <v>5.2054108080999542E-2</v>
      </c>
      <c r="BA599" s="123">
        <v>5.2054108080999542E-2</v>
      </c>
      <c r="BB599" s="123">
        <v>5.2054108080999542E-2</v>
      </c>
      <c r="BC599" s="123">
        <f t="shared" si="216"/>
        <v>5.2054108080999542E-2</v>
      </c>
      <c r="BD599" s="123">
        <f t="shared" si="216"/>
        <v>5.2054108080999542E-2</v>
      </c>
      <c r="BE599" s="123">
        <f t="shared" si="216"/>
        <v>5.2054108080999542E-2</v>
      </c>
      <c r="BF599" s="123">
        <f t="shared" si="216"/>
        <v>5.2054108080999542E-2</v>
      </c>
      <c r="BG599" s="123">
        <f t="shared" si="216"/>
        <v>5.2054108080999542E-2</v>
      </c>
    </row>
    <row r="600" spans="1:59" ht="13.75" customHeight="1" outlineLevel="1">
      <c r="C600" s="170"/>
      <c r="F600" s="168"/>
      <c r="W600" s="109"/>
      <c r="X600" s="109"/>
      <c r="Y600" s="109"/>
      <c r="Z600" s="109"/>
      <c r="AA600" s="109"/>
      <c r="AB600" s="109"/>
      <c r="AC600" s="109"/>
      <c r="AD600" s="109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</row>
    <row r="601" spans="1:59" ht="13.75" customHeight="1" outlineLevel="1">
      <c r="C601" s="170"/>
      <c r="F601" s="168"/>
      <c r="W601" s="109"/>
      <c r="X601" s="109"/>
      <c r="Y601" s="109"/>
      <c r="Z601" s="109"/>
      <c r="AA601" s="109"/>
      <c r="AB601" s="109"/>
      <c r="AC601" s="109"/>
      <c r="AD601" s="109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</row>
    <row r="602" spans="1:59" ht="13.75" customHeight="1" outlineLevel="1">
      <c r="C602" s="170"/>
      <c r="F602" s="168"/>
      <c r="W602" s="109"/>
      <c r="X602" s="109"/>
      <c r="Y602" s="109"/>
      <c r="Z602" s="109"/>
      <c r="AA602" s="109"/>
      <c r="AB602" s="109"/>
      <c r="AC602" s="109"/>
      <c r="AD602" s="109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</row>
    <row r="603" spans="1:59" ht="13.75" customHeight="1" outlineLevel="1">
      <c r="C603" s="170"/>
      <c r="F603" s="168"/>
      <c r="W603" s="109"/>
      <c r="X603" s="109"/>
      <c r="Y603" s="109"/>
      <c r="Z603" s="109"/>
      <c r="AA603" s="109"/>
      <c r="AB603" s="109"/>
      <c r="AC603" s="109"/>
      <c r="AD603" s="109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</row>
    <row r="604" spans="1:59" ht="13.75" customHeight="1" outlineLevel="1">
      <c r="C604" s="170"/>
      <c r="F604" s="168"/>
      <c r="W604" s="109"/>
      <c r="X604" s="109"/>
      <c r="Y604" s="109"/>
      <c r="Z604" s="109"/>
      <c r="AA604" s="109"/>
      <c r="AB604" s="109"/>
      <c r="AC604" s="109"/>
      <c r="AD604" s="109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</row>
    <row r="605" spans="1:59" ht="13.75" customHeight="1" outlineLevel="1">
      <c r="C605" s="170"/>
      <c r="F605" s="168"/>
      <c r="W605" s="109"/>
      <c r="X605" s="109"/>
      <c r="Y605" s="109"/>
      <c r="Z605" s="109"/>
      <c r="AA605" s="109"/>
      <c r="AB605" s="109"/>
      <c r="AC605" s="109"/>
      <c r="AD605" s="109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</row>
    <row r="606" spans="1:59" ht="13.75" customHeight="1" outlineLevel="1">
      <c r="C606" s="170"/>
      <c r="F606" s="168"/>
      <c r="W606" s="109"/>
      <c r="X606" s="109"/>
      <c r="Y606" s="109"/>
      <c r="Z606" s="109"/>
      <c r="AA606" s="109"/>
      <c r="AB606" s="109"/>
      <c r="AC606" s="109"/>
      <c r="AD606" s="109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</row>
    <row r="607" spans="1:59" ht="13.75" customHeight="1" outlineLevel="1">
      <c r="C607" s="170"/>
      <c r="F607" s="168"/>
      <c r="W607" s="109"/>
      <c r="X607" s="109"/>
      <c r="Y607" s="109"/>
      <c r="Z607" s="109"/>
      <c r="AA607" s="109"/>
      <c r="AB607" s="109"/>
      <c r="AC607" s="109"/>
      <c r="AD607" s="109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</row>
    <row r="608" spans="1:59" ht="13.75" customHeight="1" outlineLevel="1">
      <c r="C608" s="170"/>
      <c r="F608" s="168"/>
      <c r="W608" s="109"/>
      <c r="X608" s="109"/>
      <c r="Y608" s="109"/>
      <c r="Z608" s="109"/>
      <c r="AA608" s="109"/>
      <c r="AB608" s="109"/>
      <c r="AC608" s="109"/>
      <c r="AD608" s="109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</row>
    <row r="609" spans="3:59" ht="13.75" customHeight="1" outlineLevel="1">
      <c r="C609" s="170"/>
      <c r="F609" s="168"/>
      <c r="W609" s="109"/>
      <c r="X609" s="109"/>
      <c r="Y609" s="109"/>
      <c r="Z609" s="109"/>
      <c r="AA609" s="109"/>
      <c r="AB609" s="109"/>
      <c r="AC609" s="109"/>
      <c r="AD609" s="109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</row>
    <row r="610" spans="3:59" ht="13.75" customHeight="1" outlineLevel="1">
      <c r="C610" s="170"/>
      <c r="F610" s="168"/>
      <c r="W610" s="109"/>
      <c r="X610" s="109"/>
      <c r="Y610" s="109"/>
      <c r="Z610" s="109"/>
      <c r="AA610" s="109"/>
      <c r="AB610" s="109"/>
      <c r="AC610" s="109"/>
      <c r="AD610" s="109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</row>
    <row r="611" spans="3:59" ht="13.75" customHeight="1" outlineLevel="1">
      <c r="C611" s="170"/>
      <c r="F611" s="168"/>
      <c r="W611" s="109"/>
      <c r="X611" s="109"/>
      <c r="Y611" s="109"/>
      <c r="Z611" s="109"/>
      <c r="AA611" s="109"/>
      <c r="AB611" s="109"/>
      <c r="AC611" s="109"/>
      <c r="AD611" s="109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</row>
    <row r="612" spans="3:59" ht="13.75" customHeight="1" outlineLevel="1">
      <c r="C612" s="170"/>
      <c r="F612" s="168"/>
      <c r="W612" s="109"/>
      <c r="X612" s="109"/>
      <c r="Y612" s="109"/>
      <c r="Z612" s="109"/>
      <c r="AA612" s="109"/>
      <c r="AB612" s="109"/>
      <c r="AC612" s="109"/>
      <c r="AD612" s="109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</row>
    <row r="613" spans="3:59" ht="13.75" customHeight="1" outlineLevel="1">
      <c r="C613" s="170"/>
      <c r="F613" s="168"/>
      <c r="W613" s="109"/>
      <c r="X613" s="109"/>
      <c r="Y613" s="109"/>
      <c r="Z613" s="109"/>
      <c r="AA613" s="109"/>
      <c r="AB613" s="109"/>
      <c r="AC613" s="109"/>
      <c r="AD613" s="109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</row>
    <row r="614" spans="3:59" ht="13.75" customHeight="1" outlineLevel="1">
      <c r="C614" s="170"/>
      <c r="F614" s="168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</row>
    <row r="615" spans="3:59" ht="13.75" customHeight="1" outlineLevel="1">
      <c r="C615" s="170"/>
      <c r="F615" s="168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</row>
    <row r="616" spans="3:59" ht="13.75" customHeight="1" outlineLevel="1">
      <c r="C616" s="170"/>
      <c r="F616" s="168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</row>
    <row r="617" spans="3:59" ht="13.75" customHeight="1" outlineLevel="1">
      <c r="C617" s="170"/>
      <c r="F617" s="168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</row>
    <row r="618" spans="3:59" ht="13.75" customHeight="1" outlineLevel="1">
      <c r="C618" s="170"/>
      <c r="F618" s="168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</row>
    <row r="619" spans="3:59" ht="13.75" customHeight="1" outlineLevel="1">
      <c r="C619" s="170"/>
      <c r="F619" s="168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</row>
    <row r="620" spans="3:59" ht="13.75" customHeight="1" outlineLevel="1">
      <c r="C620" s="170"/>
      <c r="F620" s="168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</row>
    <row r="621" spans="3:59" ht="13.75" customHeight="1" outlineLevel="1">
      <c r="C621" s="170"/>
      <c r="F621" s="168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</row>
    <row r="622" spans="3:59" ht="13.75" customHeight="1" outlineLevel="1">
      <c r="C622" s="170"/>
      <c r="F622" s="168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</row>
    <row r="623" spans="3:59" ht="13.75" customHeight="1" outlineLevel="1">
      <c r="C623" s="170"/>
      <c r="F623" s="168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</row>
    <row r="624" spans="3:59" ht="13.75" customHeight="1" outlineLevel="1">
      <c r="C624" s="170"/>
      <c r="F624" s="168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</row>
    <row r="625" spans="1:59" ht="13.75" customHeight="1" outlineLevel="1">
      <c r="A625" s="141" t="s">
        <v>166</v>
      </c>
      <c r="B625" s="142" t="s">
        <v>530</v>
      </c>
      <c r="C625" s="170" t="s">
        <v>543</v>
      </c>
      <c r="D625" s="142" t="s">
        <v>377</v>
      </c>
      <c r="F625" s="168" t="s">
        <v>593</v>
      </c>
      <c r="G625" s="109" t="s">
        <v>3</v>
      </c>
      <c r="W625" s="109"/>
      <c r="X625" s="109"/>
      <c r="Y625" s="109"/>
      <c r="Z625" s="109"/>
      <c r="AA625" s="109"/>
      <c r="AB625" s="109"/>
      <c r="AC625" s="109"/>
      <c r="AD625" s="109"/>
      <c r="AE625" s="124">
        <v>0.48877344172842596</v>
      </c>
      <c r="AF625" s="124">
        <v>0.50877344172842598</v>
      </c>
      <c r="AG625" s="124">
        <v>0.45877344172842599</v>
      </c>
      <c r="AH625" s="124">
        <v>0.468773441728426</v>
      </c>
      <c r="AI625" s="124">
        <v>0.468773441728426</v>
      </c>
      <c r="AJ625" s="124">
        <v>0.468773441728426</v>
      </c>
      <c r="AK625" s="124">
        <v>0.468773441728426</v>
      </c>
      <c r="AL625" s="124">
        <v>0.468773441728426</v>
      </c>
      <c r="AM625" s="124">
        <v>0.468773441728426</v>
      </c>
      <c r="AN625" s="124">
        <v>0.468773441728426</v>
      </c>
      <c r="AO625" s="124">
        <v>0.468773441728426</v>
      </c>
      <c r="AP625" s="124">
        <v>0.468773441728426</v>
      </c>
      <c r="AQ625" s="124">
        <v>0.468773441728426</v>
      </c>
      <c r="AR625" s="124">
        <v>0.468773441728426</v>
      </c>
      <c r="AS625" s="124">
        <v>0.468773441728426</v>
      </c>
      <c r="AT625" s="124">
        <v>0.468773441728426</v>
      </c>
      <c r="AU625" s="124">
        <v>0.468773441728426</v>
      </c>
      <c r="AV625" s="124">
        <v>0.468773441728426</v>
      </c>
      <c r="AW625" s="124">
        <v>0.468773441728426</v>
      </c>
      <c r="AX625" s="124">
        <v>0.468773441728426</v>
      </c>
      <c r="AY625" s="124">
        <v>0.468773441728426</v>
      </c>
      <c r="AZ625" s="124">
        <v>0.468773441728426</v>
      </c>
      <c r="BA625" s="124">
        <v>0.468773441728426</v>
      </c>
      <c r="BB625" s="124">
        <v>0.468773441728426</v>
      </c>
      <c r="BC625" s="124">
        <f t="shared" ref="BC625:BG638" si="218">BB625*(1+((BB625-BA625)/BA625))</f>
        <v>0.468773441728426</v>
      </c>
      <c r="BD625" s="124">
        <f t="shared" si="218"/>
        <v>0.468773441728426</v>
      </c>
      <c r="BE625" s="124">
        <f t="shared" si="218"/>
        <v>0.468773441728426</v>
      </c>
      <c r="BF625" s="124">
        <f t="shared" si="218"/>
        <v>0.468773441728426</v>
      </c>
      <c r="BG625" s="124">
        <f t="shared" si="218"/>
        <v>0.468773441728426</v>
      </c>
    </row>
    <row r="626" spans="1:59" ht="13.75" customHeight="1" outlineLevel="1">
      <c r="A626" s="141" t="s">
        <v>166</v>
      </c>
      <c r="B626" s="142" t="s">
        <v>530</v>
      </c>
      <c r="C626" s="170" t="s">
        <v>543</v>
      </c>
      <c r="D626" s="142" t="s">
        <v>377</v>
      </c>
      <c r="F626" s="168" t="s">
        <v>594</v>
      </c>
      <c r="G626" s="109" t="s">
        <v>3</v>
      </c>
      <c r="W626" s="109"/>
      <c r="X626" s="109"/>
      <c r="Y626" s="109"/>
      <c r="Z626" s="109"/>
      <c r="AA626" s="109"/>
      <c r="AB626" s="109"/>
      <c r="AC626" s="109"/>
      <c r="AD626" s="109"/>
      <c r="AE626" s="124">
        <v>0.44814994185449308</v>
      </c>
      <c r="AF626" s="124">
        <v>0.49814994185449313</v>
      </c>
      <c r="AG626" s="124">
        <v>0.41814994185449311</v>
      </c>
      <c r="AH626" s="124">
        <v>0.42814994185449312</v>
      </c>
      <c r="AI626" s="124">
        <v>0.42814994185449312</v>
      </c>
      <c r="AJ626" s="124">
        <v>0.42814994185449312</v>
      </c>
      <c r="AK626" s="124">
        <v>0.42814994185449312</v>
      </c>
      <c r="AL626" s="124">
        <v>0.42814994185449312</v>
      </c>
      <c r="AM626" s="124">
        <v>0.42814994185449312</v>
      </c>
      <c r="AN626" s="124">
        <v>0.42814994185449312</v>
      </c>
      <c r="AO626" s="124">
        <v>0.42814994185449312</v>
      </c>
      <c r="AP626" s="124">
        <v>0.42814994185449312</v>
      </c>
      <c r="AQ626" s="124">
        <v>0.42814994185449312</v>
      </c>
      <c r="AR626" s="124">
        <v>0.42814994185449312</v>
      </c>
      <c r="AS626" s="124">
        <v>0.42814994185449312</v>
      </c>
      <c r="AT626" s="124">
        <v>0.42814994185449312</v>
      </c>
      <c r="AU626" s="124">
        <v>0.42814994185449312</v>
      </c>
      <c r="AV626" s="124">
        <v>0.42814994185449312</v>
      </c>
      <c r="AW626" s="124">
        <v>0.42814994185449312</v>
      </c>
      <c r="AX626" s="124">
        <v>0.42814994185449312</v>
      </c>
      <c r="AY626" s="124">
        <v>0.42814994185449312</v>
      </c>
      <c r="AZ626" s="124">
        <v>0.42814994185449312</v>
      </c>
      <c r="BA626" s="124">
        <v>0.42814994185449312</v>
      </c>
      <c r="BB626" s="124">
        <v>0.42814994185449312</v>
      </c>
      <c r="BC626" s="124">
        <f t="shared" si="218"/>
        <v>0.42814994185449312</v>
      </c>
      <c r="BD626" s="124">
        <f t="shared" si="218"/>
        <v>0.42814994185449312</v>
      </c>
      <c r="BE626" s="124">
        <f t="shared" si="218"/>
        <v>0.42814994185449312</v>
      </c>
      <c r="BF626" s="124">
        <f t="shared" si="218"/>
        <v>0.42814994185449312</v>
      </c>
      <c r="BG626" s="124">
        <f t="shared" si="218"/>
        <v>0.42814994185449312</v>
      </c>
    </row>
    <row r="627" spans="1:59" ht="13.75" customHeight="1" outlineLevel="1">
      <c r="A627" s="141" t="s">
        <v>166</v>
      </c>
      <c r="B627" s="142" t="s">
        <v>530</v>
      </c>
      <c r="C627" s="170" t="s">
        <v>543</v>
      </c>
      <c r="D627" s="142" t="s">
        <v>377</v>
      </c>
      <c r="F627" s="168" t="s">
        <v>595</v>
      </c>
      <c r="G627" s="109" t="s">
        <v>3</v>
      </c>
      <c r="W627" s="109"/>
      <c r="X627" s="109"/>
      <c r="Y627" s="109"/>
      <c r="Z627" s="109"/>
      <c r="AA627" s="109"/>
      <c r="AB627" s="109"/>
      <c r="AC627" s="109"/>
      <c r="AD627" s="109"/>
      <c r="AE627" s="124">
        <v>0.44529351662393224</v>
      </c>
      <c r="AF627" s="124">
        <v>0.46529351662393226</v>
      </c>
      <c r="AG627" s="124">
        <v>0.41529351662393227</v>
      </c>
      <c r="AH627" s="124">
        <v>0.42529351662393228</v>
      </c>
      <c r="AI627" s="124">
        <v>0.42529351662393228</v>
      </c>
      <c r="AJ627" s="124">
        <v>0.42529351662393228</v>
      </c>
      <c r="AK627" s="124">
        <v>0.42529351662393228</v>
      </c>
      <c r="AL627" s="124">
        <v>0.42529351662393228</v>
      </c>
      <c r="AM627" s="124">
        <v>0.42529351662393228</v>
      </c>
      <c r="AN627" s="124">
        <v>0.42529351662393228</v>
      </c>
      <c r="AO627" s="124">
        <v>0.42529351662393228</v>
      </c>
      <c r="AP627" s="124">
        <v>0.42529351662393228</v>
      </c>
      <c r="AQ627" s="124">
        <v>0.42529351662393228</v>
      </c>
      <c r="AR627" s="124">
        <v>0.42529351662393228</v>
      </c>
      <c r="AS627" s="124">
        <v>0.42529351662393228</v>
      </c>
      <c r="AT627" s="124">
        <v>0.42529351662393228</v>
      </c>
      <c r="AU627" s="124">
        <v>0.42529351662393228</v>
      </c>
      <c r="AV627" s="124">
        <v>0.42529351662393228</v>
      </c>
      <c r="AW627" s="124">
        <v>0.42529351662393228</v>
      </c>
      <c r="AX627" s="124">
        <v>0.42529351662393228</v>
      </c>
      <c r="AY627" s="124">
        <v>0.42529351662393228</v>
      </c>
      <c r="AZ627" s="124">
        <v>0.42529351662393228</v>
      </c>
      <c r="BA627" s="124">
        <v>0.42529351662393228</v>
      </c>
      <c r="BB627" s="124">
        <v>0.42529351662393228</v>
      </c>
      <c r="BC627" s="124">
        <f t="shared" si="218"/>
        <v>0.42529351662393228</v>
      </c>
      <c r="BD627" s="124">
        <f t="shared" si="218"/>
        <v>0.42529351662393228</v>
      </c>
      <c r="BE627" s="124">
        <f t="shared" si="218"/>
        <v>0.42529351662393228</v>
      </c>
      <c r="BF627" s="124">
        <f t="shared" si="218"/>
        <v>0.42529351662393228</v>
      </c>
      <c r="BG627" s="124">
        <f t="shared" si="218"/>
        <v>0.42529351662393228</v>
      </c>
    </row>
    <row r="628" spans="1:59" ht="13.75" customHeight="1" outlineLevel="1">
      <c r="A628" s="141" t="s">
        <v>166</v>
      </c>
      <c r="B628" s="142" t="s">
        <v>530</v>
      </c>
      <c r="C628" s="170" t="s">
        <v>543</v>
      </c>
      <c r="D628" s="142" t="s">
        <v>377</v>
      </c>
      <c r="F628" s="168" t="s">
        <v>596</v>
      </c>
      <c r="G628" s="109" t="s">
        <v>3</v>
      </c>
      <c r="W628" s="109"/>
      <c r="X628" s="109"/>
      <c r="Y628" s="109"/>
      <c r="Z628" s="109"/>
      <c r="AA628" s="109"/>
      <c r="AB628" s="109"/>
      <c r="AC628" s="109"/>
      <c r="AD628" s="109"/>
      <c r="AE628" s="124">
        <v>0.57359629845650684</v>
      </c>
      <c r="AF628" s="124">
        <v>0.59359629845650685</v>
      </c>
      <c r="AG628" s="124">
        <v>0.54359629845650681</v>
      </c>
      <c r="AH628" s="124">
        <v>0.55359629845650682</v>
      </c>
      <c r="AI628" s="124">
        <v>0.55359629845650682</v>
      </c>
      <c r="AJ628" s="124">
        <v>0.55359629845650682</v>
      </c>
      <c r="AK628" s="124">
        <v>0.55359629845650682</v>
      </c>
      <c r="AL628" s="124">
        <v>0.55359629845650682</v>
      </c>
      <c r="AM628" s="124">
        <v>0.55359629845650682</v>
      </c>
      <c r="AN628" s="124">
        <v>0.55359629845650682</v>
      </c>
      <c r="AO628" s="124">
        <v>0.55359629845650682</v>
      </c>
      <c r="AP628" s="124">
        <v>0.55359629845650682</v>
      </c>
      <c r="AQ628" s="124">
        <v>0.55359629845650682</v>
      </c>
      <c r="AR628" s="124">
        <v>0.55359629845650682</v>
      </c>
      <c r="AS628" s="124">
        <v>0.55359629845650682</v>
      </c>
      <c r="AT628" s="124">
        <v>0.55359629845650682</v>
      </c>
      <c r="AU628" s="124">
        <v>0.55359629845650682</v>
      </c>
      <c r="AV628" s="124">
        <v>0.55359629845650682</v>
      </c>
      <c r="AW628" s="124">
        <v>0.55359629845650682</v>
      </c>
      <c r="AX628" s="124">
        <v>0.55359629845650682</v>
      </c>
      <c r="AY628" s="124">
        <v>0.55359629845650682</v>
      </c>
      <c r="AZ628" s="124">
        <v>0.55359629845650682</v>
      </c>
      <c r="BA628" s="124">
        <v>0.55359629845650682</v>
      </c>
      <c r="BB628" s="124">
        <v>0.55359629845650682</v>
      </c>
      <c r="BC628" s="124">
        <f t="shared" si="218"/>
        <v>0.55359629845650682</v>
      </c>
      <c r="BD628" s="124">
        <f t="shared" si="218"/>
        <v>0.55359629845650682</v>
      </c>
      <c r="BE628" s="124">
        <f t="shared" si="218"/>
        <v>0.55359629845650682</v>
      </c>
      <c r="BF628" s="124">
        <f t="shared" si="218"/>
        <v>0.55359629845650682</v>
      </c>
      <c r="BG628" s="124">
        <f t="shared" si="218"/>
        <v>0.55359629845650682</v>
      </c>
    </row>
    <row r="629" spans="1:59" ht="13.75" customHeight="1" outlineLevel="1">
      <c r="A629" s="141" t="s">
        <v>166</v>
      </c>
      <c r="B629" s="142" t="s">
        <v>530</v>
      </c>
      <c r="C629" s="170" t="s">
        <v>543</v>
      </c>
      <c r="D629" s="142" t="s">
        <v>377</v>
      </c>
      <c r="F629" s="168" t="s">
        <v>597</v>
      </c>
      <c r="G629" s="109" t="s">
        <v>3</v>
      </c>
      <c r="W629" s="109"/>
      <c r="X629" s="109"/>
      <c r="Y629" s="109"/>
      <c r="Z629" s="109"/>
      <c r="AA629" s="109"/>
      <c r="AB629" s="109"/>
      <c r="AC629" s="109"/>
      <c r="AD629" s="109"/>
      <c r="AE629" s="124">
        <v>0.41421308257758527</v>
      </c>
      <c r="AF629" s="124">
        <v>0.43421308257758529</v>
      </c>
      <c r="AG629" s="124">
        <v>0.3842130825775853</v>
      </c>
      <c r="AH629" s="124">
        <v>0.39421308257758531</v>
      </c>
      <c r="AI629" s="124">
        <v>0.39421308257758531</v>
      </c>
      <c r="AJ629" s="124">
        <v>0.39421308257758531</v>
      </c>
      <c r="AK629" s="124">
        <v>0.39421308257758531</v>
      </c>
      <c r="AL629" s="124">
        <v>0.39421308257758531</v>
      </c>
      <c r="AM629" s="124">
        <v>0.39421308257758531</v>
      </c>
      <c r="AN629" s="124">
        <v>0.39421308257758531</v>
      </c>
      <c r="AO629" s="124">
        <v>0.39421308257758531</v>
      </c>
      <c r="AP629" s="124">
        <v>0.39421308257758531</v>
      </c>
      <c r="AQ629" s="124">
        <v>0.39421308257758531</v>
      </c>
      <c r="AR629" s="124">
        <v>0.39421308257758531</v>
      </c>
      <c r="AS629" s="124">
        <v>0.39421308257758531</v>
      </c>
      <c r="AT629" s="124">
        <v>0.39421308257758531</v>
      </c>
      <c r="AU629" s="124">
        <v>0.39421308257758531</v>
      </c>
      <c r="AV629" s="124">
        <v>0.39421308257758531</v>
      </c>
      <c r="AW629" s="124">
        <v>0.39421308257758531</v>
      </c>
      <c r="AX629" s="124">
        <v>0.39421308257758531</v>
      </c>
      <c r="AY629" s="124">
        <v>0.39421308257758531</v>
      </c>
      <c r="AZ629" s="124">
        <v>0.39421308257758531</v>
      </c>
      <c r="BA629" s="124">
        <v>0.39421308257758531</v>
      </c>
      <c r="BB629" s="124">
        <v>0.39421308257758531</v>
      </c>
      <c r="BC629" s="124">
        <f t="shared" si="218"/>
        <v>0.39421308257758531</v>
      </c>
      <c r="BD629" s="124">
        <f t="shared" si="218"/>
        <v>0.39421308257758531</v>
      </c>
      <c r="BE629" s="124">
        <f t="shared" si="218"/>
        <v>0.39421308257758531</v>
      </c>
      <c r="BF629" s="124">
        <f t="shared" si="218"/>
        <v>0.39421308257758531</v>
      </c>
      <c r="BG629" s="124">
        <f t="shared" si="218"/>
        <v>0.39421308257758531</v>
      </c>
    </row>
    <row r="630" spans="1:59" ht="13.75" customHeight="1" outlineLevel="1">
      <c r="A630" s="141" t="s">
        <v>166</v>
      </c>
      <c r="B630" s="142" t="s">
        <v>530</v>
      </c>
      <c r="C630" s="170" t="s">
        <v>543</v>
      </c>
      <c r="D630" s="142" t="s">
        <v>377</v>
      </c>
      <c r="F630" s="168" t="s">
        <v>598</v>
      </c>
      <c r="G630" s="109" t="s">
        <v>3</v>
      </c>
      <c r="W630" s="109"/>
      <c r="X630" s="109"/>
      <c r="Y630" s="109"/>
      <c r="Z630" s="109"/>
      <c r="AA630" s="109"/>
      <c r="AB630" s="109"/>
      <c r="AC630" s="109"/>
      <c r="AD630" s="109"/>
      <c r="AE630" s="124">
        <v>0.56589037169062939</v>
      </c>
      <c r="AF630" s="124">
        <v>0.58589037169062941</v>
      </c>
      <c r="AG630" s="124">
        <v>0.53589037169062936</v>
      </c>
      <c r="AH630" s="124">
        <v>0.54589037169062937</v>
      </c>
      <c r="AI630" s="124">
        <v>0.54589037169062937</v>
      </c>
      <c r="AJ630" s="124">
        <v>0.54589037169062937</v>
      </c>
      <c r="AK630" s="124">
        <v>0.54589037169062937</v>
      </c>
      <c r="AL630" s="124">
        <v>0.54589037169062937</v>
      </c>
      <c r="AM630" s="124">
        <v>0.54589037169062937</v>
      </c>
      <c r="AN630" s="124">
        <v>0.54589037169062937</v>
      </c>
      <c r="AO630" s="124">
        <v>0.54589037169062937</v>
      </c>
      <c r="AP630" s="124">
        <v>0.54589037169062937</v>
      </c>
      <c r="AQ630" s="124">
        <v>0.54589037169062937</v>
      </c>
      <c r="AR630" s="124">
        <v>0.54589037169062937</v>
      </c>
      <c r="AS630" s="124">
        <v>0.54589037169062937</v>
      </c>
      <c r="AT630" s="124">
        <v>0.54589037169062937</v>
      </c>
      <c r="AU630" s="124">
        <v>0.54589037169062937</v>
      </c>
      <c r="AV630" s="124">
        <v>0.54589037169062937</v>
      </c>
      <c r="AW630" s="124">
        <v>0.54589037169062937</v>
      </c>
      <c r="AX630" s="124">
        <v>0.54589037169062937</v>
      </c>
      <c r="AY630" s="124">
        <v>0.54589037169062937</v>
      </c>
      <c r="AZ630" s="124">
        <v>0.54589037169062937</v>
      </c>
      <c r="BA630" s="124">
        <v>0.54589037169062937</v>
      </c>
      <c r="BB630" s="124">
        <v>0.54589037169062937</v>
      </c>
      <c r="BC630" s="124">
        <f t="shared" si="218"/>
        <v>0.54589037169062937</v>
      </c>
      <c r="BD630" s="124">
        <f t="shared" si="218"/>
        <v>0.54589037169062937</v>
      </c>
      <c r="BE630" s="124">
        <f t="shared" si="218"/>
        <v>0.54589037169062937</v>
      </c>
      <c r="BF630" s="124">
        <f t="shared" si="218"/>
        <v>0.54589037169062937</v>
      </c>
      <c r="BG630" s="124">
        <f t="shared" si="218"/>
        <v>0.54589037169062937</v>
      </c>
    </row>
    <row r="631" spans="1:59" ht="13.75" customHeight="1" outlineLevel="1">
      <c r="A631" s="141" t="s">
        <v>166</v>
      </c>
      <c r="B631" s="142" t="s">
        <v>530</v>
      </c>
      <c r="C631" s="170" t="s">
        <v>543</v>
      </c>
      <c r="D631" s="142" t="s">
        <v>377</v>
      </c>
      <c r="F631" s="168" t="s">
        <v>599</v>
      </c>
      <c r="G631" s="109" t="s">
        <v>3</v>
      </c>
      <c r="W631" s="109"/>
      <c r="X631" s="109"/>
      <c r="Y631" s="109"/>
      <c r="Z631" s="109"/>
      <c r="AA631" s="109"/>
      <c r="AB631" s="109"/>
      <c r="AC631" s="109"/>
      <c r="AD631" s="109"/>
      <c r="AE631" s="124">
        <v>0.45165249847070682</v>
      </c>
      <c r="AF631" s="124">
        <v>0.47165249847070684</v>
      </c>
      <c r="AG631" s="124">
        <v>0.42165249847070685</v>
      </c>
      <c r="AH631" s="124">
        <v>0.43165249847070686</v>
      </c>
      <c r="AI631" s="124">
        <v>0.43165249847070686</v>
      </c>
      <c r="AJ631" s="124">
        <v>0.43165249847070686</v>
      </c>
      <c r="AK631" s="124">
        <v>0.43165249847070686</v>
      </c>
      <c r="AL631" s="124">
        <v>0.43165249847070686</v>
      </c>
      <c r="AM631" s="124">
        <v>0.43165249847070686</v>
      </c>
      <c r="AN631" s="124">
        <v>0.43165249847070686</v>
      </c>
      <c r="AO631" s="124">
        <v>0.43165249847070686</v>
      </c>
      <c r="AP631" s="124">
        <v>0.43165249847070686</v>
      </c>
      <c r="AQ631" s="124">
        <v>0.43165249847070686</v>
      </c>
      <c r="AR631" s="124">
        <v>0.43165249847070686</v>
      </c>
      <c r="AS631" s="124">
        <v>0.43165249847070686</v>
      </c>
      <c r="AT631" s="124">
        <v>0.43165249847070686</v>
      </c>
      <c r="AU631" s="124">
        <v>0.43165249847070686</v>
      </c>
      <c r="AV631" s="124">
        <v>0.43165249847070686</v>
      </c>
      <c r="AW631" s="124">
        <v>0.43165249847070686</v>
      </c>
      <c r="AX631" s="124">
        <v>0.43165249847070686</v>
      </c>
      <c r="AY631" s="124">
        <v>0.43165249847070686</v>
      </c>
      <c r="AZ631" s="124">
        <v>0.43165249847070686</v>
      </c>
      <c r="BA631" s="124">
        <v>0.43165249847070686</v>
      </c>
      <c r="BB631" s="124">
        <v>0.43165249847070686</v>
      </c>
      <c r="BC631" s="124">
        <f t="shared" si="218"/>
        <v>0.43165249847070686</v>
      </c>
      <c r="BD631" s="124">
        <f t="shared" si="218"/>
        <v>0.43165249847070686</v>
      </c>
      <c r="BE631" s="124">
        <f t="shared" si="218"/>
        <v>0.43165249847070686</v>
      </c>
      <c r="BF631" s="124">
        <f t="shared" si="218"/>
        <v>0.43165249847070686</v>
      </c>
      <c r="BG631" s="124">
        <f t="shared" si="218"/>
        <v>0.43165249847070686</v>
      </c>
    </row>
    <row r="632" spans="1:59" ht="13.75" customHeight="1" outlineLevel="1">
      <c r="A632" s="141" t="s">
        <v>166</v>
      </c>
      <c r="B632" s="142" t="s">
        <v>530</v>
      </c>
      <c r="C632" s="170" t="s">
        <v>543</v>
      </c>
      <c r="D632" s="142" t="s">
        <v>377</v>
      </c>
      <c r="F632" s="168" t="s">
        <v>600</v>
      </c>
      <c r="G632" s="109" t="s">
        <v>3</v>
      </c>
      <c r="W632" s="109"/>
      <c r="X632" s="109"/>
      <c r="Y632" s="109"/>
      <c r="Z632" s="109"/>
      <c r="AA632" s="109"/>
      <c r="AB632" s="109"/>
      <c r="AC632" s="109"/>
      <c r="AD632" s="109"/>
      <c r="AE632" s="124">
        <v>0.45123505680966058</v>
      </c>
      <c r="AF632" s="124">
        <v>0.4712350568096606</v>
      </c>
      <c r="AG632" s="124">
        <v>0.42123505680966061</v>
      </c>
      <c r="AH632" s="124">
        <v>0.43123505680966062</v>
      </c>
      <c r="AI632" s="124">
        <v>0.43123505680966062</v>
      </c>
      <c r="AJ632" s="124">
        <v>0.43123505680966062</v>
      </c>
      <c r="AK632" s="124">
        <v>0.43123505680966062</v>
      </c>
      <c r="AL632" s="124">
        <v>0.43123505680966062</v>
      </c>
      <c r="AM632" s="124">
        <v>0.43123505680966062</v>
      </c>
      <c r="AN632" s="124">
        <v>0.43123505680966062</v>
      </c>
      <c r="AO632" s="124">
        <v>0.43123505680966062</v>
      </c>
      <c r="AP632" s="124">
        <v>0.43123505680966062</v>
      </c>
      <c r="AQ632" s="124">
        <v>0.43123505680966062</v>
      </c>
      <c r="AR632" s="124">
        <v>0.43123505680966062</v>
      </c>
      <c r="AS632" s="124">
        <v>0.43123505680966062</v>
      </c>
      <c r="AT632" s="124">
        <v>0.43123505680966062</v>
      </c>
      <c r="AU632" s="124">
        <v>0.43123505680966062</v>
      </c>
      <c r="AV632" s="124">
        <v>0.43123505680966062</v>
      </c>
      <c r="AW632" s="124">
        <v>0.43123505680966062</v>
      </c>
      <c r="AX632" s="124">
        <v>0.43123505680966062</v>
      </c>
      <c r="AY632" s="124">
        <v>0.43123505680966062</v>
      </c>
      <c r="AZ632" s="124">
        <v>0.43123505680966062</v>
      </c>
      <c r="BA632" s="124">
        <v>0.43123505680966062</v>
      </c>
      <c r="BB632" s="124">
        <v>0.43123505680966062</v>
      </c>
      <c r="BC632" s="124">
        <f t="shared" si="218"/>
        <v>0.43123505680966062</v>
      </c>
      <c r="BD632" s="124">
        <f t="shared" si="218"/>
        <v>0.43123505680966062</v>
      </c>
      <c r="BE632" s="124">
        <f t="shared" si="218"/>
        <v>0.43123505680966062</v>
      </c>
      <c r="BF632" s="124">
        <f t="shared" si="218"/>
        <v>0.43123505680966062</v>
      </c>
      <c r="BG632" s="124">
        <f t="shared" si="218"/>
        <v>0.43123505680966062</v>
      </c>
    </row>
    <row r="633" spans="1:59" ht="13.75" customHeight="1" outlineLevel="1">
      <c r="A633" s="141" t="s">
        <v>166</v>
      </c>
      <c r="B633" s="142" t="s">
        <v>530</v>
      </c>
      <c r="C633" s="170" t="s">
        <v>543</v>
      </c>
      <c r="D633" s="142" t="s">
        <v>377</v>
      </c>
      <c r="F633" s="168" t="s">
        <v>601</v>
      </c>
      <c r="G633" s="109" t="s">
        <v>3</v>
      </c>
      <c r="W633" s="109"/>
      <c r="X633" s="109"/>
      <c r="Y633" s="109"/>
      <c r="Z633" s="109"/>
      <c r="AA633" s="109"/>
      <c r="AB633" s="109"/>
      <c r="AC633" s="109"/>
      <c r="AD633" s="109"/>
      <c r="AE633" s="124">
        <v>0.52967300419210517</v>
      </c>
      <c r="AF633" s="124">
        <v>0.54967300419210519</v>
      </c>
      <c r="AG633" s="124">
        <v>0.4996730041921052</v>
      </c>
      <c r="AH633" s="124">
        <v>0.50967300419210515</v>
      </c>
      <c r="AI633" s="124">
        <v>0.50967300419210515</v>
      </c>
      <c r="AJ633" s="124">
        <v>0.50967300419210515</v>
      </c>
      <c r="AK633" s="124">
        <v>0.50967300419210515</v>
      </c>
      <c r="AL633" s="124">
        <v>0.50967300419210515</v>
      </c>
      <c r="AM633" s="124">
        <v>0.50967300419210515</v>
      </c>
      <c r="AN633" s="124">
        <v>0.50967300419210515</v>
      </c>
      <c r="AO633" s="124">
        <v>0.50967300419210515</v>
      </c>
      <c r="AP633" s="124">
        <v>0.50967300419210515</v>
      </c>
      <c r="AQ633" s="124">
        <v>0.50967300419210515</v>
      </c>
      <c r="AR633" s="124">
        <v>0.50967300419210515</v>
      </c>
      <c r="AS633" s="124">
        <v>0.50967300419210515</v>
      </c>
      <c r="AT633" s="124">
        <v>0.50967300419210515</v>
      </c>
      <c r="AU633" s="124">
        <v>0.50967300419210515</v>
      </c>
      <c r="AV633" s="124">
        <v>0.50967300419210515</v>
      </c>
      <c r="AW633" s="124">
        <v>0.50967300419210515</v>
      </c>
      <c r="AX633" s="124">
        <v>0.50967300419210515</v>
      </c>
      <c r="AY633" s="124">
        <v>0.50967300419210515</v>
      </c>
      <c r="AZ633" s="124">
        <v>0.50967300419210515</v>
      </c>
      <c r="BA633" s="124">
        <v>0.50967300419210515</v>
      </c>
      <c r="BB633" s="124">
        <v>0.50967300419210515</v>
      </c>
      <c r="BC633" s="124">
        <f t="shared" si="218"/>
        <v>0.50967300419210515</v>
      </c>
      <c r="BD633" s="124">
        <f t="shared" si="218"/>
        <v>0.50967300419210515</v>
      </c>
      <c r="BE633" s="124">
        <f t="shared" si="218"/>
        <v>0.50967300419210515</v>
      </c>
      <c r="BF633" s="124">
        <f t="shared" si="218"/>
        <v>0.50967300419210515</v>
      </c>
      <c r="BG633" s="124">
        <f t="shared" si="218"/>
        <v>0.50967300419210515</v>
      </c>
    </row>
    <row r="634" spans="1:59" ht="13.75" customHeight="1" outlineLevel="1">
      <c r="A634" s="141" t="s">
        <v>166</v>
      </c>
      <c r="B634" s="142" t="s">
        <v>530</v>
      </c>
      <c r="C634" s="170" t="s">
        <v>543</v>
      </c>
      <c r="D634" s="142" t="s">
        <v>377</v>
      </c>
      <c r="F634" s="168" t="s">
        <v>602</v>
      </c>
      <c r="G634" s="109" t="s">
        <v>3</v>
      </c>
      <c r="W634" s="109"/>
      <c r="X634" s="109"/>
      <c r="Y634" s="109"/>
      <c r="Z634" s="109"/>
      <c r="AA634" s="109"/>
      <c r="AB634" s="109"/>
      <c r="AC634" s="109"/>
      <c r="AD634" s="109"/>
      <c r="AE634" s="124">
        <v>0.49</v>
      </c>
      <c r="AF634" s="124">
        <v>0.51</v>
      </c>
      <c r="AG634" s="124">
        <v>0.46</v>
      </c>
      <c r="AH634" s="124">
        <v>0.47000000000000003</v>
      </c>
      <c r="AI634" s="124">
        <v>0.47000000000000003</v>
      </c>
      <c r="AJ634" s="124">
        <v>0.47000000000000003</v>
      </c>
      <c r="AK634" s="124">
        <v>0.47000000000000003</v>
      </c>
      <c r="AL634" s="124">
        <v>0.47000000000000003</v>
      </c>
      <c r="AM634" s="124">
        <v>0.47000000000000003</v>
      </c>
      <c r="AN634" s="124">
        <v>0.47000000000000003</v>
      </c>
      <c r="AO634" s="124">
        <v>0.47000000000000003</v>
      </c>
      <c r="AP634" s="124">
        <v>0.47000000000000003</v>
      </c>
      <c r="AQ634" s="124">
        <v>0.47000000000000003</v>
      </c>
      <c r="AR634" s="124">
        <v>0.47000000000000003</v>
      </c>
      <c r="AS634" s="124">
        <v>0.47000000000000003</v>
      </c>
      <c r="AT634" s="124">
        <v>0.47000000000000003</v>
      </c>
      <c r="AU634" s="124">
        <v>0.47000000000000003</v>
      </c>
      <c r="AV634" s="124">
        <v>0.47000000000000003</v>
      </c>
      <c r="AW634" s="124">
        <v>0.47000000000000003</v>
      </c>
      <c r="AX634" s="124">
        <v>0.47000000000000003</v>
      </c>
      <c r="AY634" s="124">
        <v>0.47000000000000003</v>
      </c>
      <c r="AZ634" s="124">
        <v>0.47000000000000003</v>
      </c>
      <c r="BA634" s="124">
        <v>0.47000000000000003</v>
      </c>
      <c r="BB634" s="124">
        <v>0.47000000000000003</v>
      </c>
      <c r="BC634" s="124">
        <f t="shared" si="218"/>
        <v>0.47000000000000003</v>
      </c>
      <c r="BD634" s="124">
        <f t="shared" si="218"/>
        <v>0.47000000000000003</v>
      </c>
      <c r="BE634" s="124">
        <f t="shared" si="218"/>
        <v>0.47000000000000003</v>
      </c>
      <c r="BF634" s="124">
        <f t="shared" si="218"/>
        <v>0.47000000000000003</v>
      </c>
      <c r="BG634" s="124">
        <f t="shared" si="218"/>
        <v>0.47000000000000003</v>
      </c>
    </row>
    <row r="635" spans="1:59" ht="13.75" customHeight="1" outlineLevel="1">
      <c r="A635" s="141" t="s">
        <v>166</v>
      </c>
      <c r="B635" s="142" t="s">
        <v>530</v>
      </c>
      <c r="C635" s="170" t="s">
        <v>543</v>
      </c>
      <c r="D635" s="142" t="s">
        <v>377</v>
      </c>
      <c r="F635" s="168" t="s">
        <v>603</v>
      </c>
      <c r="G635" s="109" t="s">
        <v>3</v>
      </c>
      <c r="W635" s="109"/>
      <c r="X635" s="109"/>
      <c r="Y635" s="109"/>
      <c r="Z635" s="109"/>
      <c r="AA635" s="109"/>
      <c r="AB635" s="109"/>
      <c r="AC635" s="109"/>
      <c r="AD635" s="109"/>
      <c r="AE635" s="124">
        <v>0.51170758027941443</v>
      </c>
      <c r="AF635" s="124">
        <v>0.53170758027941445</v>
      </c>
      <c r="AG635" s="124">
        <v>0.48170758027941446</v>
      </c>
      <c r="AH635" s="124">
        <v>0.49170758027941447</v>
      </c>
      <c r="AI635" s="124">
        <v>0.49170758027941447</v>
      </c>
      <c r="AJ635" s="124">
        <v>0.49170758027941447</v>
      </c>
      <c r="AK635" s="124">
        <v>0.49170758027941447</v>
      </c>
      <c r="AL635" s="124">
        <v>0.49170758027941447</v>
      </c>
      <c r="AM635" s="124">
        <v>0.49170758027941447</v>
      </c>
      <c r="AN635" s="124">
        <v>0.49170758027941447</v>
      </c>
      <c r="AO635" s="124">
        <v>0.49170758027941447</v>
      </c>
      <c r="AP635" s="124">
        <v>0.49170758027941447</v>
      </c>
      <c r="AQ635" s="124">
        <v>0.49170758027941447</v>
      </c>
      <c r="AR635" s="124">
        <v>0.49170758027941447</v>
      </c>
      <c r="AS635" s="124">
        <v>0.49170758027941447</v>
      </c>
      <c r="AT635" s="124">
        <v>0.49170758027941447</v>
      </c>
      <c r="AU635" s="124">
        <v>0.49170758027941447</v>
      </c>
      <c r="AV635" s="124">
        <v>0.49170758027941447</v>
      </c>
      <c r="AW635" s="124">
        <v>0.49170758027941447</v>
      </c>
      <c r="AX635" s="124">
        <v>0.49170758027941447</v>
      </c>
      <c r="AY635" s="124">
        <v>0.49170758027941447</v>
      </c>
      <c r="AZ635" s="124">
        <v>0.49170758027941447</v>
      </c>
      <c r="BA635" s="124">
        <v>0.49170758027941447</v>
      </c>
      <c r="BB635" s="124">
        <v>0.49170758027941447</v>
      </c>
      <c r="BC635" s="124">
        <f t="shared" si="218"/>
        <v>0.49170758027941447</v>
      </c>
      <c r="BD635" s="124">
        <f t="shared" si="218"/>
        <v>0.49170758027941447</v>
      </c>
      <c r="BE635" s="124">
        <f t="shared" si="218"/>
        <v>0.49170758027941447</v>
      </c>
      <c r="BF635" s="124">
        <f t="shared" si="218"/>
        <v>0.49170758027941447</v>
      </c>
      <c r="BG635" s="124">
        <f t="shared" si="218"/>
        <v>0.49170758027941447</v>
      </c>
    </row>
    <row r="636" spans="1:59" ht="13.75" customHeight="1" outlineLevel="1">
      <c r="A636" s="141" t="s">
        <v>166</v>
      </c>
      <c r="B636" s="142" t="s">
        <v>530</v>
      </c>
      <c r="C636" s="170" t="s">
        <v>543</v>
      </c>
      <c r="D636" s="142" t="s">
        <v>377</v>
      </c>
      <c r="F636" s="168" t="s">
        <v>604</v>
      </c>
      <c r="G636" s="109" t="s">
        <v>3</v>
      </c>
      <c r="W636" s="109"/>
      <c r="X636" s="109"/>
      <c r="Y636" s="109"/>
      <c r="Z636" s="109"/>
      <c r="AA636" s="109"/>
      <c r="AB636" s="109"/>
      <c r="AC636" s="109"/>
      <c r="AD636" s="109"/>
      <c r="AE636" s="124">
        <v>0.47042211194961114</v>
      </c>
      <c r="AF636" s="124">
        <v>0.49042211194961116</v>
      </c>
      <c r="AG636" s="124">
        <v>0.44042211194961117</v>
      </c>
      <c r="AH636" s="124">
        <v>0.45042211194961118</v>
      </c>
      <c r="AI636" s="124">
        <v>0.45042211194961118</v>
      </c>
      <c r="AJ636" s="124">
        <v>0.45042211194961118</v>
      </c>
      <c r="AK636" s="124">
        <v>0.45042211194961118</v>
      </c>
      <c r="AL636" s="124">
        <v>0.45042211194961118</v>
      </c>
      <c r="AM636" s="124">
        <v>0.45042211194961118</v>
      </c>
      <c r="AN636" s="124">
        <v>0.45042211194961118</v>
      </c>
      <c r="AO636" s="124">
        <v>0.45042211194961118</v>
      </c>
      <c r="AP636" s="124">
        <v>0.45042211194961118</v>
      </c>
      <c r="AQ636" s="124">
        <v>0.45042211194961118</v>
      </c>
      <c r="AR636" s="124">
        <v>0.45042211194961118</v>
      </c>
      <c r="AS636" s="124">
        <v>0.45042211194961118</v>
      </c>
      <c r="AT636" s="124">
        <v>0.45042211194961118</v>
      </c>
      <c r="AU636" s="124">
        <v>0.45042211194961118</v>
      </c>
      <c r="AV636" s="124">
        <v>0.45042211194961118</v>
      </c>
      <c r="AW636" s="124">
        <v>0.45042211194961118</v>
      </c>
      <c r="AX636" s="124">
        <v>0.45042211194961118</v>
      </c>
      <c r="AY636" s="124">
        <v>0.45042211194961118</v>
      </c>
      <c r="AZ636" s="124">
        <v>0.45042211194961118</v>
      </c>
      <c r="BA636" s="124">
        <v>0.45042211194961118</v>
      </c>
      <c r="BB636" s="124">
        <v>0.45042211194961118</v>
      </c>
      <c r="BC636" s="124">
        <f t="shared" si="218"/>
        <v>0.45042211194961118</v>
      </c>
      <c r="BD636" s="124">
        <f t="shared" si="218"/>
        <v>0.45042211194961118</v>
      </c>
      <c r="BE636" s="124">
        <f t="shared" si="218"/>
        <v>0.45042211194961118</v>
      </c>
      <c r="BF636" s="124">
        <f t="shared" si="218"/>
        <v>0.45042211194961118</v>
      </c>
      <c r="BG636" s="124">
        <f t="shared" si="218"/>
        <v>0.45042211194961118</v>
      </c>
    </row>
    <row r="637" spans="1:59" ht="13.75" customHeight="1" outlineLevel="1">
      <c r="A637" s="141" t="s">
        <v>166</v>
      </c>
      <c r="B637" s="142" t="s">
        <v>530</v>
      </c>
      <c r="C637" s="170" t="s">
        <v>543</v>
      </c>
      <c r="D637" s="142" t="s">
        <v>377</v>
      </c>
      <c r="F637" s="168" t="s">
        <v>605</v>
      </c>
      <c r="G637" s="109" t="s">
        <v>3</v>
      </c>
      <c r="W637" s="109"/>
      <c r="X637" s="109"/>
      <c r="Y637" s="109"/>
      <c r="Z637" s="109"/>
      <c r="AA637" s="109"/>
      <c r="AB637" s="109"/>
      <c r="AC637" s="109"/>
      <c r="AD637" s="109"/>
      <c r="AE637" s="124">
        <v>0.51170758027941443</v>
      </c>
      <c r="AF637" s="124">
        <v>0.53170758027941445</v>
      </c>
      <c r="AG637" s="124">
        <v>0.48170758027941446</v>
      </c>
      <c r="AH637" s="124">
        <v>0.49170758027941447</v>
      </c>
      <c r="AI637" s="124">
        <v>0.49170758027941447</v>
      </c>
      <c r="AJ637" s="124">
        <v>0.49170758027941447</v>
      </c>
      <c r="AK637" s="124">
        <v>0.49170758027941447</v>
      </c>
      <c r="AL637" s="124">
        <v>0.49170758027941447</v>
      </c>
      <c r="AM637" s="124">
        <v>0.49170758027941447</v>
      </c>
      <c r="AN637" s="124">
        <v>0.49170758027941447</v>
      </c>
      <c r="AO637" s="124">
        <v>0.49170758027941447</v>
      </c>
      <c r="AP637" s="124">
        <v>0.49170758027941447</v>
      </c>
      <c r="AQ637" s="124">
        <v>0.49170758027941447</v>
      </c>
      <c r="AR637" s="124">
        <v>0.49170758027941447</v>
      </c>
      <c r="AS637" s="124">
        <v>0.49170758027941447</v>
      </c>
      <c r="AT637" s="124">
        <v>0.49170758027941447</v>
      </c>
      <c r="AU637" s="124">
        <v>0.49170758027941447</v>
      </c>
      <c r="AV637" s="124">
        <v>0.49170758027941447</v>
      </c>
      <c r="AW637" s="124">
        <v>0.49170758027941447</v>
      </c>
      <c r="AX637" s="124">
        <v>0.49170758027941447</v>
      </c>
      <c r="AY637" s="124">
        <v>0.49170758027941447</v>
      </c>
      <c r="AZ637" s="124">
        <v>0.49170758027941447</v>
      </c>
      <c r="BA637" s="124">
        <v>0.49170758027941447</v>
      </c>
      <c r="BB637" s="124">
        <v>0.49170758027941447</v>
      </c>
      <c r="BC637" s="124">
        <f t="shared" si="218"/>
        <v>0.49170758027941447</v>
      </c>
      <c r="BD637" s="124">
        <f t="shared" si="218"/>
        <v>0.49170758027941447</v>
      </c>
      <c r="BE637" s="124">
        <f t="shared" si="218"/>
        <v>0.49170758027941447</v>
      </c>
      <c r="BF637" s="124">
        <f t="shared" si="218"/>
        <v>0.49170758027941447</v>
      </c>
      <c r="BG637" s="124">
        <f t="shared" si="218"/>
        <v>0.49170758027941447</v>
      </c>
    </row>
    <row r="638" spans="1:59" ht="13.75" customHeight="1" outlineLevel="1">
      <c r="A638" s="141" t="s">
        <v>166</v>
      </c>
      <c r="B638" s="142" t="s">
        <v>530</v>
      </c>
      <c r="C638" s="170" t="s">
        <v>543</v>
      </c>
      <c r="D638" s="142" t="s">
        <v>377</v>
      </c>
      <c r="F638" s="168" t="s">
        <v>606</v>
      </c>
      <c r="G638" s="109" t="s">
        <v>3</v>
      </c>
      <c r="W638" s="109"/>
      <c r="X638" s="109"/>
      <c r="Y638" s="109"/>
      <c r="Z638" s="109"/>
      <c r="AA638" s="109"/>
      <c r="AB638" s="109"/>
      <c r="AC638" s="109"/>
      <c r="AD638" s="109"/>
      <c r="AE638" s="124">
        <v>0.51170758027941443</v>
      </c>
      <c r="AF638" s="124">
        <v>0.56170758027941448</v>
      </c>
      <c r="AG638" s="124">
        <v>0.50170758027941442</v>
      </c>
      <c r="AH638" s="124">
        <v>0.53170758027941445</v>
      </c>
      <c r="AI638" s="124">
        <v>0.55170758027941447</v>
      </c>
      <c r="AJ638" s="124">
        <v>0.55170758027941447</v>
      </c>
      <c r="AK638" s="124">
        <v>0.55170758027941447</v>
      </c>
      <c r="AL638" s="124">
        <v>0.55170758027941447</v>
      </c>
      <c r="AM638" s="124">
        <v>0.55170758027941447</v>
      </c>
      <c r="AN638" s="124">
        <v>0.55170758027941447</v>
      </c>
      <c r="AO638" s="124">
        <v>0.55170758027941447</v>
      </c>
      <c r="AP638" s="124">
        <v>0.55170758027941447</v>
      </c>
      <c r="AQ638" s="124">
        <v>0.55170758027941447</v>
      </c>
      <c r="AR638" s="124">
        <v>0.55170758027941447</v>
      </c>
      <c r="AS638" s="124">
        <v>0.55170758027941447</v>
      </c>
      <c r="AT638" s="124">
        <v>0.55170758027941447</v>
      </c>
      <c r="AU638" s="124">
        <v>0.55170758027941447</v>
      </c>
      <c r="AV638" s="124">
        <v>0.55170758027941447</v>
      </c>
      <c r="AW638" s="124">
        <v>0.55170758027941447</v>
      </c>
      <c r="AX638" s="124">
        <v>0.55170758027941447</v>
      </c>
      <c r="AY638" s="124">
        <v>0.55170758027941447</v>
      </c>
      <c r="AZ638" s="124">
        <v>0.55170758027941447</v>
      </c>
      <c r="BA638" s="124">
        <v>0.55170758027941447</v>
      </c>
      <c r="BB638" s="124">
        <v>0.55170758027941447</v>
      </c>
      <c r="BC638" s="124">
        <f t="shared" si="218"/>
        <v>0.55170758027941447</v>
      </c>
      <c r="BD638" s="124">
        <f t="shared" si="218"/>
        <v>0.55170758027941447</v>
      </c>
      <c r="BE638" s="124">
        <f t="shared" si="218"/>
        <v>0.55170758027941447</v>
      </c>
      <c r="BF638" s="124">
        <f t="shared" si="218"/>
        <v>0.55170758027941447</v>
      </c>
      <c r="BG638" s="124">
        <f t="shared" si="218"/>
        <v>0.55170758027941447</v>
      </c>
    </row>
    <row r="639" spans="1:59" ht="13.75" customHeight="1" outlineLevel="1">
      <c r="F639" s="168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</row>
    <row r="640" spans="1:59" ht="13.75" customHeight="1" outlineLevel="1">
      <c r="F640" s="168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</row>
    <row r="641" spans="1:59" ht="13.75" customHeight="1" outlineLevel="1">
      <c r="F641" s="168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 spans="1:59" ht="13.75" customHeight="1" outlineLevel="1">
      <c r="F642" s="168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 spans="1:59" ht="13.75" customHeight="1" outlineLevel="1">
      <c r="F643" s="168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 spans="1:59" ht="13.75" customHeight="1" outlineLevel="1">
      <c r="F644" s="168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 spans="1:59" ht="13.75" customHeight="1" outlineLevel="1">
      <c r="F645" s="168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 spans="1:59" ht="13.75" customHeight="1" outlineLevel="1">
      <c r="F646" s="168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 spans="1:59" ht="13.75" customHeight="1" outlineLevel="1">
      <c r="F647" s="168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 spans="1:59" ht="13.75" customHeight="1" outlineLevel="1">
      <c r="F648" s="168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 spans="1:59" ht="13.75" customHeight="1" outlineLevel="1">
      <c r="F649" s="168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 spans="1:59" ht="13.75" customHeight="1" outlineLevel="1">
      <c r="A650" s="141" t="s">
        <v>166</v>
      </c>
      <c r="B650" s="142" t="s">
        <v>607</v>
      </c>
      <c r="C650" s="170"/>
      <c r="D650" s="142" t="s">
        <v>608</v>
      </c>
      <c r="F650" s="168" t="s">
        <v>609</v>
      </c>
      <c r="G650" s="109" t="s">
        <v>610</v>
      </c>
      <c r="W650" s="128">
        <v>815</v>
      </c>
      <c r="X650" s="128">
        <v>902</v>
      </c>
      <c r="Y650" s="128">
        <v>985</v>
      </c>
      <c r="Z650" s="128">
        <v>1126</v>
      </c>
      <c r="AA650" s="128">
        <v>1176</v>
      </c>
      <c r="AB650" s="128">
        <v>1335</v>
      </c>
      <c r="AC650" s="128">
        <v>1522</v>
      </c>
      <c r="AD650" s="128">
        <v>1749</v>
      </c>
      <c r="AE650" s="128">
        <v>1976.3999999999999</v>
      </c>
      <c r="AF650" s="128">
        <v>2065.5903668416208</v>
      </c>
      <c r="AG650" s="128">
        <v>2074.1843338709232</v>
      </c>
      <c r="AH650" s="128">
        <v>2175.4078079747555</v>
      </c>
      <c r="AI650" s="128">
        <v>2277.9315353738712</v>
      </c>
      <c r="AJ650" s="128">
        <v>2387.8108615694964</v>
      </c>
      <c r="AK650" s="128">
        <v>2502.9835740226381</v>
      </c>
      <c r="AL650" s="128">
        <v>2623.704335961098</v>
      </c>
      <c r="AM650" s="128">
        <v>2750.2400450786372</v>
      </c>
      <c r="AN650" s="128">
        <v>2882.8704204283003</v>
      </c>
      <c r="AO650" s="128">
        <v>3021.8886174254339</v>
      </c>
      <c r="AP650" s="128">
        <v>3167.6018723045236</v>
      </c>
      <c r="AQ650" s="128">
        <v>3320.3321774381357</v>
      </c>
      <c r="AR650" s="128">
        <v>3480.4169889934838</v>
      </c>
      <c r="AS650" s="128">
        <v>3648.2099684725454</v>
      </c>
      <c r="AT650" s="128">
        <v>3824.0817597554314</v>
      </c>
      <c r="AU650" s="128">
        <v>4008.4208033440268</v>
      </c>
      <c r="AV650" s="128">
        <v>4201.6341895838514</v>
      </c>
      <c r="AW650" s="128">
        <v>4404.148552726956</v>
      </c>
      <c r="AX650" s="128">
        <v>4616.4110077875257</v>
      </c>
      <c r="AY650" s="128">
        <v>4838.8901322349466</v>
      </c>
      <c r="AZ650" s="128">
        <v>5072.2220336253959</v>
      </c>
      <c r="BA650" s="128">
        <v>5316.9418944818326</v>
      </c>
      <c r="BB650" s="128">
        <v>5573.6115403696149</v>
      </c>
      <c r="BC650" s="128">
        <f t="shared" ref="BC650:BG654" si="219">BB650*(1+((BB650-BA650)/BA650))</f>
        <v>5842.6716370893937</v>
      </c>
      <c r="BD650" s="128">
        <f t="shared" si="219"/>
        <v>6124.720320315877</v>
      </c>
      <c r="BE650" s="128">
        <f t="shared" si="219"/>
        <v>6420.3846000795329</v>
      </c>
      <c r="BF650" s="128">
        <f t="shared" si="219"/>
        <v>6730.3217546450296</v>
      </c>
      <c r="BG650" s="128">
        <f t="shared" si="219"/>
        <v>7055.2207916776561</v>
      </c>
    </row>
    <row r="651" spans="1:59" ht="13.75" customHeight="1" outlineLevel="1">
      <c r="A651" s="141" t="s">
        <v>166</v>
      </c>
      <c r="B651" s="142" t="s">
        <v>607</v>
      </c>
      <c r="D651" s="142" t="s">
        <v>608</v>
      </c>
      <c r="F651" s="168" t="s">
        <v>611</v>
      </c>
      <c r="G651" s="109" t="s">
        <v>610</v>
      </c>
      <c r="W651" s="128">
        <v>538</v>
      </c>
      <c r="X651" s="128">
        <v>596</v>
      </c>
      <c r="Y651" s="128">
        <v>668</v>
      </c>
      <c r="Z651" s="128">
        <v>753</v>
      </c>
      <c r="AA651" s="128">
        <v>795</v>
      </c>
      <c r="AB651" s="128">
        <v>853</v>
      </c>
      <c r="AC651" s="128">
        <v>928</v>
      </c>
      <c r="AD651" s="128">
        <v>996</v>
      </c>
      <c r="AE651" s="128">
        <v>1145.3999999999999</v>
      </c>
      <c r="AF651" s="128">
        <v>1204.0354838533215</v>
      </c>
      <c r="AG651" s="128">
        <v>1265.6726439478803</v>
      </c>
      <c r="AH651" s="128">
        <v>1341.5166194254055</v>
      </c>
      <c r="AI651" s="128">
        <v>1413.4469595077767</v>
      </c>
      <c r="AJ651" s="128">
        <v>1487.020699867669</v>
      </c>
      <c r="AK651" s="128">
        <v>1564.4241525730672</v>
      </c>
      <c r="AL651" s="128">
        <v>1645.8566645183603</v>
      </c>
      <c r="AM651" s="128">
        <v>1731.5279591434105</v>
      </c>
      <c r="AN651" s="128">
        <v>1821.6586765608336</v>
      </c>
      <c r="AO651" s="128">
        <v>1916.480941798367</v>
      </c>
      <c r="AP651" s="128">
        <v>2016.2389626197908</v>
      </c>
      <c r="AQ651" s="128">
        <v>2121.1896584640454</v>
      </c>
      <c r="AR651" s="128">
        <v>2231.6033221223338</v>
      </c>
      <c r="AS651" s="128">
        <v>2347.7643158573082</v>
      </c>
      <c r="AT651" s="128">
        <v>2469.9718037571433</v>
      </c>
      <c r="AU651" s="128">
        <v>2598.5405222106233</v>
      </c>
      <c r="AV651" s="128">
        <v>2733.801590487541</v>
      </c>
      <c r="AW651" s="128">
        <v>2876.1033635120025</v>
      </c>
      <c r="AX651" s="128">
        <v>3025.8123290248896</v>
      </c>
      <c r="AY651" s="128">
        <v>3183.3140514460579</v>
      </c>
      <c r="AZ651" s="128">
        <v>3349.0141648671165</v>
      </c>
      <c r="BA651" s="128">
        <v>3523.3394177321702</v>
      </c>
      <c r="BB651" s="128">
        <v>3706.7387718970226</v>
      </c>
      <c r="BC651" s="128">
        <f t="shared" si="219"/>
        <v>3899.6845588973852</v>
      </c>
      <c r="BD651" s="128">
        <f t="shared" si="219"/>
        <v>4102.6736964039765</v>
      </c>
      <c r="BE651" s="128">
        <f t="shared" si="219"/>
        <v>4316.2289679974028</v>
      </c>
      <c r="BF651" s="128">
        <f t="shared" si="219"/>
        <v>4540.9003695587853</v>
      </c>
      <c r="BG651" s="128">
        <f t="shared" si="219"/>
        <v>4777.2665257436638</v>
      </c>
    </row>
    <row r="652" spans="1:59" ht="13.75" customHeight="1" outlineLevel="1">
      <c r="A652" s="141" t="s">
        <v>166</v>
      </c>
      <c r="B652" s="142" t="s">
        <v>607</v>
      </c>
      <c r="D652" s="142" t="s">
        <v>608</v>
      </c>
      <c r="F652" s="168" t="s">
        <v>612</v>
      </c>
      <c r="G652" s="109" t="s">
        <v>610</v>
      </c>
      <c r="W652" s="128">
        <v>277</v>
      </c>
      <c r="X652" s="128">
        <v>306</v>
      </c>
      <c r="Y652" s="128">
        <v>317</v>
      </c>
      <c r="Z652" s="128">
        <v>373</v>
      </c>
      <c r="AA652" s="128">
        <v>381</v>
      </c>
      <c r="AB652" s="128">
        <v>482</v>
      </c>
      <c r="AC652" s="128">
        <v>594</v>
      </c>
      <c r="AD652" s="128">
        <v>753</v>
      </c>
      <c r="AE652" s="128">
        <v>831</v>
      </c>
      <c r="AF652" s="128">
        <v>861.55488298829925</v>
      </c>
      <c r="AG652" s="128">
        <v>808.51168992304315</v>
      </c>
      <c r="AH652" s="128">
        <v>833.89118854935009</v>
      </c>
      <c r="AI652" s="128">
        <v>864.48457586609447</v>
      </c>
      <c r="AJ652" s="128">
        <v>900.79016170182763</v>
      </c>
      <c r="AK652" s="128">
        <v>938.55942144957066</v>
      </c>
      <c r="AL652" s="128">
        <v>977.84767144273781</v>
      </c>
      <c r="AM652" s="128">
        <v>1018.7120859352266</v>
      </c>
      <c r="AN652" s="128">
        <v>1061.2117438674666</v>
      </c>
      <c r="AO652" s="128">
        <v>1105.407675627067</v>
      </c>
      <c r="AP652" s="128">
        <v>1151.3629096847328</v>
      </c>
      <c r="AQ652" s="128">
        <v>1199.1425189740903</v>
      </c>
      <c r="AR652" s="128">
        <v>1248.8136668711502</v>
      </c>
      <c r="AS652" s="128">
        <v>1300.4456526152371</v>
      </c>
      <c r="AT652" s="128">
        <v>1354.1099559982881</v>
      </c>
      <c r="AU652" s="128">
        <v>1409.8802811334035</v>
      </c>
      <c r="AV652" s="128">
        <v>1467.8325990963101</v>
      </c>
      <c r="AW652" s="128">
        <v>1528.0451892149538</v>
      </c>
      <c r="AX652" s="128">
        <v>1590.5986787626359</v>
      </c>
      <c r="AY652" s="128">
        <v>1655.5760807888885</v>
      </c>
      <c r="AZ652" s="128">
        <v>1723.2078687582789</v>
      </c>
      <c r="BA652" s="128">
        <v>1793.6024767496624</v>
      </c>
      <c r="BB652" s="128">
        <v>1866.8727684725923</v>
      </c>
      <c r="BC652" s="128">
        <f t="shared" si="219"/>
        <v>1943.1362182217599</v>
      </c>
      <c r="BD652" s="128">
        <f t="shared" si="219"/>
        <v>2022.5150992235899</v>
      </c>
      <c r="BE652" s="128">
        <f t="shared" si="219"/>
        <v>2105.1366796769635</v>
      </c>
      <c r="BF652" s="128">
        <f t="shared" si="219"/>
        <v>2191.1334268023852</v>
      </c>
      <c r="BG652" s="128">
        <f t="shared" si="219"/>
        <v>2280.6432192267416</v>
      </c>
    </row>
    <row r="653" spans="1:59" ht="13.75" customHeight="1" outlineLevel="1">
      <c r="A653" s="141" t="s">
        <v>166</v>
      </c>
      <c r="B653" s="142" t="s">
        <v>607</v>
      </c>
      <c r="D653" s="142" t="s">
        <v>608</v>
      </c>
      <c r="F653" s="168" t="s">
        <v>613</v>
      </c>
      <c r="G653" s="109" t="s">
        <v>3</v>
      </c>
      <c r="W653" s="107">
        <v>6.6000000000000003E-2</v>
      </c>
      <c r="X653" s="107">
        <v>2.8000000000000001E-2</v>
      </c>
      <c r="Y653" s="107">
        <v>1.2999999999999999E-2</v>
      </c>
      <c r="Z653" s="107">
        <v>-4.5999999999999999E-3</v>
      </c>
      <c r="AA653" s="107">
        <v>3.6999999999999998E-2</v>
      </c>
      <c r="AB653" s="107">
        <v>-6.4000000000000003E-3</v>
      </c>
      <c r="AC653" s="107">
        <v>5.0299999999999997E-2</v>
      </c>
      <c r="AD653" s="107">
        <v>2.3999999999999998E-3</v>
      </c>
      <c r="AE653" s="107">
        <v>0.01</v>
      </c>
      <c r="AF653" s="107">
        <v>1.0005675586143792E-2</v>
      </c>
      <c r="AG653" s="107">
        <v>2.7015038995676116E-2</v>
      </c>
      <c r="AH653" s="107">
        <v>-2.59903412068491E-3</v>
      </c>
      <c r="AI653" s="107">
        <v>5.5569790606874352E-3</v>
      </c>
      <c r="AJ653" s="107">
        <v>1.1637742932536384E-2</v>
      </c>
      <c r="AK653" s="107">
        <v>1.1637742932536384E-2</v>
      </c>
      <c r="AL653" s="107">
        <v>1.1637742932536384E-2</v>
      </c>
      <c r="AM653" s="107">
        <v>1.1637742932536384E-2</v>
      </c>
      <c r="AN653" s="107">
        <v>1.1637742932536384E-2</v>
      </c>
      <c r="AO653" s="107">
        <v>1.1637742932536384E-2</v>
      </c>
      <c r="AP653" s="107">
        <v>1.1637742932536384E-2</v>
      </c>
      <c r="AQ653" s="107">
        <v>1.1637742932536384E-2</v>
      </c>
      <c r="AR653" s="107">
        <v>1.1637742932536384E-2</v>
      </c>
      <c r="AS653" s="107">
        <v>1.1637742932536384E-2</v>
      </c>
      <c r="AT653" s="107">
        <v>1.1637742932536384E-2</v>
      </c>
      <c r="AU653" s="107">
        <v>1.1637742932536384E-2</v>
      </c>
      <c r="AV653" s="107">
        <v>1.163774293253635E-2</v>
      </c>
      <c r="AW653" s="107">
        <v>1.1637742932536384E-2</v>
      </c>
      <c r="AX653" s="107">
        <v>1.1637742932536384E-2</v>
      </c>
      <c r="AY653" s="107">
        <v>1.1735336520742708E-2</v>
      </c>
      <c r="AZ653" s="107">
        <v>1.1735336520742708E-2</v>
      </c>
      <c r="BA653" s="107">
        <v>1.1735336520742708E-2</v>
      </c>
      <c r="BB653" s="107">
        <v>1.1735336520742708E-2</v>
      </c>
      <c r="BC653" s="107">
        <f t="shared" si="219"/>
        <v>1.1735336520742708E-2</v>
      </c>
      <c r="BD653" s="107">
        <f t="shared" si="219"/>
        <v>1.1735336520742708E-2</v>
      </c>
      <c r="BE653" s="107">
        <f t="shared" si="219"/>
        <v>1.1735336520742708E-2</v>
      </c>
      <c r="BF653" s="107">
        <f t="shared" si="219"/>
        <v>1.1735336520742708E-2</v>
      </c>
      <c r="BG653" s="107">
        <f t="shared" si="219"/>
        <v>1.1735336520742708E-2</v>
      </c>
    </row>
    <row r="654" spans="1:59" ht="13.75" customHeight="1" outlineLevel="1">
      <c r="A654" s="141" t="s">
        <v>166</v>
      </c>
      <c r="B654" s="142" t="s">
        <v>607</v>
      </c>
      <c r="D654" s="142" t="s">
        <v>608</v>
      </c>
      <c r="F654" s="168" t="s">
        <v>614</v>
      </c>
      <c r="G654" s="109" t="s">
        <v>3</v>
      </c>
      <c r="W654" s="107">
        <v>0.158</v>
      </c>
      <c r="X654" s="107">
        <v>0.14199999999999999</v>
      </c>
      <c r="Y654" s="107">
        <v>6.9000000000000006E-2</v>
      </c>
      <c r="Z654" s="107">
        <v>6.1000000000000004E-3</v>
      </c>
      <c r="AA654" s="107">
        <v>7.3999999999999996E-2</v>
      </c>
      <c r="AB654" s="107">
        <v>3.0800000000000001E-2</v>
      </c>
      <c r="AC654" s="107">
        <v>8.5099999999999995E-2</v>
      </c>
      <c r="AD654" s="107">
        <v>6.3600000000000004E-2</v>
      </c>
      <c r="AE654" s="107">
        <v>0.125</v>
      </c>
      <c r="AF654" s="107">
        <v>6.8467703255444115E-2</v>
      </c>
      <c r="AG654" s="107">
        <v>9.2054013779057781E-2</v>
      </c>
      <c r="AH654" s="107">
        <v>3.9198835088913031E-2</v>
      </c>
      <c r="AI654" s="107">
        <v>5.3755682180049787E-2</v>
      </c>
      <c r="AJ654" s="107">
        <v>6.4608625635558026E-2</v>
      </c>
      <c r="AK654" s="107">
        <v>6.4608625635558026E-2</v>
      </c>
      <c r="AL654" s="107">
        <v>6.4608625635558026E-2</v>
      </c>
      <c r="AM654" s="107">
        <v>6.4608625635558026E-2</v>
      </c>
      <c r="AN654" s="107">
        <v>6.4608625635558026E-2</v>
      </c>
      <c r="AO654" s="107">
        <v>6.4608625635558026E-2</v>
      </c>
      <c r="AP654" s="107">
        <v>6.4608625635558026E-2</v>
      </c>
      <c r="AQ654" s="107">
        <v>6.4608625635558026E-2</v>
      </c>
      <c r="AR654" s="107">
        <v>6.4608625635558026E-2</v>
      </c>
      <c r="AS654" s="107">
        <v>6.4608625635558026E-2</v>
      </c>
      <c r="AT654" s="107">
        <v>6.4608625635558026E-2</v>
      </c>
      <c r="AU654" s="107">
        <v>6.4608625635558026E-2</v>
      </c>
      <c r="AV654" s="107">
        <v>6.4608625635557956E-2</v>
      </c>
      <c r="AW654" s="107">
        <v>6.4608625635558026E-2</v>
      </c>
      <c r="AX654" s="107">
        <v>6.4608625635558026E-2</v>
      </c>
      <c r="AY654" s="107">
        <v>6.4782810609147742E-2</v>
      </c>
      <c r="AZ654" s="107">
        <v>6.4782810609147742E-2</v>
      </c>
      <c r="BA654" s="107">
        <v>6.4782810609147742E-2</v>
      </c>
      <c r="BB654" s="107">
        <v>6.4782810609147742E-2</v>
      </c>
      <c r="BC654" s="107">
        <f t="shared" si="219"/>
        <v>6.4782810609147742E-2</v>
      </c>
      <c r="BD654" s="107">
        <f t="shared" si="219"/>
        <v>6.4782810609147742E-2</v>
      </c>
      <c r="BE654" s="107">
        <f t="shared" si="219"/>
        <v>6.4782810609147742E-2</v>
      </c>
      <c r="BF654" s="107">
        <f t="shared" si="219"/>
        <v>6.4782810609147742E-2</v>
      </c>
      <c r="BG654" s="107">
        <f t="shared" si="219"/>
        <v>6.4782810609147742E-2</v>
      </c>
    </row>
    <row r="655" spans="1:59" ht="13.75" customHeight="1" outlineLevel="1">
      <c r="F655" s="168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 spans="1:59" ht="13.75" customHeight="1" outlineLevel="1">
      <c r="F656" s="168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 spans="1:59" ht="13.75" customHeight="1" outlineLevel="1">
      <c r="F657" s="168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</row>
    <row r="658" spans="1:59" ht="13.75" customHeight="1" outlineLevel="1">
      <c r="F658" s="168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</row>
    <row r="659" spans="1:59" ht="13.75" customHeight="1" outlineLevel="1">
      <c r="F659" s="168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</row>
    <row r="660" spans="1:59" ht="13.75" customHeight="1" outlineLevel="1">
      <c r="B660" s="141"/>
      <c r="C660" s="141"/>
      <c r="D660" s="141"/>
      <c r="E660" s="141"/>
      <c r="F660" s="141"/>
      <c r="G660" s="141"/>
      <c r="H660" s="141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</row>
    <row r="661" spans="1:59" ht="13.75" customHeight="1" outlineLevel="1">
      <c r="F661" s="141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</row>
    <row r="662" spans="1:59" ht="13.75" customHeight="1" outlineLevel="1">
      <c r="F662" s="141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</row>
    <row r="663" spans="1:59" ht="13.75" customHeight="1" outlineLevel="1">
      <c r="F663" s="141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</row>
    <row r="664" spans="1:59" ht="13.75" customHeight="1" outlineLevel="1">
      <c r="F664" s="141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</row>
    <row r="665" spans="1:59" ht="13.75" customHeight="1" outlineLevel="1">
      <c r="F665" s="141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</row>
    <row r="666" spans="1:59" ht="13.75" customHeight="1" outlineLevel="1">
      <c r="F666" s="141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</row>
    <row r="667" spans="1:59" ht="13.75" customHeight="1" outlineLevel="1">
      <c r="F667" s="141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</row>
    <row r="668" spans="1:59" ht="13.75" customHeight="1">
      <c r="A668" s="171" t="s">
        <v>166</v>
      </c>
      <c r="B668" s="165" t="s">
        <v>245</v>
      </c>
      <c r="C668" s="165"/>
      <c r="D668" s="165" t="s">
        <v>168</v>
      </c>
      <c r="E668" s="167"/>
      <c r="F668" s="168" t="s">
        <v>615</v>
      </c>
      <c r="G668" s="168" t="s">
        <v>247</v>
      </c>
      <c r="W668" s="112">
        <v>11.827118333333335</v>
      </c>
      <c r="X668" s="112">
        <v>18.2333125</v>
      </c>
      <c r="Y668" s="112">
        <v>23.207047500000002</v>
      </c>
      <c r="Z668" s="112">
        <v>20.847792499999997</v>
      </c>
      <c r="AA668" s="112">
        <v>22.728607297979799</v>
      </c>
      <c r="AB668" s="112">
        <v>23.364709595959596</v>
      </c>
      <c r="AC668" s="112">
        <v>28.96003787878788</v>
      </c>
      <c r="AD668" s="112">
        <v>47.804734848484848</v>
      </c>
      <c r="AE668" s="112">
        <v>38.037020202020202</v>
      </c>
      <c r="AF668" s="112">
        <v>30.250417617573227</v>
      </c>
      <c r="AG668" s="112">
        <v>32.727647705156485</v>
      </c>
      <c r="AH668" s="112">
        <v>30.356365335189452</v>
      </c>
      <c r="AI668" s="112">
        <v>30.129704474020016</v>
      </c>
      <c r="AJ668" s="112">
        <v>31.033595608240617</v>
      </c>
      <c r="AK668" s="112">
        <v>31.964603476487838</v>
      </c>
      <c r="AL668" s="112">
        <v>32.923541580782477</v>
      </c>
      <c r="AM668" s="112">
        <v>33.911247828205951</v>
      </c>
      <c r="AN668" s="112">
        <v>34.928585263052128</v>
      </c>
      <c r="AO668" s="112">
        <v>35.976442820943696</v>
      </c>
      <c r="AP668" s="112">
        <v>37.055736105572009</v>
      </c>
      <c r="AQ668" s="112">
        <v>38.167408188739174</v>
      </c>
      <c r="AR668" s="112">
        <v>39.31243043440135</v>
      </c>
      <c r="AS668" s="112">
        <v>40.49180334743339</v>
      </c>
      <c r="AT668" s="112">
        <v>41.70655744785639</v>
      </c>
      <c r="AU668" s="112">
        <v>42.957754171292081</v>
      </c>
      <c r="AV668" s="112">
        <v>44.246486796430844</v>
      </c>
      <c r="AW668" s="112">
        <v>45.573881400323771</v>
      </c>
      <c r="AX668" s="112">
        <v>46.941097842333484</v>
      </c>
      <c r="AY668" s="112">
        <v>48.349330777603491</v>
      </c>
      <c r="AZ668" s="112">
        <v>49.799810700931594</v>
      </c>
      <c r="BA668" s="112">
        <v>51.293805021959543</v>
      </c>
      <c r="BB668" s="112">
        <v>52.83261917261833</v>
      </c>
      <c r="BC668" s="112">
        <f t="shared" ref="BC668:BG675" si="220">BB668*(1+((BB668-BA668)/BA668))</f>
        <v>54.417597747796883</v>
      </c>
      <c r="BD668" s="112">
        <f t="shared" si="220"/>
        <v>56.050125680230792</v>
      </c>
      <c r="BE668" s="112">
        <f t="shared" si="220"/>
        <v>57.731629450637719</v>
      </c>
      <c r="BF668" s="112">
        <f t="shared" si="220"/>
        <v>59.46357833415685</v>
      </c>
      <c r="BG668" s="112">
        <f t="shared" si="220"/>
        <v>61.247485684181555</v>
      </c>
    </row>
    <row r="669" spans="1:59" ht="13.75" customHeight="1" outlineLevel="1">
      <c r="A669" s="171" t="s">
        <v>166</v>
      </c>
      <c r="B669" s="165" t="s">
        <v>245</v>
      </c>
      <c r="C669" s="165"/>
      <c r="D669" s="165" t="s">
        <v>168</v>
      </c>
      <c r="E669" s="167"/>
      <c r="F669" s="168" t="s">
        <v>616</v>
      </c>
      <c r="G669" s="168" t="s">
        <v>4</v>
      </c>
      <c r="W669" s="119">
        <v>914.59099962227231</v>
      </c>
      <c r="X669" s="119">
        <v>776.72680744413924</v>
      </c>
      <c r="Y669" s="119">
        <v>822.28101068588364</v>
      </c>
      <c r="Z669" s="119">
        <v>875.14927781642893</v>
      </c>
      <c r="AA669" s="119">
        <v>845.8768073333332</v>
      </c>
      <c r="AB669" s="119">
        <v>859.10722899999985</v>
      </c>
      <c r="AC669" s="119">
        <v>911.79510558333322</v>
      </c>
      <c r="AD669" s="119">
        <v>1509.0777068333334</v>
      </c>
      <c r="AE669" s="119">
        <v>1742.4902749098053</v>
      </c>
      <c r="AF669" s="119">
        <v>1076.7565342468729</v>
      </c>
      <c r="AG669" s="119">
        <v>802.47089053333332</v>
      </c>
      <c r="AH669" s="119">
        <v>751.7400365702224</v>
      </c>
      <c r="AI669" s="119">
        <v>751.7400365702224</v>
      </c>
      <c r="AJ669" s="119">
        <v>751.7400365702224</v>
      </c>
      <c r="AK669" s="119">
        <v>751.7400365702224</v>
      </c>
      <c r="AL669" s="119">
        <v>751.7400365702224</v>
      </c>
      <c r="AM669" s="119">
        <v>751.7400365702224</v>
      </c>
      <c r="AN669" s="119">
        <v>751.7400365702224</v>
      </c>
      <c r="AO669" s="119">
        <v>751.7400365702224</v>
      </c>
      <c r="AP669" s="119">
        <v>751.7400365702224</v>
      </c>
      <c r="AQ669" s="119">
        <v>751.7400365702224</v>
      </c>
      <c r="AR669" s="119">
        <v>751.7400365702224</v>
      </c>
      <c r="AS669" s="119">
        <v>751.7400365702224</v>
      </c>
      <c r="AT669" s="119">
        <v>751.7400365702224</v>
      </c>
      <c r="AU669" s="119">
        <v>751.7400365702224</v>
      </c>
      <c r="AV669" s="119">
        <v>751.7400365702224</v>
      </c>
      <c r="AW669" s="119">
        <v>751.7400365702224</v>
      </c>
      <c r="AX669" s="119">
        <v>751.7400365702224</v>
      </c>
      <c r="AY669" s="119">
        <v>751.7400365702224</v>
      </c>
      <c r="AZ669" s="119">
        <v>751.7400365702224</v>
      </c>
      <c r="BA669" s="119">
        <v>751.7400365702224</v>
      </c>
      <c r="BB669" s="119">
        <v>751.7400365702224</v>
      </c>
      <c r="BC669" s="119">
        <f t="shared" si="220"/>
        <v>751.7400365702224</v>
      </c>
      <c r="BD669" s="119">
        <f t="shared" si="220"/>
        <v>751.7400365702224</v>
      </c>
      <c r="BE669" s="119">
        <f t="shared" si="220"/>
        <v>751.7400365702224</v>
      </c>
      <c r="BF669" s="119">
        <f t="shared" si="220"/>
        <v>751.7400365702224</v>
      </c>
      <c r="BG669" s="119">
        <f t="shared" si="220"/>
        <v>751.7400365702224</v>
      </c>
    </row>
    <row r="670" spans="1:59" ht="13.75" customHeight="1" outlineLevel="1">
      <c r="A670" s="171" t="s">
        <v>166</v>
      </c>
      <c r="B670" s="165" t="s">
        <v>245</v>
      </c>
      <c r="C670" s="165"/>
      <c r="D670" s="165" t="s">
        <v>168</v>
      </c>
      <c r="E670" s="167"/>
      <c r="F670" s="168" t="s">
        <v>617</v>
      </c>
      <c r="G670" s="168" t="s">
        <v>247</v>
      </c>
      <c r="W670" s="112">
        <v>12.589084166666668</v>
      </c>
      <c r="X670" s="112">
        <v>15.168315833333333</v>
      </c>
      <c r="Y670" s="112">
        <v>15.558869999999999</v>
      </c>
      <c r="Z670" s="112">
        <v>14.0741675</v>
      </c>
      <c r="AA670" s="112">
        <v>17.183060833333336</v>
      </c>
      <c r="AB670" s="112">
        <v>17.432308333333335</v>
      </c>
      <c r="AC670" s="112">
        <v>18.824400000000001</v>
      </c>
      <c r="AD670" s="112">
        <v>20.837076666666668</v>
      </c>
      <c r="AE670" s="112">
        <v>23.195639583333335</v>
      </c>
      <c r="AF670" s="112">
        <v>20.175497384726111</v>
      </c>
      <c r="AG670" s="112">
        <v>21.641691178227116</v>
      </c>
      <c r="AH670" s="112">
        <v>22.101234366643379</v>
      </c>
      <c r="AI670" s="112">
        <v>21.980767905188916</v>
      </c>
      <c r="AJ670" s="112">
        <v>22.462146722312553</v>
      </c>
      <c r="AK670" s="112">
        <v>22.954067735531201</v>
      </c>
      <c r="AL670" s="112">
        <v>23.456761818939334</v>
      </c>
      <c r="AM670" s="112">
        <v>23.970464902774108</v>
      </c>
      <c r="AN670" s="112">
        <v>24.495418084144863</v>
      </c>
      <c r="AO670" s="112">
        <v>25.031867740187636</v>
      </c>
      <c r="AP670" s="112">
        <v>25.580065643697747</v>
      </c>
      <c r="AQ670" s="112">
        <v>26.140269081294729</v>
      </c>
      <c r="AR670" s="112">
        <v>26.712740974175084</v>
      </c>
      <c r="AS670" s="112">
        <v>27.29775000150952</v>
      </c>
      <c r="AT670" s="112">
        <v>27.89557072654258</v>
      </c>
      <c r="AU670" s="112">
        <v>28.506483725453862</v>
      </c>
      <c r="AV670" s="112">
        <v>29.130775719041303</v>
      </c>
      <c r="AW670" s="112">
        <v>29.768739707288308</v>
      </c>
      <c r="AX670" s="112">
        <v>30.420675106877923</v>
      </c>
      <c r="AY670" s="112">
        <v>31.08688789171855</v>
      </c>
      <c r="AZ670" s="112">
        <v>31.767690736547188</v>
      </c>
      <c r="BA670" s="112">
        <v>32.463403163677569</v>
      </c>
      <c r="BB670" s="112">
        <v>33.174351692962105</v>
      </c>
      <c r="BC670" s="112">
        <f t="shared" si="220"/>
        <v>33.900869995037979</v>
      </c>
      <c r="BD670" s="112">
        <f t="shared" si="220"/>
        <v>34.643299047929311</v>
      </c>
      <c r="BE670" s="112">
        <f t="shared" si="220"/>
        <v>35.401987297078961</v>
      </c>
      <c r="BF670" s="112">
        <f t="shared" si="220"/>
        <v>36.177290818884991</v>
      </c>
      <c r="BG670" s="112">
        <f t="shared" si="220"/>
        <v>36.969573487818572</v>
      </c>
    </row>
    <row r="671" spans="1:59" ht="13.75" customHeight="1" outlineLevel="1">
      <c r="A671" s="171" t="s">
        <v>166</v>
      </c>
      <c r="B671" s="165" t="s">
        <v>245</v>
      </c>
      <c r="C671" s="165"/>
      <c r="D671" s="165" t="s">
        <v>168</v>
      </c>
      <c r="E671" s="167"/>
      <c r="F671" s="168" t="s">
        <v>618</v>
      </c>
      <c r="G671" s="168" t="s">
        <v>4</v>
      </c>
      <c r="W671" s="112">
        <v>262.185</v>
      </c>
      <c r="X671" s="112">
        <v>201.59</v>
      </c>
      <c r="Y671" s="112">
        <v>178.05250000000001</v>
      </c>
      <c r="Z671" s="112">
        <v>188.5025</v>
      </c>
      <c r="AA671" s="112">
        <v>213.93583333333336</v>
      </c>
      <c r="AB671" s="112">
        <v>208.99666666666667</v>
      </c>
      <c r="AC671" s="112">
        <v>224.50416666666669</v>
      </c>
      <c r="AD671" s="112">
        <v>284.96333333333337</v>
      </c>
      <c r="AE671" s="112">
        <v>349.51111666666668</v>
      </c>
      <c r="AF671" s="112">
        <v>258.72192404861113</v>
      </c>
      <c r="AG671" s="112">
        <v>209.99434449083722</v>
      </c>
      <c r="AH671" s="112">
        <v>215.52306085093991</v>
      </c>
      <c r="AI671" s="112">
        <v>215.52306085093991</v>
      </c>
      <c r="AJ671" s="112">
        <v>215.52306085093991</v>
      </c>
      <c r="AK671" s="112">
        <v>215.52306085093991</v>
      </c>
      <c r="AL671" s="112">
        <v>215.52306085093991</v>
      </c>
      <c r="AM671" s="112">
        <v>215.52306085093991</v>
      </c>
      <c r="AN671" s="112">
        <v>215.52306085093991</v>
      </c>
      <c r="AO671" s="112">
        <v>215.52306085093991</v>
      </c>
      <c r="AP671" s="112">
        <v>215.52306085093991</v>
      </c>
      <c r="AQ671" s="112">
        <v>215.52306085093991</v>
      </c>
      <c r="AR671" s="112">
        <v>215.52306085093991</v>
      </c>
      <c r="AS671" s="112">
        <v>215.52306085093991</v>
      </c>
      <c r="AT671" s="112">
        <v>215.52306085093991</v>
      </c>
      <c r="AU671" s="112">
        <v>215.52306085093991</v>
      </c>
      <c r="AV671" s="112">
        <v>215.52306085093991</v>
      </c>
      <c r="AW671" s="112">
        <v>215.52306085093991</v>
      </c>
      <c r="AX671" s="112">
        <v>215.52306085093991</v>
      </c>
      <c r="AY671" s="112">
        <v>215.52306085093991</v>
      </c>
      <c r="AZ671" s="112">
        <v>215.52306085093991</v>
      </c>
      <c r="BA671" s="112">
        <v>215.52306085093991</v>
      </c>
      <c r="BB671" s="112">
        <v>215.52306085093991</v>
      </c>
      <c r="BC671" s="112">
        <f t="shared" si="220"/>
        <v>215.52306085093991</v>
      </c>
      <c r="BD671" s="112">
        <f t="shared" si="220"/>
        <v>215.52306085093991</v>
      </c>
      <c r="BE671" s="112">
        <f t="shared" si="220"/>
        <v>215.52306085093991</v>
      </c>
      <c r="BF671" s="112">
        <f t="shared" si="220"/>
        <v>215.52306085093991</v>
      </c>
      <c r="BG671" s="112">
        <f t="shared" si="220"/>
        <v>215.52306085093991</v>
      </c>
    </row>
    <row r="672" spans="1:59" ht="13.75" customHeight="1" outlineLevel="1">
      <c r="A672" s="141" t="s">
        <v>166</v>
      </c>
      <c r="B672" s="170" t="s">
        <v>245</v>
      </c>
      <c r="C672" s="170"/>
      <c r="D672" s="170" t="s">
        <v>168</v>
      </c>
      <c r="E672" s="168"/>
      <c r="F672" s="168" t="s">
        <v>619</v>
      </c>
      <c r="G672" s="168" t="s">
        <v>4</v>
      </c>
      <c r="W672" s="112"/>
      <c r="X672" s="112"/>
      <c r="Y672" s="112">
        <v>10.35282383675731</v>
      </c>
      <c r="Z672" s="112">
        <v>13.066073309734026</v>
      </c>
      <c r="AA672" s="112">
        <v>14.119942684155323</v>
      </c>
      <c r="AB672" s="112">
        <v>19.534076779892366</v>
      </c>
      <c r="AC672" s="112">
        <v>19.534008996418954</v>
      </c>
      <c r="AD672" s="112">
        <v>31.618066832660922</v>
      </c>
      <c r="AE672" s="112">
        <v>18.183645813747141</v>
      </c>
      <c r="AF672" s="112">
        <v>11.053028219888771</v>
      </c>
      <c r="AG672" s="112">
        <v>11.500950175707947</v>
      </c>
      <c r="AH672" s="112">
        <v>11.737775729123758</v>
      </c>
      <c r="AI672" s="112">
        <v>11.972531243706234</v>
      </c>
      <c r="AJ672" s="112">
        <v>12.211981868580359</v>
      </c>
      <c r="AK672" s="112">
        <v>12.456221505951968</v>
      </c>
      <c r="AL672" s="112">
        <v>12.705345936071007</v>
      </c>
      <c r="AM672" s="112">
        <v>12.959452854792428</v>
      </c>
      <c r="AN672" s="112">
        <v>13.218641911888277</v>
      </c>
      <c r="AO672" s="112">
        <v>13.483014750126042</v>
      </c>
      <c r="AP672" s="112">
        <v>13.752675045128562</v>
      </c>
      <c r="AQ672" s="112">
        <v>14.027728546031133</v>
      </c>
      <c r="AR672" s="112">
        <v>14.308283116951756</v>
      </c>
      <c r="AS672" s="112">
        <v>14.594448779290792</v>
      </c>
      <c r="AT672" s="112">
        <v>14.886337754876608</v>
      </c>
      <c r="AU672" s="112">
        <v>15.18406450997414</v>
      </c>
      <c r="AV672" s="112">
        <v>15.487745800173624</v>
      </c>
      <c r="AW672" s="112">
        <v>15.797500716177096</v>
      </c>
      <c r="AX672" s="112">
        <v>16.113450730500638</v>
      </c>
      <c r="AY672" s="112">
        <v>16.435719745110649</v>
      </c>
      <c r="AZ672" s="112">
        <v>16.764434140012863</v>
      </c>
      <c r="BA672" s="112">
        <v>17.099722822813121</v>
      </c>
      <c r="BB672" s="112">
        <v>17.441717279269383</v>
      </c>
      <c r="BC672" s="112">
        <f t="shared" si="220"/>
        <v>17.790551624854771</v>
      </c>
      <c r="BD672" s="112">
        <f t="shared" si="220"/>
        <v>18.146362657351865</v>
      </c>
      <c r="BE672" s="112">
        <f t="shared" si="220"/>
        <v>18.509289910498904</v>
      </c>
      <c r="BF672" s="112">
        <f t="shared" si="220"/>
        <v>18.879475708708881</v>
      </c>
      <c r="BG672" s="112">
        <f t="shared" si="220"/>
        <v>19.25706522288306</v>
      </c>
    </row>
    <row r="673" spans="1:59" ht="13.75" customHeight="1" outlineLevel="1">
      <c r="A673" s="141" t="s">
        <v>166</v>
      </c>
      <c r="B673" s="170" t="s">
        <v>245</v>
      </c>
      <c r="C673" s="170"/>
      <c r="D673" s="170" t="s">
        <v>168</v>
      </c>
      <c r="E673" s="168"/>
      <c r="F673" s="168" t="s">
        <v>620</v>
      </c>
      <c r="G673" s="168" t="s">
        <v>4</v>
      </c>
      <c r="W673" s="112"/>
      <c r="X673" s="112"/>
      <c r="Y673" s="112">
        <v>11.038517710132222</v>
      </c>
      <c r="Z673" s="112">
        <v>12.47193044879112</v>
      </c>
      <c r="AA673" s="112">
        <v>15.332111357506392</v>
      </c>
      <c r="AB673" s="112">
        <v>18.455157746176841</v>
      </c>
      <c r="AC673" s="112">
        <v>21.375887021928882</v>
      </c>
      <c r="AD673" s="112">
        <v>30.430985127259774</v>
      </c>
      <c r="AE673" s="112">
        <v>27.120075194875419</v>
      </c>
      <c r="AF673" s="112">
        <v>24.299839089338761</v>
      </c>
      <c r="AG673" s="112">
        <v>18.623276034278344</v>
      </c>
      <c r="AH673" s="112">
        <v>19.006763275406392</v>
      </c>
      <c r="AI673" s="112">
        <v>19.386898540914519</v>
      </c>
      <c r="AJ673" s="112">
        <v>19.774636511732808</v>
      </c>
      <c r="AK673" s="112">
        <v>20.170129241967466</v>
      </c>
      <c r="AL673" s="112">
        <v>20.573531826806814</v>
      </c>
      <c r="AM673" s="112">
        <v>20.985002463342951</v>
      </c>
      <c r="AN673" s="112">
        <v>21.404702512609809</v>
      </c>
      <c r="AO673" s="112">
        <v>21.832796562862004</v>
      </c>
      <c r="AP673" s="112">
        <v>22.269452494119246</v>
      </c>
      <c r="AQ673" s="112">
        <v>22.714841544001633</v>
      </c>
      <c r="AR673" s="112">
        <v>23.169138374881665</v>
      </c>
      <c r="AS673" s="112">
        <v>23.6325211423793</v>
      </c>
      <c r="AT673" s="112">
        <v>24.105171565226886</v>
      </c>
      <c r="AU673" s="112">
        <v>24.587274996531423</v>
      </c>
      <c r="AV673" s="112">
        <v>25.079020496462054</v>
      </c>
      <c r="AW673" s="112">
        <v>25.580600906391297</v>
      </c>
      <c r="AX673" s="112">
        <v>26.092212924519124</v>
      </c>
      <c r="AY673" s="112">
        <v>26.614057183009507</v>
      </c>
      <c r="AZ673" s="112">
        <v>27.146338326669696</v>
      </c>
      <c r="BA673" s="112">
        <v>27.68926509320309</v>
      </c>
      <c r="BB673" s="112">
        <v>28.243050395067154</v>
      </c>
      <c r="BC673" s="112">
        <f t="shared" si="220"/>
        <v>28.807911402968497</v>
      </c>
      <c r="BD673" s="112">
        <f t="shared" si="220"/>
        <v>29.384069631027867</v>
      </c>
      <c r="BE673" s="112">
        <f t="shared" si="220"/>
        <v>29.971751023648423</v>
      </c>
      <c r="BF673" s="112">
        <f t="shared" si="220"/>
        <v>30.571186044121394</v>
      </c>
      <c r="BG673" s="112">
        <f t="shared" si="220"/>
        <v>31.182609765003821</v>
      </c>
    </row>
    <row r="674" spans="1:59" ht="13.75" customHeight="1" outlineLevel="1">
      <c r="A674" s="141" t="s">
        <v>166</v>
      </c>
      <c r="B674" s="170" t="s">
        <v>245</v>
      </c>
      <c r="C674" s="170"/>
      <c r="D674" s="170" t="s">
        <v>168</v>
      </c>
      <c r="E674" s="168"/>
      <c r="F674" s="168" t="s">
        <v>621</v>
      </c>
      <c r="G674" s="168" t="s">
        <v>247</v>
      </c>
      <c r="W674" s="112"/>
      <c r="X674" s="112">
        <v>155.9848484848485</v>
      </c>
      <c r="Y674" s="112">
        <v>171.43939393939394</v>
      </c>
      <c r="Z674" s="112">
        <v>171.89393939393935</v>
      </c>
      <c r="AA674" s="112">
        <v>218.63636363636363</v>
      </c>
      <c r="AB674" s="112">
        <v>237.19696969696969</v>
      </c>
      <c r="AC674" s="112">
        <v>199.84848484848484</v>
      </c>
      <c r="AD674" s="112">
        <v>204.24242424242422</v>
      </c>
      <c r="AE674" s="112">
        <v>237.84469696969697</v>
      </c>
      <c r="AF674" s="112">
        <v>245.92424242424241</v>
      </c>
      <c r="AG674" s="112">
        <v>236.02295381290421</v>
      </c>
      <c r="AH674" s="112">
        <v>241.92352765822679</v>
      </c>
      <c r="AI674" s="112">
        <v>248.21353937734068</v>
      </c>
      <c r="AJ674" s="112">
        <v>260.77314446983411</v>
      </c>
      <c r="AK674" s="112">
        <v>273.96826558000771</v>
      </c>
      <c r="AL674" s="112">
        <v>287.8310598183561</v>
      </c>
      <c r="AM674" s="112">
        <v>302.39531144516491</v>
      </c>
      <c r="AN674" s="112">
        <v>317.69651420429022</v>
      </c>
      <c r="AO674" s="112">
        <v>333.77195782302732</v>
      </c>
      <c r="AP674" s="112">
        <v>350.66081888887248</v>
      </c>
      <c r="AQ674" s="112">
        <v>368.40425632464945</v>
      </c>
      <c r="AR674" s="112">
        <v>387.04551169467675</v>
      </c>
      <c r="AS674" s="112">
        <v>406.63001458642742</v>
      </c>
      <c r="AT674" s="112">
        <v>427.20549332450071</v>
      </c>
      <c r="AU674" s="112">
        <v>448.82209128672048</v>
      </c>
      <c r="AV674" s="112">
        <v>471.53248910582857</v>
      </c>
      <c r="AW674" s="112">
        <v>495.39203305458352</v>
      </c>
      <c r="AX674" s="112">
        <v>520.45886992714543</v>
      </c>
      <c r="AY674" s="112">
        <v>546.79408874545902</v>
      </c>
      <c r="AZ674" s="112">
        <v>574.46186963597927</v>
      </c>
      <c r="BA674" s="112">
        <v>603.52964023955985</v>
      </c>
      <c r="BB674" s="112">
        <v>634.06824003568158</v>
      </c>
      <c r="BC674" s="112">
        <f t="shared" si="220"/>
        <v>666.15209298148704</v>
      </c>
      <c r="BD674" s="112">
        <f t="shared" si="220"/>
        <v>699.8593888863503</v>
      </c>
      <c r="BE674" s="112">
        <f t="shared" si="220"/>
        <v>735.27227396399962</v>
      </c>
      <c r="BF674" s="112">
        <f t="shared" si="220"/>
        <v>772.47705102657801</v>
      </c>
      <c r="BG674" s="112">
        <f t="shared" si="220"/>
        <v>811.56438980852283</v>
      </c>
    </row>
    <row r="675" spans="1:59" ht="13.75" customHeight="1" outlineLevel="1">
      <c r="A675" s="141" t="s">
        <v>166</v>
      </c>
      <c r="B675" s="170" t="s">
        <v>245</v>
      </c>
      <c r="C675" s="170"/>
      <c r="D675" s="170" t="s">
        <v>168</v>
      </c>
      <c r="E675" s="168"/>
      <c r="F675" s="168" t="s">
        <v>622</v>
      </c>
      <c r="G675" s="168" t="s">
        <v>247</v>
      </c>
      <c r="W675" s="112"/>
      <c r="X675" s="112"/>
      <c r="Y675" s="112"/>
      <c r="Z675" s="112">
        <v>143.25757575757575</v>
      </c>
      <c r="AA675" s="112">
        <v>141.47348484848484</v>
      </c>
      <c r="AB675" s="112">
        <v>104.52840909090908</v>
      </c>
      <c r="AC675" s="112">
        <v>136.68560606060606</v>
      </c>
      <c r="AD675" s="112">
        <v>202.87878787878788</v>
      </c>
      <c r="AE675" s="112">
        <v>170.625</v>
      </c>
      <c r="AF675" s="112">
        <v>214.15351162902914</v>
      </c>
      <c r="AG675" s="112">
        <v>122.93955844297484</v>
      </c>
      <c r="AH675" s="112">
        <v>116.81148366127086</v>
      </c>
      <c r="AI675" s="112">
        <v>118.25807707493195</v>
      </c>
      <c r="AJ675" s="112">
        <v>124.2419357749235</v>
      </c>
      <c r="AK675" s="112">
        <v>130.52857772513462</v>
      </c>
      <c r="AL675" s="112">
        <v>137.13332375802642</v>
      </c>
      <c r="AM675" s="112">
        <v>144.07226994018257</v>
      </c>
      <c r="AN675" s="112">
        <v>151.36232679915582</v>
      </c>
      <c r="AO675" s="112">
        <v>159.02126053519311</v>
      </c>
      <c r="AP675" s="112">
        <v>167.06773631827389</v>
      </c>
      <c r="AQ675" s="112">
        <v>175.52136377597856</v>
      </c>
      <c r="AR675" s="112">
        <v>184.40274478304306</v>
      </c>
      <c r="AS675" s="112">
        <v>193.73352366906505</v>
      </c>
      <c r="AT675" s="112">
        <v>203.53643996671977</v>
      </c>
      <c r="AU675" s="112">
        <v>213.83538382903581</v>
      </c>
      <c r="AV675" s="112">
        <v>224.65545425078503</v>
      </c>
      <c r="AW675" s="112">
        <v>236.02302023587475</v>
      </c>
      <c r="AX675" s="112">
        <v>247.96578505981003</v>
      </c>
      <c r="AY675" s="112">
        <v>260.51285378383642</v>
      </c>
      <c r="AZ675" s="112">
        <v>273.69480418529855</v>
      </c>
      <c r="BA675" s="112">
        <v>287.54376127707468</v>
      </c>
      <c r="BB675" s="112">
        <v>302.09347559769469</v>
      </c>
      <c r="BC675" s="112">
        <f t="shared" si="220"/>
        <v>317.37940546293811</v>
      </c>
      <c r="BD675" s="112">
        <f t="shared" si="220"/>
        <v>333.43880337936287</v>
      </c>
      <c r="BE675" s="112">
        <f t="shared" si="220"/>
        <v>350.31080683035867</v>
      </c>
      <c r="BF675" s="112">
        <f t="shared" si="220"/>
        <v>368.03653365597489</v>
      </c>
      <c r="BG675" s="112">
        <f t="shared" si="220"/>
        <v>386.65918225896729</v>
      </c>
    </row>
    <row r="676" spans="1:59" ht="13.75" customHeight="1" outlineLevel="1">
      <c r="B676" s="165"/>
      <c r="C676" s="165"/>
      <c r="F676" s="168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</row>
    <row r="677" spans="1:59" ht="13.75" customHeight="1" outlineLevel="1">
      <c r="B677" s="165"/>
      <c r="C677" s="165"/>
      <c r="F677" s="168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</row>
    <row r="678" spans="1:59" ht="13.75" customHeight="1" outlineLevel="1">
      <c r="B678" s="165"/>
      <c r="C678" s="165"/>
      <c r="F678" s="168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</row>
    <row r="679" spans="1:59" ht="13.75" customHeight="1" outlineLevel="1">
      <c r="B679" s="165"/>
      <c r="C679" s="165"/>
      <c r="F679" s="168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</row>
    <row r="680" spans="1:59" ht="13.75" customHeight="1" outlineLevel="1">
      <c r="B680" s="165"/>
      <c r="C680" s="165"/>
      <c r="F680" s="168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</row>
    <row r="681" spans="1:59" ht="13.75" customHeight="1" outlineLevel="1">
      <c r="B681" s="165"/>
      <c r="C681" s="165"/>
      <c r="F681" s="168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</row>
    <row r="682" spans="1:59" ht="13.75" customHeight="1" outlineLevel="1">
      <c r="B682" s="165"/>
      <c r="C682" s="165"/>
      <c r="F682" s="168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</row>
    <row r="683" spans="1:59" ht="13.75" customHeight="1" outlineLevel="1">
      <c r="B683" s="165"/>
      <c r="C683" s="165"/>
      <c r="F683" s="168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</row>
    <row r="684" spans="1:59" ht="13.75" customHeight="1" outlineLevel="1">
      <c r="B684" s="165"/>
      <c r="C684" s="165"/>
      <c r="F684" s="168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</row>
    <row r="685" spans="1:59" ht="13.75" customHeight="1" outlineLevel="1">
      <c r="B685" s="165"/>
      <c r="C685" s="165"/>
      <c r="F685" s="168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</row>
    <row r="686" spans="1:59" ht="13.75" customHeight="1" outlineLevel="1">
      <c r="B686" s="165"/>
      <c r="C686" s="165"/>
      <c r="F686" s="168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</row>
    <row r="687" spans="1:59" ht="13.75" customHeight="1" outlineLevel="1">
      <c r="B687" s="165"/>
      <c r="C687" s="165"/>
      <c r="F687" s="168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</row>
    <row r="688" spans="1:59" ht="13.75" customHeight="1">
      <c r="B688" s="165"/>
      <c r="C688" s="165"/>
      <c r="F688" s="168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</row>
    <row r="689" spans="1:59" ht="13.75" customHeight="1" outlineLevel="1">
      <c r="B689" s="165"/>
      <c r="C689" s="165"/>
      <c r="F689" s="168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</row>
    <row r="690" spans="1:59" ht="13.75" customHeight="1" outlineLevel="1">
      <c r="B690" s="165"/>
      <c r="C690" s="165"/>
      <c r="F690" s="168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</row>
    <row r="691" spans="1:59" ht="13.75" customHeight="1" outlineLevel="1">
      <c r="B691" s="165"/>
      <c r="C691" s="165"/>
      <c r="F691" s="168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</row>
    <row r="692" spans="1:59" ht="13.75" customHeight="1" outlineLevel="1">
      <c r="B692" s="165"/>
      <c r="C692" s="165"/>
      <c r="F692" s="168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</row>
    <row r="693" spans="1:59" ht="13.75" customHeight="1" outlineLevel="1">
      <c r="B693" s="165"/>
      <c r="C693" s="165"/>
      <c r="F693" s="168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</row>
    <row r="694" spans="1:59" ht="13.75" customHeight="1" outlineLevel="1">
      <c r="B694" s="165"/>
      <c r="C694" s="165"/>
      <c r="F694" s="168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</row>
    <row r="695" spans="1:59" ht="13.75" customHeight="1" outlineLevel="1">
      <c r="B695" s="165"/>
      <c r="C695" s="165"/>
      <c r="F695" s="168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</row>
    <row r="696" spans="1:59" ht="13.75" customHeight="1" outlineLevel="1">
      <c r="B696" s="165"/>
      <c r="C696" s="165"/>
      <c r="F696" s="168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</row>
    <row r="697" spans="1:59" ht="13.75" customHeight="1" outlineLevel="1">
      <c r="B697" s="165"/>
      <c r="C697" s="165"/>
      <c r="F697" s="168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</row>
    <row r="698" spans="1:59" ht="13.75" customHeight="1" outlineLevel="1">
      <c r="B698" s="165"/>
      <c r="C698" s="165"/>
      <c r="F698" s="168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</row>
    <row r="699" spans="1:59" ht="13.75" customHeight="1" outlineLevel="1">
      <c r="B699" s="165"/>
      <c r="C699" s="165"/>
      <c r="F699" s="168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7"/>
      <c r="AG699" s="109"/>
      <c r="AH699" s="109"/>
    </row>
    <row r="700" spans="1:59" ht="13.75" customHeight="1" outlineLevel="1">
      <c r="A700" s="141" t="s">
        <v>166</v>
      </c>
      <c r="B700" s="165" t="s">
        <v>623</v>
      </c>
      <c r="C700" s="165"/>
      <c r="F700" s="168" t="s">
        <v>624</v>
      </c>
      <c r="G700" s="109" t="s">
        <v>625</v>
      </c>
      <c r="Q700" s="119">
        <v>22</v>
      </c>
      <c r="R700" s="119">
        <v>13</v>
      </c>
      <c r="S700" s="119">
        <v>15</v>
      </c>
      <c r="T700" s="119">
        <v>13</v>
      </c>
      <c r="U700" s="119">
        <v>7</v>
      </c>
      <c r="V700" s="119">
        <v>4</v>
      </c>
      <c r="W700" s="161">
        <v>6</v>
      </c>
      <c r="X700" s="161">
        <v>8</v>
      </c>
      <c r="Y700" s="161">
        <v>5</v>
      </c>
      <c r="Z700" s="161">
        <v>6</v>
      </c>
      <c r="AA700" s="161">
        <v>18</v>
      </c>
      <c r="AB700" s="161">
        <v>25</v>
      </c>
      <c r="AC700" s="161">
        <v>25</v>
      </c>
      <c r="AD700" s="119">
        <v>54</v>
      </c>
      <c r="AE700" s="119">
        <v>80</v>
      </c>
      <c r="AF700" s="119">
        <v>81.430492823964173</v>
      </c>
      <c r="AG700" s="119">
        <v>62.455847815199348</v>
      </c>
      <c r="AH700" s="119">
        <v>63.846358367067211</v>
      </c>
      <c r="AI700" s="119">
        <v>67.611491518949933</v>
      </c>
      <c r="AJ700" s="119">
        <v>73.944287337458789</v>
      </c>
      <c r="AK700" s="119">
        <v>77.842589787502135</v>
      </c>
      <c r="AL700" s="119">
        <v>84.991605549779507</v>
      </c>
      <c r="AM700" s="119">
        <v>89.988389284319183</v>
      </c>
      <c r="AN700" s="119">
        <v>93.87558735714903</v>
      </c>
      <c r="AO700" s="119">
        <v>97.889566311382865</v>
      </c>
      <c r="AP700" s="119">
        <v>101.9007180481387</v>
      </c>
      <c r="AQ700" s="119">
        <v>105.90906396912001</v>
      </c>
      <c r="AR700" s="119">
        <v>109.91462528543703</v>
      </c>
      <c r="AS700" s="119">
        <v>113.91742302008326</v>
      </c>
      <c r="AT700" s="119">
        <v>117.91747801036561</v>
      </c>
      <c r="AU700" s="119">
        <v>121.91481091028911</v>
      </c>
      <c r="AV700" s="119">
        <v>125.90944219289729</v>
      </c>
      <c r="AW700" s="119">
        <v>129.90139215256949</v>
      </c>
      <c r="AX700" s="119">
        <v>133.89068090727571</v>
      </c>
      <c r="AY700" s="119">
        <v>219.66704757565088</v>
      </c>
      <c r="AZ700" s="119">
        <v>237.43205337310826</v>
      </c>
      <c r="BA700" s="119">
        <v>256.98605184278711</v>
      </c>
      <c r="BB700" s="119">
        <v>276.87989804478275</v>
      </c>
      <c r="BC700" s="119">
        <f t="shared" ref="BC700:BG700" si="221">BB700*(1+((BB700-BA700)/BA700))</f>
        <v>298.31376991692946</v>
      </c>
      <c r="BD700" s="119">
        <f t="shared" si="221"/>
        <v>321.40688417783667</v>
      </c>
      <c r="BE700" s="119">
        <f t="shared" si="221"/>
        <v>346.28768637019886</v>
      </c>
      <c r="BF700" s="119">
        <f t="shared" si="221"/>
        <v>373.094565284032</v>
      </c>
      <c r="BG700" s="119">
        <f t="shared" si="221"/>
        <v>401.9766226849589</v>
      </c>
    </row>
    <row r="701" spans="1:59" ht="13.75" customHeight="1" outlineLevel="1">
      <c r="B701" s="165"/>
      <c r="C701" s="165"/>
      <c r="F701" s="168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</row>
    <row r="702" spans="1:59" ht="13.75" customHeight="1" outlineLevel="1">
      <c r="B702" s="165"/>
      <c r="C702" s="165"/>
      <c r="F702" s="168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</row>
    <row r="703" spans="1:59" ht="13.75" customHeight="1" outlineLevel="1">
      <c r="B703" s="165"/>
      <c r="C703" s="165"/>
      <c r="F703" s="168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</row>
    <row r="704" spans="1:59" ht="13.75" customHeight="1" outlineLevel="1">
      <c r="B704" s="165"/>
      <c r="C704" s="165"/>
      <c r="F704" s="168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</row>
    <row r="705" spans="2:39" ht="13.75" customHeight="1" outlineLevel="1">
      <c r="B705" s="165"/>
      <c r="C705" s="165"/>
      <c r="F705" s="168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</row>
    <row r="706" spans="2:39" ht="13.75" customHeight="1" outlineLevel="1">
      <c r="B706" s="165"/>
      <c r="C706" s="165"/>
      <c r="F706" s="168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</row>
    <row r="707" spans="2:39" ht="13.75" customHeight="1" outlineLevel="1">
      <c r="B707" s="165"/>
      <c r="C707" s="165"/>
      <c r="F707" s="168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</row>
    <row r="708" spans="2:39" ht="13.75" customHeight="1">
      <c r="B708" s="165"/>
      <c r="C708" s="165"/>
      <c r="F708" s="168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</row>
    <row r="709" spans="2:39" ht="13.75" customHeight="1" outlineLevel="1">
      <c r="B709" s="165"/>
      <c r="C709" s="165"/>
      <c r="F709" s="168"/>
      <c r="W709" s="109"/>
      <c r="X709" s="109"/>
      <c r="Y709" s="109"/>
      <c r="Z709" s="109"/>
      <c r="AA709" s="109"/>
      <c r="AB709" s="109"/>
      <c r="AC709" s="140"/>
      <c r="AD709" s="140"/>
      <c r="AE709" s="109"/>
      <c r="AF709" s="109"/>
      <c r="AG709" s="123"/>
      <c r="AH709" s="123"/>
      <c r="AI709" s="123"/>
      <c r="AJ709" s="123"/>
      <c r="AK709" s="123"/>
      <c r="AL709" s="123"/>
      <c r="AM709" s="123"/>
    </row>
    <row r="710" spans="2:39" ht="13.75" customHeight="1" outlineLevel="1">
      <c r="B710" s="165"/>
      <c r="C710" s="165"/>
      <c r="F710" s="168"/>
      <c r="W710" s="109"/>
      <c r="X710" s="109"/>
      <c r="Y710" s="109"/>
      <c r="Z710" s="109"/>
      <c r="AA710" s="109"/>
      <c r="AB710" s="109"/>
      <c r="AC710" s="140"/>
      <c r="AD710" s="140"/>
      <c r="AE710" s="109"/>
      <c r="AF710" s="109"/>
      <c r="AG710" s="109"/>
      <c r="AH710" s="109"/>
    </row>
    <row r="711" spans="2:39" ht="13.75" customHeight="1" outlineLevel="1">
      <c r="B711" s="165"/>
      <c r="C711" s="165"/>
      <c r="F711" s="168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</row>
    <row r="712" spans="2:39" ht="13.75" customHeight="1" outlineLevel="1">
      <c r="B712" s="165"/>
      <c r="C712" s="165"/>
      <c r="F712" s="168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</row>
    <row r="713" spans="2:39" ht="13.75" customHeight="1" outlineLevel="1">
      <c r="B713" s="165"/>
      <c r="C713" s="165"/>
      <c r="F713" s="168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</row>
    <row r="714" spans="2:39" ht="13.75" customHeight="1" outlineLevel="1">
      <c r="B714" s="165"/>
      <c r="C714" s="165"/>
      <c r="F714" s="168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</row>
    <row r="715" spans="2:39" ht="13.75" customHeight="1" outlineLevel="1">
      <c r="B715" s="165"/>
      <c r="C715" s="165"/>
      <c r="F715" s="168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</row>
    <row r="716" spans="2:39" ht="13.75" customHeight="1" outlineLevel="1">
      <c r="B716" s="165"/>
      <c r="C716" s="165"/>
      <c r="F716" s="168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</row>
    <row r="717" spans="2:39" ht="13.75" customHeight="1" outlineLevel="1">
      <c r="B717" s="165"/>
      <c r="C717" s="165"/>
      <c r="F717" s="168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</row>
    <row r="718" spans="2:39" ht="13.75" customHeight="1" outlineLevel="1">
      <c r="B718" s="165"/>
      <c r="C718" s="165"/>
      <c r="F718" s="168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</row>
    <row r="719" spans="2:39" ht="13.75" customHeight="1" outlineLevel="1">
      <c r="B719" s="165"/>
      <c r="C719" s="165"/>
      <c r="F719" s="168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</row>
    <row r="720" spans="2:39" ht="13.75" customHeight="1" outlineLevel="1">
      <c r="B720" s="165"/>
      <c r="C720" s="165"/>
      <c r="F720" s="168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</row>
    <row r="721" spans="2:34" ht="13.75" customHeight="1" outlineLevel="1">
      <c r="B721" s="165"/>
      <c r="C721" s="165"/>
      <c r="F721" s="168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</row>
    <row r="722" spans="2:34" ht="13.75" customHeight="1" outlineLevel="1">
      <c r="B722" s="165"/>
      <c r="C722" s="165"/>
      <c r="F722" s="168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</row>
    <row r="723" spans="2:34" ht="13.75" customHeight="1" outlineLevel="1">
      <c r="B723" s="165"/>
      <c r="C723" s="165"/>
      <c r="F723" s="168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</row>
    <row r="724" spans="2:34" ht="13.75" customHeight="1" outlineLevel="1">
      <c r="B724" s="165"/>
      <c r="C724" s="165"/>
      <c r="F724" s="168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</row>
    <row r="725" spans="2:34" ht="13.75" customHeight="1" outlineLevel="1">
      <c r="B725" s="165"/>
      <c r="C725" s="165"/>
      <c r="F725" s="168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</row>
    <row r="726" spans="2:34" ht="13.75" customHeight="1" outlineLevel="1">
      <c r="B726" s="165"/>
      <c r="C726" s="165"/>
      <c r="F726" s="168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</row>
    <row r="727" spans="2:34" ht="13.75" customHeight="1" outlineLevel="1">
      <c r="B727" s="165"/>
      <c r="C727" s="165"/>
      <c r="F727" s="168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</row>
    <row r="728" spans="2:34" ht="13.75" customHeight="1">
      <c r="B728" s="165"/>
      <c r="C728" s="165"/>
      <c r="F728" s="168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</row>
    <row r="729" spans="2:34" ht="13.75" customHeight="1" outlineLevel="1">
      <c r="B729" s="165"/>
      <c r="C729" s="165"/>
      <c r="F729" s="168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</row>
    <row r="730" spans="2:34" ht="13.75" customHeight="1" outlineLevel="1">
      <c r="B730" s="165"/>
      <c r="C730" s="165"/>
      <c r="F730" s="168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</row>
    <row r="731" spans="2:34" ht="13.75" customHeight="1" outlineLevel="1">
      <c r="B731" s="165"/>
      <c r="C731" s="165"/>
      <c r="F731" s="168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</row>
    <row r="732" spans="2:34" ht="13.75" customHeight="1" outlineLevel="1">
      <c r="B732" s="165"/>
      <c r="C732" s="165"/>
      <c r="F732" s="168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</row>
    <row r="733" spans="2:34" ht="13.75" customHeight="1" outlineLevel="1">
      <c r="B733" s="165"/>
      <c r="C733" s="165"/>
      <c r="F733" s="168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</row>
    <row r="734" spans="2:34" ht="13.75" customHeight="1" outlineLevel="1">
      <c r="B734" s="165"/>
      <c r="C734" s="165"/>
      <c r="F734" s="168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</row>
    <row r="735" spans="2:34" ht="13.75" customHeight="1" outlineLevel="1">
      <c r="B735" s="165"/>
      <c r="C735" s="165"/>
      <c r="F735" s="168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</row>
    <row r="736" spans="2:34" ht="13.75" customHeight="1" outlineLevel="1">
      <c r="B736" s="165"/>
      <c r="C736" s="165"/>
      <c r="F736" s="168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</row>
    <row r="737" spans="1:59" ht="13.75" customHeight="1" outlineLevel="1">
      <c r="B737" s="165"/>
      <c r="C737" s="165"/>
      <c r="F737" s="168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</row>
    <row r="738" spans="1:59" ht="13.75" customHeight="1" outlineLevel="1">
      <c r="B738" s="165"/>
      <c r="C738" s="165"/>
      <c r="F738" s="168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</row>
    <row r="739" spans="1:59" ht="13.75" customHeight="1" outlineLevel="1">
      <c r="B739" s="165"/>
      <c r="C739" s="165"/>
      <c r="F739" s="168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</row>
    <row r="740" spans="1:59" ht="13.75" customHeight="1" outlineLevel="1">
      <c r="B740" s="165"/>
      <c r="C740" s="165"/>
      <c r="F740" s="168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</row>
    <row r="741" spans="1:59" ht="13.75" customHeight="1" outlineLevel="1">
      <c r="B741" s="165"/>
      <c r="C741" s="165"/>
      <c r="F741" s="168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</row>
    <row r="742" spans="1:59" ht="13.75" customHeight="1" outlineLevel="1">
      <c r="B742" s="165"/>
      <c r="C742" s="165"/>
      <c r="F742" s="168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</row>
    <row r="743" spans="1:59" ht="13.75" customHeight="1" outlineLevel="1">
      <c r="B743" s="165"/>
      <c r="C743" s="165"/>
      <c r="F743" s="168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</row>
    <row r="744" spans="1:59" ht="13.75" customHeight="1" outlineLevel="1">
      <c r="B744" s="165"/>
      <c r="C744" s="165"/>
      <c r="F744" s="168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</row>
    <row r="745" spans="1:59" ht="13.75" customHeight="1" outlineLevel="1">
      <c r="B745" s="165"/>
      <c r="C745" s="165"/>
      <c r="F745" s="168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</row>
    <row r="746" spans="1:59" ht="13.75" customHeight="1" outlineLevel="1">
      <c r="B746" s="165"/>
      <c r="C746" s="165"/>
      <c r="F746" s="168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</row>
    <row r="747" spans="1:59" ht="13.75" customHeight="1" outlineLevel="1">
      <c r="B747" s="165"/>
      <c r="C747" s="165"/>
      <c r="F747" s="168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</row>
    <row r="748" spans="1:59" ht="13.75" customHeight="1">
      <c r="B748" s="165"/>
      <c r="C748" s="165"/>
      <c r="F748" s="168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</row>
    <row r="749" spans="1:59" ht="13.75" customHeight="1" outlineLevel="1">
      <c r="B749" s="165"/>
      <c r="C749" s="165"/>
      <c r="F749" s="168"/>
      <c r="W749" s="109"/>
      <c r="X749" s="109"/>
      <c r="Y749" s="109"/>
      <c r="Z749" s="109"/>
      <c r="AA749" s="123"/>
      <c r="AB749" s="123"/>
      <c r="AC749" s="123"/>
      <c r="AD749" s="123"/>
      <c r="AE749" s="109"/>
      <c r="AF749" s="109"/>
      <c r="AG749" s="109"/>
      <c r="AH749" s="109"/>
    </row>
    <row r="750" spans="1:59" ht="13.75" customHeight="1" outlineLevel="1">
      <c r="A750" s="141" t="s">
        <v>166</v>
      </c>
      <c r="B750" s="165" t="s">
        <v>626</v>
      </c>
      <c r="C750" s="165"/>
      <c r="D750" s="142" t="s">
        <v>168</v>
      </c>
      <c r="E750" s="109" t="s">
        <v>627</v>
      </c>
      <c r="F750" s="168" t="s">
        <v>627</v>
      </c>
      <c r="G750" s="109" t="s">
        <v>3</v>
      </c>
      <c r="H750" s="109" t="s">
        <v>628</v>
      </c>
      <c r="W750" s="109"/>
      <c r="X750" s="107">
        <v>-0.19223098569402142</v>
      </c>
      <c r="Y750" s="107">
        <v>-6.7031162424513457E-3</v>
      </c>
      <c r="Z750" s="107">
        <v>5.4655061043752173E-2</v>
      </c>
      <c r="AA750" s="107">
        <v>5.9797316063086692E-2</v>
      </c>
      <c r="AB750" s="107">
        <v>-3.1308734691344431E-2</v>
      </c>
      <c r="AC750" s="107">
        <v>1.1460802108551604E-2</v>
      </c>
      <c r="AD750" s="107">
        <v>0.495564974588387</v>
      </c>
      <c r="AE750" s="107">
        <v>7.0624291330132927E-2</v>
      </c>
      <c r="AF750" s="107">
        <v>-0.17</v>
      </c>
      <c r="AG750" s="107">
        <f>4%-1%</f>
        <v>0.03</v>
      </c>
      <c r="AH750" s="107">
        <v>3.5000000000000003E-2</v>
      </c>
      <c r="AI750" s="107">
        <v>1.54E-2</v>
      </c>
      <c r="AJ750" s="107">
        <f>1.54%-1%</f>
        <v>5.4000000000000003E-3</v>
      </c>
      <c r="AK750" s="107">
        <f t="shared" ref="AK750:AM750" si="222">1.54%-1%</f>
        <v>5.4000000000000003E-3</v>
      </c>
      <c r="AL750" s="107">
        <f t="shared" si="222"/>
        <v>5.4000000000000003E-3</v>
      </c>
      <c r="AM750" s="107">
        <f t="shared" si="222"/>
        <v>5.4000000000000003E-3</v>
      </c>
      <c r="AN750" s="107">
        <f t="shared" ref="AN750:BC760" si="223">+AM750</f>
        <v>5.4000000000000003E-3</v>
      </c>
      <c r="AO750" s="107">
        <f t="shared" si="223"/>
        <v>5.4000000000000003E-3</v>
      </c>
      <c r="AP750" s="107">
        <f t="shared" si="223"/>
        <v>5.4000000000000003E-3</v>
      </c>
      <c r="AQ750" s="107">
        <f t="shared" si="223"/>
        <v>5.4000000000000003E-3</v>
      </c>
      <c r="AR750" s="107">
        <f t="shared" si="223"/>
        <v>5.4000000000000003E-3</v>
      </c>
      <c r="AS750" s="107">
        <f t="shared" si="223"/>
        <v>5.4000000000000003E-3</v>
      </c>
      <c r="AT750" s="107">
        <f t="shared" si="223"/>
        <v>5.4000000000000003E-3</v>
      </c>
      <c r="AU750" s="107">
        <f t="shared" si="223"/>
        <v>5.4000000000000003E-3</v>
      </c>
      <c r="AV750" s="107">
        <f t="shared" si="223"/>
        <v>5.4000000000000003E-3</v>
      </c>
      <c r="AW750" s="107">
        <f t="shared" si="223"/>
        <v>5.4000000000000003E-3</v>
      </c>
      <c r="AX750" s="107">
        <f t="shared" si="223"/>
        <v>5.4000000000000003E-3</v>
      </c>
      <c r="AY750" s="107">
        <f t="shared" si="223"/>
        <v>5.4000000000000003E-3</v>
      </c>
      <c r="AZ750" s="107">
        <f t="shared" si="223"/>
        <v>5.4000000000000003E-3</v>
      </c>
      <c r="BA750" s="107">
        <f t="shared" si="223"/>
        <v>5.4000000000000003E-3</v>
      </c>
      <c r="BB750" s="107">
        <f t="shared" si="223"/>
        <v>5.4000000000000003E-3</v>
      </c>
      <c r="BC750" s="107">
        <f t="shared" si="223"/>
        <v>5.4000000000000003E-3</v>
      </c>
      <c r="BD750" s="107">
        <f t="shared" ref="AX750:BG758" si="224">+BC750</f>
        <v>5.4000000000000003E-3</v>
      </c>
      <c r="BE750" s="107">
        <f t="shared" si="224"/>
        <v>5.4000000000000003E-3</v>
      </c>
      <c r="BF750" s="107">
        <f t="shared" si="224"/>
        <v>5.4000000000000003E-3</v>
      </c>
      <c r="BG750" s="107">
        <f t="shared" si="224"/>
        <v>5.4000000000000003E-3</v>
      </c>
    </row>
    <row r="751" spans="1:59" ht="13.75" customHeight="1" outlineLevel="1">
      <c r="A751" s="141" t="s">
        <v>166</v>
      </c>
      <c r="B751" s="165" t="s">
        <v>626</v>
      </c>
      <c r="C751" s="165"/>
      <c r="D751" s="142" t="s">
        <v>168</v>
      </c>
      <c r="E751" s="109" t="s">
        <v>629</v>
      </c>
      <c r="F751" s="168" t="s">
        <v>629</v>
      </c>
      <c r="G751" s="109" t="s">
        <v>3</v>
      </c>
      <c r="H751" s="109" t="s">
        <v>630</v>
      </c>
      <c r="W751" s="109"/>
      <c r="X751" s="107">
        <v>-0.19164163611645157</v>
      </c>
      <c r="Y751" s="107">
        <v>-0.12624122808495675</v>
      </c>
      <c r="Z751" s="107">
        <v>0.12470586704411879</v>
      </c>
      <c r="AA751" s="107">
        <v>0.1226329484888582</v>
      </c>
      <c r="AB751" s="107">
        <v>-0.13765718279790518</v>
      </c>
      <c r="AC751" s="107">
        <v>-1.9079336718261897E-2</v>
      </c>
      <c r="AD751" s="107">
        <v>0.46661453684939214</v>
      </c>
      <c r="AE751" s="107">
        <v>-5.9771736050965307E-3</v>
      </c>
      <c r="AF751" s="107">
        <v>-0.2</v>
      </c>
      <c r="AG751" s="107">
        <f>6.5%-1%</f>
        <v>5.5E-2</v>
      </c>
      <c r="AH751" s="107">
        <v>4.4999999999999998E-2</v>
      </c>
      <c r="AI751" s="107">
        <v>1.3999999999999999E-2</v>
      </c>
      <c r="AJ751" s="107">
        <f>1.4%-1%</f>
        <v>3.9999999999999983E-3</v>
      </c>
      <c r="AK751" s="107">
        <f t="shared" ref="AK751:AM751" si="225">1.4%-1%</f>
        <v>3.9999999999999983E-3</v>
      </c>
      <c r="AL751" s="107">
        <f t="shared" si="225"/>
        <v>3.9999999999999983E-3</v>
      </c>
      <c r="AM751" s="107">
        <f t="shared" si="225"/>
        <v>3.9999999999999983E-3</v>
      </c>
      <c r="AN751" s="107">
        <f t="shared" si="223"/>
        <v>3.9999999999999983E-3</v>
      </c>
      <c r="AO751" s="107">
        <f t="shared" si="223"/>
        <v>3.9999999999999983E-3</v>
      </c>
      <c r="AP751" s="107">
        <f t="shared" si="223"/>
        <v>3.9999999999999983E-3</v>
      </c>
      <c r="AQ751" s="107">
        <f t="shared" si="223"/>
        <v>3.9999999999999983E-3</v>
      </c>
      <c r="AR751" s="107">
        <f t="shared" si="223"/>
        <v>3.9999999999999983E-3</v>
      </c>
      <c r="AS751" s="107">
        <f t="shared" si="223"/>
        <v>3.9999999999999983E-3</v>
      </c>
      <c r="AT751" s="107">
        <f t="shared" si="223"/>
        <v>3.9999999999999983E-3</v>
      </c>
      <c r="AU751" s="107">
        <f t="shared" si="223"/>
        <v>3.9999999999999983E-3</v>
      </c>
      <c r="AV751" s="107">
        <f t="shared" si="223"/>
        <v>3.9999999999999983E-3</v>
      </c>
      <c r="AW751" s="107">
        <f t="shared" si="223"/>
        <v>3.9999999999999983E-3</v>
      </c>
      <c r="AX751" s="107">
        <f t="shared" si="224"/>
        <v>3.9999999999999983E-3</v>
      </c>
      <c r="AY751" s="107">
        <f t="shared" si="224"/>
        <v>3.9999999999999983E-3</v>
      </c>
      <c r="AZ751" s="107">
        <f t="shared" si="224"/>
        <v>3.9999999999999983E-3</v>
      </c>
      <c r="BA751" s="107">
        <f t="shared" si="224"/>
        <v>3.9999999999999983E-3</v>
      </c>
      <c r="BB751" s="107">
        <f t="shared" si="224"/>
        <v>3.9999999999999983E-3</v>
      </c>
      <c r="BC751" s="107">
        <f t="shared" si="224"/>
        <v>3.9999999999999983E-3</v>
      </c>
      <c r="BD751" s="107">
        <f t="shared" si="224"/>
        <v>3.9999999999999983E-3</v>
      </c>
      <c r="BE751" s="107">
        <f t="shared" si="224"/>
        <v>3.9999999999999983E-3</v>
      </c>
      <c r="BF751" s="107">
        <f t="shared" si="224"/>
        <v>3.9999999999999983E-3</v>
      </c>
      <c r="BG751" s="107">
        <f t="shared" si="224"/>
        <v>3.9999999999999983E-3</v>
      </c>
    </row>
    <row r="752" spans="1:59" ht="13.75" customHeight="1" outlineLevel="1">
      <c r="A752" s="141" t="s">
        <v>166</v>
      </c>
      <c r="B752" s="165" t="s">
        <v>626</v>
      </c>
      <c r="C752" s="165"/>
      <c r="D752" s="170" t="s">
        <v>168</v>
      </c>
      <c r="E752" s="109" t="s">
        <v>631</v>
      </c>
      <c r="F752" s="168" t="s">
        <v>631</v>
      </c>
      <c r="G752" s="109" t="s">
        <v>3</v>
      </c>
      <c r="H752" s="109" t="s">
        <v>630</v>
      </c>
      <c r="W752" s="109"/>
      <c r="X752" s="107">
        <v>-8.5655611966961698E-2</v>
      </c>
      <c r="Y752" s="107">
        <v>-0.10498924685030631</v>
      </c>
      <c r="Z752" s="107">
        <v>0.11276921767664239</v>
      </c>
      <c r="AA752" s="107">
        <v>0.36938169521787434</v>
      </c>
      <c r="AB752" s="107">
        <v>-0.31272441704725606</v>
      </c>
      <c r="AC752" s="107">
        <v>-9.4299367224451869E-2</v>
      </c>
      <c r="AD752" s="107">
        <v>0.50654120741936648</v>
      </c>
      <c r="AE752" s="107">
        <v>7.8846435388632674E-2</v>
      </c>
      <c r="AF752" s="107">
        <v>-0.2</v>
      </c>
      <c r="AG752" s="107">
        <f>1.31428571428571%-1%</f>
        <v>3.1428571428571001E-3</v>
      </c>
      <c r="AH752" s="107">
        <v>0.10998307952622666</v>
      </c>
      <c r="AI752" s="107">
        <v>4.2682926829268331E-2</v>
      </c>
      <c r="AJ752" s="107">
        <f>1.44%-1%</f>
        <v>4.3999999999999994E-3</v>
      </c>
      <c r="AK752" s="107">
        <f t="shared" ref="AK752:AM753" si="226">1.44%-1%</f>
        <v>4.3999999999999994E-3</v>
      </c>
      <c r="AL752" s="107">
        <f t="shared" si="226"/>
        <v>4.3999999999999994E-3</v>
      </c>
      <c r="AM752" s="107">
        <f t="shared" si="226"/>
        <v>4.3999999999999994E-3</v>
      </c>
      <c r="AN752" s="107">
        <f t="shared" si="223"/>
        <v>4.3999999999999994E-3</v>
      </c>
      <c r="AO752" s="107">
        <f t="shared" si="223"/>
        <v>4.3999999999999994E-3</v>
      </c>
      <c r="AP752" s="107">
        <f t="shared" si="223"/>
        <v>4.3999999999999994E-3</v>
      </c>
      <c r="AQ752" s="107">
        <f t="shared" si="223"/>
        <v>4.3999999999999994E-3</v>
      </c>
      <c r="AR752" s="107">
        <f t="shared" si="223"/>
        <v>4.3999999999999994E-3</v>
      </c>
      <c r="AS752" s="107">
        <f t="shared" si="223"/>
        <v>4.3999999999999994E-3</v>
      </c>
      <c r="AT752" s="107">
        <f t="shared" si="223"/>
        <v>4.3999999999999994E-3</v>
      </c>
      <c r="AU752" s="107">
        <f t="shared" si="223"/>
        <v>4.3999999999999994E-3</v>
      </c>
      <c r="AV752" s="107">
        <f t="shared" si="223"/>
        <v>4.3999999999999994E-3</v>
      </c>
      <c r="AW752" s="107">
        <f t="shared" si="223"/>
        <v>4.3999999999999994E-3</v>
      </c>
      <c r="AX752" s="107">
        <f t="shared" si="224"/>
        <v>4.3999999999999994E-3</v>
      </c>
      <c r="AY752" s="107">
        <f t="shared" si="224"/>
        <v>4.3999999999999994E-3</v>
      </c>
      <c r="AZ752" s="107">
        <f t="shared" si="224"/>
        <v>4.3999999999999994E-3</v>
      </c>
      <c r="BA752" s="107">
        <f t="shared" si="224"/>
        <v>4.3999999999999994E-3</v>
      </c>
      <c r="BB752" s="107">
        <f t="shared" si="224"/>
        <v>4.3999999999999994E-3</v>
      </c>
      <c r="BC752" s="107">
        <f t="shared" si="224"/>
        <v>4.3999999999999994E-3</v>
      </c>
      <c r="BD752" s="107">
        <f t="shared" si="224"/>
        <v>4.3999999999999994E-3</v>
      </c>
      <c r="BE752" s="107">
        <f t="shared" si="224"/>
        <v>4.3999999999999994E-3</v>
      </c>
      <c r="BF752" s="107">
        <f t="shared" si="224"/>
        <v>4.3999999999999994E-3</v>
      </c>
      <c r="BG752" s="107">
        <f t="shared" si="224"/>
        <v>4.3999999999999994E-3</v>
      </c>
    </row>
    <row r="753" spans="1:59" ht="13.75" customHeight="1" outlineLevel="1">
      <c r="A753" s="141" t="s">
        <v>166</v>
      </c>
      <c r="B753" s="165" t="s">
        <v>626</v>
      </c>
      <c r="C753" s="165"/>
      <c r="D753" s="142" t="s">
        <v>168</v>
      </c>
      <c r="E753" s="109" t="s">
        <v>632</v>
      </c>
      <c r="F753" s="168" t="s">
        <v>632</v>
      </c>
      <c r="G753" s="109" t="s">
        <v>3</v>
      </c>
      <c r="H753" s="109" t="s">
        <v>630</v>
      </c>
      <c r="W753" s="109"/>
      <c r="X753" s="107">
        <v>-5.0314239736676258E-2</v>
      </c>
      <c r="Y753" s="107">
        <v>-7.3835905383325962E-2</v>
      </c>
      <c r="Z753" s="107">
        <v>0.16064006384648377</v>
      </c>
      <c r="AA753" s="107">
        <v>0.2899839166908198</v>
      </c>
      <c r="AB753" s="107">
        <v>-0.25064239992974113</v>
      </c>
      <c r="AC753" s="107">
        <v>-0.21571183086213597</v>
      </c>
      <c r="AD753" s="107">
        <v>0.41374595520237367</v>
      </c>
      <c r="AE753" s="107">
        <v>0.13696280185315746</v>
      </c>
      <c r="AF753" s="107">
        <v>-0.25</v>
      </c>
      <c r="AG753" s="107">
        <f>-0.365764447695671%-1%</f>
        <v>-1.365764447695671E-2</v>
      </c>
      <c r="AH753" s="107">
        <v>0.19823788546255505</v>
      </c>
      <c r="AI753" s="107">
        <v>1.4705882352941124E-2</v>
      </c>
      <c r="AJ753" s="107">
        <f>1.44%-1%</f>
        <v>4.3999999999999994E-3</v>
      </c>
      <c r="AK753" s="107">
        <f t="shared" si="226"/>
        <v>4.3999999999999994E-3</v>
      </c>
      <c r="AL753" s="107">
        <f t="shared" si="226"/>
        <v>4.3999999999999994E-3</v>
      </c>
      <c r="AM753" s="107">
        <f t="shared" si="226"/>
        <v>4.3999999999999994E-3</v>
      </c>
      <c r="AN753" s="107">
        <f t="shared" si="223"/>
        <v>4.3999999999999994E-3</v>
      </c>
      <c r="AO753" s="107">
        <f t="shared" si="223"/>
        <v>4.3999999999999994E-3</v>
      </c>
      <c r="AP753" s="107">
        <f t="shared" si="223"/>
        <v>4.3999999999999994E-3</v>
      </c>
      <c r="AQ753" s="107">
        <f t="shared" si="223"/>
        <v>4.3999999999999994E-3</v>
      </c>
      <c r="AR753" s="107">
        <f t="shared" si="223"/>
        <v>4.3999999999999994E-3</v>
      </c>
      <c r="AS753" s="107">
        <f t="shared" si="223"/>
        <v>4.3999999999999994E-3</v>
      </c>
      <c r="AT753" s="107">
        <f t="shared" si="223"/>
        <v>4.3999999999999994E-3</v>
      </c>
      <c r="AU753" s="107">
        <f t="shared" si="223"/>
        <v>4.3999999999999994E-3</v>
      </c>
      <c r="AV753" s="107">
        <f t="shared" si="223"/>
        <v>4.3999999999999994E-3</v>
      </c>
      <c r="AW753" s="107">
        <f t="shared" si="223"/>
        <v>4.3999999999999994E-3</v>
      </c>
      <c r="AX753" s="107">
        <f t="shared" si="224"/>
        <v>4.3999999999999994E-3</v>
      </c>
      <c r="AY753" s="107">
        <f t="shared" si="224"/>
        <v>4.3999999999999994E-3</v>
      </c>
      <c r="AZ753" s="107">
        <f t="shared" si="224"/>
        <v>4.3999999999999994E-3</v>
      </c>
      <c r="BA753" s="107">
        <f t="shared" si="224"/>
        <v>4.3999999999999994E-3</v>
      </c>
      <c r="BB753" s="107">
        <f t="shared" si="224"/>
        <v>4.3999999999999994E-3</v>
      </c>
      <c r="BC753" s="107">
        <f t="shared" si="224"/>
        <v>4.3999999999999994E-3</v>
      </c>
      <c r="BD753" s="107">
        <f t="shared" si="224"/>
        <v>4.3999999999999994E-3</v>
      </c>
      <c r="BE753" s="107">
        <f t="shared" si="224"/>
        <v>4.3999999999999994E-3</v>
      </c>
      <c r="BF753" s="107">
        <f t="shared" si="224"/>
        <v>4.3999999999999994E-3</v>
      </c>
      <c r="BG753" s="107">
        <f t="shared" si="224"/>
        <v>4.3999999999999994E-3</v>
      </c>
    </row>
    <row r="754" spans="1:59" ht="13.75" customHeight="1" outlineLevel="1">
      <c r="A754" s="141" t="s">
        <v>166</v>
      </c>
      <c r="B754" s="165" t="s">
        <v>626</v>
      </c>
      <c r="C754" s="165"/>
      <c r="D754" s="142" t="s">
        <v>168</v>
      </c>
      <c r="E754" s="109" t="s">
        <v>633</v>
      </c>
      <c r="F754" s="168" t="s">
        <v>633</v>
      </c>
      <c r="G754" s="109" t="s">
        <v>3</v>
      </c>
      <c r="H754" s="109" t="s">
        <v>630</v>
      </c>
      <c r="W754" s="109"/>
      <c r="X754" s="107">
        <v>-0.18478542697723521</v>
      </c>
      <c r="Y754" s="107">
        <v>-3.4354423245972598E-2</v>
      </c>
      <c r="Z754" s="107">
        <v>0.16777302989984633</v>
      </c>
      <c r="AA754" s="107">
        <v>0.31179042447746386</v>
      </c>
      <c r="AB754" s="107">
        <v>-0.2220932716184405</v>
      </c>
      <c r="AC754" s="107">
        <v>-0.22647187646199729</v>
      </c>
      <c r="AD754" s="107">
        <v>0.51110815705544743</v>
      </c>
      <c r="AE754" s="107">
        <v>-4.6978295867671327E-2</v>
      </c>
      <c r="AF754" s="107">
        <v>-0.14761999999999997</v>
      </c>
      <c r="AG754" s="107">
        <f>4.97716%-1%</f>
        <v>3.9771599999999997E-2</v>
      </c>
      <c r="AH754" s="107">
        <v>0.13945532994923851</v>
      </c>
      <c r="AI754" s="107">
        <v>7.7128658536585404E-2</v>
      </c>
      <c r="AJ754" s="107">
        <f t="shared" ref="AJ754:AM756" si="227">1.24%-1%</f>
        <v>2.3999999999999994E-3</v>
      </c>
      <c r="AK754" s="107">
        <f t="shared" si="227"/>
        <v>2.3999999999999994E-3</v>
      </c>
      <c r="AL754" s="107">
        <f t="shared" si="227"/>
        <v>2.3999999999999994E-3</v>
      </c>
      <c r="AM754" s="107">
        <f t="shared" si="227"/>
        <v>2.3999999999999994E-3</v>
      </c>
      <c r="AN754" s="107">
        <f t="shared" si="223"/>
        <v>2.3999999999999994E-3</v>
      </c>
      <c r="AO754" s="107">
        <f t="shared" si="223"/>
        <v>2.3999999999999994E-3</v>
      </c>
      <c r="AP754" s="107">
        <f t="shared" si="223"/>
        <v>2.3999999999999994E-3</v>
      </c>
      <c r="AQ754" s="107">
        <f t="shared" si="223"/>
        <v>2.3999999999999994E-3</v>
      </c>
      <c r="AR754" s="107">
        <f t="shared" si="223"/>
        <v>2.3999999999999994E-3</v>
      </c>
      <c r="AS754" s="107">
        <f t="shared" si="223"/>
        <v>2.3999999999999994E-3</v>
      </c>
      <c r="AT754" s="107">
        <f t="shared" si="223"/>
        <v>2.3999999999999994E-3</v>
      </c>
      <c r="AU754" s="107">
        <f t="shared" si="223"/>
        <v>2.3999999999999994E-3</v>
      </c>
      <c r="AV754" s="107">
        <f t="shared" si="223"/>
        <v>2.3999999999999994E-3</v>
      </c>
      <c r="AW754" s="107">
        <f t="shared" si="223"/>
        <v>2.3999999999999994E-3</v>
      </c>
      <c r="AX754" s="107">
        <f t="shared" si="224"/>
        <v>2.3999999999999994E-3</v>
      </c>
      <c r="AY754" s="107">
        <f t="shared" si="224"/>
        <v>2.3999999999999994E-3</v>
      </c>
      <c r="AZ754" s="107">
        <f t="shared" si="224"/>
        <v>2.3999999999999994E-3</v>
      </c>
      <c r="BA754" s="107">
        <f t="shared" si="224"/>
        <v>2.3999999999999994E-3</v>
      </c>
      <c r="BB754" s="107">
        <f t="shared" si="224"/>
        <v>2.3999999999999994E-3</v>
      </c>
      <c r="BC754" s="107">
        <f t="shared" si="224"/>
        <v>2.3999999999999994E-3</v>
      </c>
      <c r="BD754" s="107">
        <f t="shared" si="224"/>
        <v>2.3999999999999994E-3</v>
      </c>
      <c r="BE754" s="107">
        <f t="shared" si="224"/>
        <v>2.3999999999999994E-3</v>
      </c>
      <c r="BF754" s="107">
        <f t="shared" si="224"/>
        <v>2.3999999999999994E-3</v>
      </c>
      <c r="BG754" s="107">
        <f t="shared" si="224"/>
        <v>2.3999999999999994E-3</v>
      </c>
    </row>
    <row r="755" spans="1:59" ht="13.75" customHeight="1" outlineLevel="1">
      <c r="A755" s="141" t="s">
        <v>166</v>
      </c>
      <c r="B755" s="165" t="s">
        <v>626</v>
      </c>
      <c r="C755" s="165"/>
      <c r="D755" s="142" t="s">
        <v>168</v>
      </c>
      <c r="E755" s="109" t="s">
        <v>634</v>
      </c>
      <c r="F755" s="168" t="s">
        <v>634</v>
      </c>
      <c r="G755" s="109" t="s">
        <v>3</v>
      </c>
      <c r="H755" s="109" t="s">
        <v>630</v>
      </c>
      <c r="W755" s="109"/>
      <c r="X755" s="107">
        <v>-0.14607224672400509</v>
      </c>
      <c r="Y755" s="107">
        <v>-8.7019617347763867E-2</v>
      </c>
      <c r="Z755" s="107">
        <v>8.3136808896251857E-2</v>
      </c>
      <c r="AA755" s="107">
        <v>0.2161700742120336</v>
      </c>
      <c r="AB755" s="107">
        <v>-1.1329868789465958E-2</v>
      </c>
      <c r="AC755" s="107">
        <v>-0.1907095251025408</v>
      </c>
      <c r="AD755" s="107">
        <v>0.25162596412204841</v>
      </c>
      <c r="AE755" s="107">
        <v>0.24744950170240676</v>
      </c>
      <c r="AF755" s="107">
        <v>-0.20938599999999993</v>
      </c>
      <c r="AG755" s="107">
        <f>2.95322228571428%-1%</f>
        <v>1.9532222857142803E-2</v>
      </c>
      <c r="AH755" s="107">
        <v>0.13808333333333325</v>
      </c>
      <c r="AI755" s="107">
        <v>6.2644573170731743E-2</v>
      </c>
      <c r="AJ755" s="107">
        <f t="shared" si="227"/>
        <v>2.3999999999999994E-3</v>
      </c>
      <c r="AK755" s="107">
        <f t="shared" si="227"/>
        <v>2.3999999999999994E-3</v>
      </c>
      <c r="AL755" s="107">
        <f t="shared" si="227"/>
        <v>2.3999999999999994E-3</v>
      </c>
      <c r="AM755" s="107">
        <f t="shared" si="227"/>
        <v>2.3999999999999994E-3</v>
      </c>
      <c r="AN755" s="107">
        <f t="shared" si="223"/>
        <v>2.3999999999999994E-3</v>
      </c>
      <c r="AO755" s="107">
        <f t="shared" si="223"/>
        <v>2.3999999999999994E-3</v>
      </c>
      <c r="AP755" s="107">
        <f t="shared" si="223"/>
        <v>2.3999999999999994E-3</v>
      </c>
      <c r="AQ755" s="107">
        <f t="shared" si="223"/>
        <v>2.3999999999999994E-3</v>
      </c>
      <c r="AR755" s="107">
        <f t="shared" si="223"/>
        <v>2.3999999999999994E-3</v>
      </c>
      <c r="AS755" s="107">
        <f t="shared" si="223"/>
        <v>2.3999999999999994E-3</v>
      </c>
      <c r="AT755" s="107">
        <f t="shared" si="223"/>
        <v>2.3999999999999994E-3</v>
      </c>
      <c r="AU755" s="107">
        <f t="shared" si="223"/>
        <v>2.3999999999999994E-3</v>
      </c>
      <c r="AV755" s="107">
        <f t="shared" si="223"/>
        <v>2.3999999999999994E-3</v>
      </c>
      <c r="AW755" s="107">
        <f t="shared" si="223"/>
        <v>2.3999999999999994E-3</v>
      </c>
      <c r="AX755" s="107">
        <f t="shared" si="224"/>
        <v>2.3999999999999994E-3</v>
      </c>
      <c r="AY755" s="107">
        <f t="shared" si="224"/>
        <v>2.3999999999999994E-3</v>
      </c>
      <c r="AZ755" s="107">
        <f t="shared" si="224"/>
        <v>2.3999999999999994E-3</v>
      </c>
      <c r="BA755" s="107">
        <f t="shared" si="224"/>
        <v>2.3999999999999994E-3</v>
      </c>
      <c r="BB755" s="107">
        <f t="shared" si="224"/>
        <v>2.3999999999999994E-3</v>
      </c>
      <c r="BC755" s="107">
        <f t="shared" si="224"/>
        <v>2.3999999999999994E-3</v>
      </c>
      <c r="BD755" s="107">
        <f t="shared" si="224"/>
        <v>2.3999999999999994E-3</v>
      </c>
      <c r="BE755" s="107">
        <f t="shared" si="224"/>
        <v>2.3999999999999994E-3</v>
      </c>
      <c r="BF755" s="107">
        <f t="shared" si="224"/>
        <v>2.3999999999999994E-3</v>
      </c>
      <c r="BG755" s="107">
        <f t="shared" si="224"/>
        <v>2.3999999999999994E-3</v>
      </c>
    </row>
    <row r="756" spans="1:59" ht="13.75" customHeight="1" outlineLevel="1">
      <c r="A756" s="141" t="s">
        <v>166</v>
      </c>
      <c r="B756" s="165" t="s">
        <v>626</v>
      </c>
      <c r="C756" s="165"/>
      <c r="D756" s="142" t="s">
        <v>168</v>
      </c>
      <c r="E756" s="109" t="s">
        <v>635</v>
      </c>
      <c r="F756" s="168" t="s">
        <v>635</v>
      </c>
      <c r="G756" s="109" t="s">
        <v>3</v>
      </c>
      <c r="H756" s="109" t="s">
        <v>630</v>
      </c>
      <c r="W756" s="109"/>
      <c r="X756" s="107">
        <v>-0.21166955777901131</v>
      </c>
      <c r="Y756" s="107">
        <v>-2.4111321226262916E-2</v>
      </c>
      <c r="Z756" s="107">
        <v>0.17704977657392029</v>
      </c>
      <c r="AA756" s="107">
        <v>0.17172773495189664</v>
      </c>
      <c r="AB756" s="107">
        <v>-0.1584286555004093</v>
      </c>
      <c r="AC756" s="107">
        <v>-0.22629852956405783</v>
      </c>
      <c r="AD756" s="107">
        <v>0.40980419185987471</v>
      </c>
      <c r="AE756" s="107">
        <v>5.5164621288595894E-2</v>
      </c>
      <c r="AF756" s="107">
        <v>-0.17529999999999996</v>
      </c>
      <c r="AG756" s="107">
        <f>5.78782857142857%-1%</f>
        <v>4.78782857142857E-2</v>
      </c>
      <c r="AH756" s="107">
        <v>0.16382148900169197</v>
      </c>
      <c r="AI756" s="107">
        <v>9.0195121951219565E-2</v>
      </c>
      <c r="AJ756" s="107">
        <f t="shared" si="227"/>
        <v>2.3999999999999994E-3</v>
      </c>
      <c r="AK756" s="107">
        <f t="shared" si="227"/>
        <v>2.3999999999999994E-3</v>
      </c>
      <c r="AL756" s="107">
        <f t="shared" si="227"/>
        <v>2.3999999999999994E-3</v>
      </c>
      <c r="AM756" s="107">
        <f t="shared" si="227"/>
        <v>2.3999999999999994E-3</v>
      </c>
      <c r="AN756" s="107">
        <f t="shared" si="223"/>
        <v>2.3999999999999994E-3</v>
      </c>
      <c r="AO756" s="107">
        <f t="shared" si="223"/>
        <v>2.3999999999999994E-3</v>
      </c>
      <c r="AP756" s="107">
        <f t="shared" si="223"/>
        <v>2.3999999999999994E-3</v>
      </c>
      <c r="AQ756" s="107">
        <f t="shared" si="223"/>
        <v>2.3999999999999994E-3</v>
      </c>
      <c r="AR756" s="107">
        <f t="shared" si="223"/>
        <v>2.3999999999999994E-3</v>
      </c>
      <c r="AS756" s="107">
        <f t="shared" si="223"/>
        <v>2.3999999999999994E-3</v>
      </c>
      <c r="AT756" s="107">
        <f t="shared" si="223"/>
        <v>2.3999999999999994E-3</v>
      </c>
      <c r="AU756" s="107">
        <f t="shared" si="223"/>
        <v>2.3999999999999994E-3</v>
      </c>
      <c r="AV756" s="107">
        <f t="shared" si="223"/>
        <v>2.3999999999999994E-3</v>
      </c>
      <c r="AW756" s="107">
        <f t="shared" si="223"/>
        <v>2.3999999999999994E-3</v>
      </c>
      <c r="AX756" s="107">
        <f t="shared" si="224"/>
        <v>2.3999999999999994E-3</v>
      </c>
      <c r="AY756" s="107">
        <f t="shared" si="224"/>
        <v>2.3999999999999994E-3</v>
      </c>
      <c r="AZ756" s="107">
        <f t="shared" si="224"/>
        <v>2.3999999999999994E-3</v>
      </c>
      <c r="BA756" s="107">
        <f t="shared" si="224"/>
        <v>2.3999999999999994E-3</v>
      </c>
      <c r="BB756" s="107">
        <f t="shared" si="224"/>
        <v>2.3999999999999994E-3</v>
      </c>
      <c r="BC756" s="107">
        <f t="shared" si="224"/>
        <v>2.3999999999999994E-3</v>
      </c>
      <c r="BD756" s="107">
        <f t="shared" si="224"/>
        <v>2.3999999999999994E-3</v>
      </c>
      <c r="BE756" s="107">
        <f t="shared" si="224"/>
        <v>2.3999999999999994E-3</v>
      </c>
      <c r="BF756" s="107">
        <f t="shared" si="224"/>
        <v>2.3999999999999994E-3</v>
      </c>
      <c r="BG756" s="107">
        <f t="shared" si="224"/>
        <v>2.3999999999999994E-3</v>
      </c>
    </row>
    <row r="757" spans="1:59" ht="13.75" customHeight="1" outlineLevel="1">
      <c r="A757" s="141" t="s">
        <v>166</v>
      </c>
      <c r="B757" s="165" t="s">
        <v>626</v>
      </c>
      <c r="C757" s="165"/>
      <c r="D757" s="142" t="s">
        <v>168</v>
      </c>
      <c r="E757" s="109" t="s">
        <v>636</v>
      </c>
      <c r="F757" s="168" t="s">
        <v>636</v>
      </c>
      <c r="G757" s="109" t="s">
        <v>3</v>
      </c>
      <c r="H757" s="109" t="s">
        <v>637</v>
      </c>
      <c r="W757" s="109"/>
      <c r="X757" s="107">
        <v>0.24308202748753494</v>
      </c>
      <c r="Y757" s="107">
        <v>0.13899870763363276</v>
      </c>
      <c r="Z757" s="107">
        <v>-2.003073179713688E-2</v>
      </c>
      <c r="AA757" s="107">
        <v>6.0517335273295281E-2</v>
      </c>
      <c r="AB757" s="107">
        <v>8.77976247175003E-2</v>
      </c>
      <c r="AC757" s="107">
        <v>-9.7064757311052352E-2</v>
      </c>
      <c r="AD757" s="107">
        <v>0.13879391384278095</v>
      </c>
      <c r="AE757" s="107">
        <v>0.24178548539933065</v>
      </c>
      <c r="AF757" s="107">
        <f t="shared" ref="AF757" si="228">AF3</f>
        <v>7.0965337750225954E-2</v>
      </c>
      <c r="AG757" s="107">
        <f>4.56050829113877%-1%</f>
        <v>3.5605082911387705E-2</v>
      </c>
      <c r="AH757" s="107">
        <v>2.022804629292696E-2</v>
      </c>
      <c r="AI757" s="107">
        <v>2.0195695412482784E-2</v>
      </c>
      <c r="AJ757" s="107">
        <f>2%-1%</f>
        <v>0.01</v>
      </c>
      <c r="AK757" s="107">
        <f t="shared" ref="AK757:AM759" si="229">2%-1%</f>
        <v>0.01</v>
      </c>
      <c r="AL757" s="107">
        <f t="shared" si="229"/>
        <v>0.01</v>
      </c>
      <c r="AM757" s="107">
        <f t="shared" si="229"/>
        <v>0.01</v>
      </c>
      <c r="AN757" s="107">
        <f t="shared" si="223"/>
        <v>0.01</v>
      </c>
      <c r="AO757" s="107">
        <f t="shared" si="223"/>
        <v>0.01</v>
      </c>
      <c r="AP757" s="107">
        <f t="shared" si="223"/>
        <v>0.01</v>
      </c>
      <c r="AQ757" s="107">
        <f t="shared" si="223"/>
        <v>0.01</v>
      </c>
      <c r="AR757" s="107">
        <f t="shared" si="223"/>
        <v>0.01</v>
      </c>
      <c r="AS757" s="107">
        <f t="shared" si="223"/>
        <v>0.01</v>
      </c>
      <c r="AT757" s="107">
        <f t="shared" si="223"/>
        <v>0.01</v>
      </c>
      <c r="AU757" s="107">
        <f t="shared" si="223"/>
        <v>0.01</v>
      </c>
      <c r="AV757" s="107">
        <f t="shared" si="223"/>
        <v>0.01</v>
      </c>
      <c r="AW757" s="107">
        <f t="shared" si="223"/>
        <v>0.01</v>
      </c>
      <c r="AX757" s="107">
        <f t="shared" si="224"/>
        <v>0.01</v>
      </c>
      <c r="AY757" s="107">
        <f t="shared" ref="AY757:BG757" si="230">AY3/2</f>
        <v>0.02</v>
      </c>
      <c r="AZ757" s="107">
        <f t="shared" si="230"/>
        <v>0.02</v>
      </c>
      <c r="BA757" s="107">
        <f t="shared" si="230"/>
        <v>0.02</v>
      </c>
      <c r="BB757" s="107">
        <f t="shared" si="230"/>
        <v>0.02</v>
      </c>
      <c r="BC757" s="107">
        <f t="shared" si="230"/>
        <v>0.02</v>
      </c>
      <c r="BD757" s="107">
        <f t="shared" si="230"/>
        <v>0.02</v>
      </c>
      <c r="BE757" s="107">
        <f t="shared" si="230"/>
        <v>0.02</v>
      </c>
      <c r="BF757" s="107">
        <f t="shared" si="230"/>
        <v>0.02</v>
      </c>
      <c r="BG757" s="107">
        <f t="shared" si="230"/>
        <v>0.02</v>
      </c>
    </row>
    <row r="758" spans="1:59" ht="13.75" customHeight="1" outlineLevel="1">
      <c r="A758" s="141" t="s">
        <v>166</v>
      </c>
      <c r="B758" s="165" t="s">
        <v>626</v>
      </c>
      <c r="C758" s="165"/>
      <c r="D758" s="142" t="s">
        <v>168</v>
      </c>
      <c r="E758" s="109" t="s">
        <v>638</v>
      </c>
      <c r="F758" s="168" t="s">
        <v>639</v>
      </c>
      <c r="G758" s="109" t="s">
        <v>3</v>
      </c>
      <c r="H758" s="109" t="s">
        <v>640</v>
      </c>
      <c r="W758" s="109"/>
      <c r="X758" s="107">
        <v>6.5485797740845175E-2</v>
      </c>
      <c r="Y758" s="107">
        <v>-3.3424596655658889E-2</v>
      </c>
      <c r="Z758" s="107">
        <v>9.7976155239153373E-2</v>
      </c>
      <c r="AA758" s="107">
        <v>6.6898582353910552E-2</v>
      </c>
      <c r="AB758" s="107">
        <v>-6.6748932777744741E-2</v>
      </c>
      <c r="AC758" s="107">
        <v>5.5863463716705475E-2</v>
      </c>
      <c r="AD758" s="107">
        <v>0.42300291225592868</v>
      </c>
      <c r="AE758" s="107">
        <v>7.6299065102370278E-2</v>
      </c>
      <c r="AF758" s="107">
        <v>-0.1</v>
      </c>
      <c r="AG758" s="107">
        <f>4%-1%</f>
        <v>0.03</v>
      </c>
      <c r="AH758" s="107">
        <v>4.045609258585392E-2</v>
      </c>
      <c r="AI758" s="107">
        <v>2.0195695412482784E-2</v>
      </c>
      <c r="AJ758" s="107">
        <f>2%-1%</f>
        <v>0.01</v>
      </c>
      <c r="AK758" s="107">
        <f t="shared" si="229"/>
        <v>0.01</v>
      </c>
      <c r="AL758" s="107">
        <f t="shared" si="229"/>
        <v>0.01</v>
      </c>
      <c r="AM758" s="107">
        <f t="shared" si="229"/>
        <v>0.01</v>
      </c>
      <c r="AN758" s="107">
        <f t="shared" si="223"/>
        <v>0.01</v>
      </c>
      <c r="AO758" s="107">
        <f t="shared" si="223"/>
        <v>0.01</v>
      </c>
      <c r="AP758" s="107">
        <f t="shared" si="223"/>
        <v>0.01</v>
      </c>
      <c r="AQ758" s="107">
        <f t="shared" si="223"/>
        <v>0.01</v>
      </c>
      <c r="AR758" s="107">
        <f t="shared" si="223"/>
        <v>0.01</v>
      </c>
      <c r="AS758" s="107">
        <f t="shared" si="223"/>
        <v>0.01</v>
      </c>
      <c r="AT758" s="107">
        <f t="shared" si="223"/>
        <v>0.01</v>
      </c>
      <c r="AU758" s="107">
        <f t="shared" si="223"/>
        <v>0.01</v>
      </c>
      <c r="AV758" s="107">
        <f t="shared" si="223"/>
        <v>0.01</v>
      </c>
      <c r="AW758" s="107">
        <f t="shared" si="223"/>
        <v>0.01</v>
      </c>
      <c r="AX758" s="107">
        <f t="shared" si="224"/>
        <v>0.01</v>
      </c>
      <c r="AY758" s="107">
        <f t="shared" ref="AY758:BG758" si="231">AY3/2</f>
        <v>0.02</v>
      </c>
      <c r="AZ758" s="107">
        <f t="shared" si="231"/>
        <v>0.02</v>
      </c>
      <c r="BA758" s="107">
        <f t="shared" si="231"/>
        <v>0.02</v>
      </c>
      <c r="BB758" s="107">
        <f t="shared" si="231"/>
        <v>0.02</v>
      </c>
      <c r="BC758" s="107">
        <f t="shared" si="231"/>
        <v>0.02</v>
      </c>
      <c r="BD758" s="107">
        <f t="shared" si="231"/>
        <v>0.02</v>
      </c>
      <c r="BE758" s="107">
        <f t="shared" si="231"/>
        <v>0.02</v>
      </c>
      <c r="BF758" s="107">
        <f t="shared" si="231"/>
        <v>0.02</v>
      </c>
      <c r="BG758" s="107">
        <f t="shared" si="231"/>
        <v>0.02</v>
      </c>
    </row>
    <row r="759" spans="1:59" ht="13.75" customHeight="1" outlineLevel="1">
      <c r="A759" s="141" t="s">
        <v>166</v>
      </c>
      <c r="B759" s="165" t="s">
        <v>626</v>
      </c>
      <c r="C759" s="165"/>
      <c r="D759" s="142" t="s">
        <v>168</v>
      </c>
      <c r="E759" s="109" t="s">
        <v>641</v>
      </c>
      <c r="F759" s="168" t="s">
        <v>642</v>
      </c>
      <c r="G759" s="109" t="s">
        <v>3</v>
      </c>
      <c r="H759" s="109" t="s">
        <v>640</v>
      </c>
      <c r="W759" s="109"/>
      <c r="X759" s="107">
        <v>2.2932168524773644E-2</v>
      </c>
      <c r="Y759" s="107">
        <v>-6.4672293942403258E-2</v>
      </c>
      <c r="Z759" s="107">
        <v>0.390537491705375</v>
      </c>
      <c r="AA759" s="107">
        <v>-0.28272426200406575</v>
      </c>
      <c r="AB759" s="107">
        <v>0.65404369694227826</v>
      </c>
      <c r="AC759" s="107">
        <v>-1.5308749235769192E-2</v>
      </c>
      <c r="AD759" s="107">
        <v>0.43786610024100314</v>
      </c>
      <c r="AE759" s="107">
        <v>0.30578061612936214</v>
      </c>
      <c r="AF759" s="107">
        <v>-0.15</v>
      </c>
      <c r="AG759" s="107">
        <f>5%-1%</f>
        <v>0.04</v>
      </c>
      <c r="AH759" s="107">
        <v>4.045609258585392E-2</v>
      </c>
      <c r="AI759" s="107">
        <v>2.0195695412482784E-2</v>
      </c>
      <c r="AJ759" s="107">
        <f>2%-1%</f>
        <v>0.01</v>
      </c>
      <c r="AK759" s="107">
        <f t="shared" si="229"/>
        <v>0.01</v>
      </c>
      <c r="AL759" s="107">
        <f t="shared" si="229"/>
        <v>0.01</v>
      </c>
      <c r="AM759" s="107">
        <f t="shared" si="229"/>
        <v>0.01</v>
      </c>
      <c r="AN759" s="107">
        <f t="shared" si="223"/>
        <v>0.01</v>
      </c>
      <c r="AO759" s="107">
        <f t="shared" si="223"/>
        <v>0.01</v>
      </c>
      <c r="AP759" s="107">
        <f t="shared" si="223"/>
        <v>0.01</v>
      </c>
      <c r="AQ759" s="107">
        <f t="shared" si="223"/>
        <v>0.01</v>
      </c>
      <c r="AR759" s="107">
        <f t="shared" si="223"/>
        <v>0.01</v>
      </c>
      <c r="AS759" s="107">
        <f t="shared" si="223"/>
        <v>0.01</v>
      </c>
      <c r="AT759" s="107">
        <f t="shared" si="223"/>
        <v>0.01</v>
      </c>
      <c r="AU759" s="107">
        <f t="shared" si="223"/>
        <v>0.01</v>
      </c>
      <c r="AV759" s="107">
        <f t="shared" si="223"/>
        <v>0.01</v>
      </c>
      <c r="AW759" s="107">
        <f t="shared" si="223"/>
        <v>0.01</v>
      </c>
      <c r="AX759" s="107">
        <f t="shared" si="223"/>
        <v>0.01</v>
      </c>
      <c r="AY759" s="107">
        <f t="shared" ref="AY759:BG759" si="232">AY3/2</f>
        <v>0.02</v>
      </c>
      <c r="AZ759" s="107">
        <f t="shared" si="232"/>
        <v>0.02</v>
      </c>
      <c r="BA759" s="107">
        <f t="shared" si="232"/>
        <v>0.02</v>
      </c>
      <c r="BB759" s="107">
        <f t="shared" si="232"/>
        <v>0.02</v>
      </c>
      <c r="BC759" s="107">
        <f t="shared" si="232"/>
        <v>0.02</v>
      </c>
      <c r="BD759" s="107">
        <f t="shared" si="232"/>
        <v>0.02</v>
      </c>
      <c r="BE759" s="107">
        <f t="shared" si="232"/>
        <v>0.02</v>
      </c>
      <c r="BF759" s="107">
        <f t="shared" si="232"/>
        <v>0.02</v>
      </c>
      <c r="BG759" s="107">
        <f t="shared" si="232"/>
        <v>0.02</v>
      </c>
    </row>
    <row r="760" spans="1:59" ht="13.75" customHeight="1" outlineLevel="1">
      <c r="A760" s="141" t="s">
        <v>166</v>
      </c>
      <c r="B760" s="165" t="s">
        <v>626</v>
      </c>
      <c r="C760" s="165"/>
      <c r="D760" s="142" t="s">
        <v>168</v>
      </c>
      <c r="E760" s="109" t="s">
        <v>643</v>
      </c>
      <c r="F760" s="168" t="s">
        <v>643</v>
      </c>
      <c r="G760" s="109" t="s">
        <v>3</v>
      </c>
      <c r="H760" s="109" t="s">
        <v>630</v>
      </c>
      <c r="W760" s="109"/>
      <c r="X760" s="107">
        <v>-0.32424994973755972</v>
      </c>
      <c r="Y760" s="107">
        <v>-6.2653951352830695E-2</v>
      </c>
      <c r="Z760" s="107">
        <v>3.291649518986639E-2</v>
      </c>
      <c r="AA760" s="107">
        <v>0.13398569145386086</v>
      </c>
      <c r="AB760" s="107">
        <v>-0.10378683560189783</v>
      </c>
      <c r="AC760" s="107">
        <v>-0.1153151984378924</v>
      </c>
      <c r="AD760" s="107">
        <v>0.71222908321158007</v>
      </c>
      <c r="AE760" s="107">
        <v>-0.17600590603085531</v>
      </c>
      <c r="AF760" s="107">
        <v>-0.19</v>
      </c>
      <c r="AG760" s="107">
        <f>5%-1%</f>
        <v>0.04</v>
      </c>
      <c r="AH760" s="107">
        <v>0.03</v>
      </c>
      <c r="AI760" s="107">
        <v>1.540000000000008E-2</v>
      </c>
      <c r="AJ760" s="107">
        <f>1.54000000000001%-1%</f>
        <v>5.4000000000001009E-3</v>
      </c>
      <c r="AK760" s="107">
        <f t="shared" ref="AK760:AM760" si="233">1.54000000000001%-1%</f>
        <v>5.4000000000001009E-3</v>
      </c>
      <c r="AL760" s="107">
        <f t="shared" si="233"/>
        <v>5.4000000000001009E-3</v>
      </c>
      <c r="AM760" s="107">
        <f t="shared" si="233"/>
        <v>5.4000000000001009E-3</v>
      </c>
      <c r="AN760" s="107">
        <f t="shared" si="223"/>
        <v>5.4000000000001009E-3</v>
      </c>
      <c r="AO760" s="107">
        <f t="shared" si="223"/>
        <v>5.4000000000001009E-3</v>
      </c>
      <c r="AP760" s="107">
        <f t="shared" si="223"/>
        <v>5.4000000000001009E-3</v>
      </c>
      <c r="AQ760" s="107">
        <f t="shared" si="223"/>
        <v>5.4000000000001009E-3</v>
      </c>
      <c r="AR760" s="107">
        <f t="shared" si="223"/>
        <v>5.4000000000001009E-3</v>
      </c>
      <c r="AS760" s="107">
        <f t="shared" si="223"/>
        <v>5.4000000000001009E-3</v>
      </c>
      <c r="AT760" s="107">
        <f t="shared" si="223"/>
        <v>5.4000000000001009E-3</v>
      </c>
      <c r="AU760" s="107">
        <f t="shared" si="223"/>
        <v>5.4000000000001009E-3</v>
      </c>
      <c r="AV760" s="107">
        <f t="shared" si="223"/>
        <v>5.4000000000001009E-3</v>
      </c>
      <c r="AW760" s="107">
        <f t="shared" si="223"/>
        <v>5.4000000000001009E-3</v>
      </c>
      <c r="AX760" s="107">
        <f t="shared" si="223"/>
        <v>5.4000000000001009E-3</v>
      </c>
      <c r="AY760" s="107">
        <f t="shared" si="223"/>
        <v>5.4000000000001009E-3</v>
      </c>
      <c r="AZ760" s="107">
        <f t="shared" si="223"/>
        <v>5.4000000000001009E-3</v>
      </c>
      <c r="BA760" s="107">
        <f t="shared" si="223"/>
        <v>5.4000000000001009E-3</v>
      </c>
      <c r="BB760" s="107">
        <f t="shared" si="223"/>
        <v>5.4000000000001009E-3</v>
      </c>
      <c r="BC760" s="107">
        <f t="shared" si="223"/>
        <v>5.4000000000001009E-3</v>
      </c>
      <c r="BD760" s="107">
        <f t="shared" ref="BD760:BG760" si="234">+BC760</f>
        <v>5.4000000000001009E-3</v>
      </c>
      <c r="BE760" s="107">
        <f t="shared" si="234"/>
        <v>5.4000000000001009E-3</v>
      </c>
      <c r="BF760" s="107">
        <f t="shared" si="234"/>
        <v>5.4000000000001009E-3</v>
      </c>
      <c r="BG760" s="107">
        <f t="shared" si="234"/>
        <v>5.4000000000001009E-3</v>
      </c>
    </row>
    <row r="761" spans="1:59" ht="13.75" customHeight="1" outlineLevel="1">
      <c r="B761" s="165"/>
      <c r="C761" s="165"/>
      <c r="F761" s="168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</row>
    <row r="762" spans="1:59" ht="13.75" customHeight="1" outlineLevel="1">
      <c r="B762" s="165"/>
      <c r="C762" s="165"/>
      <c r="F762" s="168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</row>
    <row r="763" spans="1:59" ht="13.75" customHeight="1" outlineLevel="1">
      <c r="B763" s="165"/>
      <c r="C763" s="165"/>
      <c r="F763" s="168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</row>
    <row r="764" spans="1:59" ht="13.75" customHeight="1" outlineLevel="1">
      <c r="B764" s="165"/>
      <c r="C764" s="165"/>
      <c r="F764" s="168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</row>
    <row r="765" spans="1:59" ht="13.75" customHeight="1" outlineLevel="1">
      <c r="B765" s="165"/>
      <c r="C765" s="165"/>
      <c r="F765" s="168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</row>
    <row r="766" spans="1:59" ht="13.75" customHeight="1" outlineLevel="1">
      <c r="B766" s="165"/>
      <c r="C766" s="165"/>
      <c r="F766" s="168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</row>
    <row r="767" spans="1:59" ht="13.75" customHeight="1" outlineLevel="1">
      <c r="B767" s="165"/>
      <c r="C767" s="165"/>
      <c r="F767" s="168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</row>
    <row r="768" spans="1:59" ht="13.75" customHeight="1">
      <c r="B768" s="165"/>
      <c r="C768" s="165"/>
      <c r="F768" s="168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</row>
    <row r="769" spans="2:34" ht="13.75" customHeight="1" outlineLevel="1">
      <c r="B769" s="165"/>
      <c r="C769" s="165"/>
      <c r="F769" s="168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</row>
    <row r="770" spans="2:34" ht="13.75" customHeight="1" outlineLevel="1">
      <c r="B770" s="165"/>
      <c r="C770" s="165"/>
      <c r="F770" s="168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</row>
    <row r="771" spans="2:34" ht="13.75" customHeight="1" outlineLevel="1">
      <c r="B771" s="165"/>
      <c r="C771" s="165"/>
      <c r="F771" s="168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</row>
    <row r="772" spans="2:34" ht="13.75" customHeight="1" outlineLevel="1">
      <c r="B772" s="165"/>
      <c r="C772" s="165"/>
      <c r="F772" s="168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</row>
    <row r="773" spans="2:34" ht="13.75" customHeight="1" outlineLevel="1">
      <c r="B773" s="165"/>
      <c r="C773" s="165"/>
      <c r="F773" s="168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</row>
    <row r="774" spans="2:34" ht="13.75" customHeight="1" outlineLevel="1">
      <c r="B774" s="165"/>
      <c r="C774" s="165"/>
      <c r="F774" s="168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</row>
    <row r="775" spans="2:34" ht="13.75" customHeight="1" outlineLevel="1">
      <c r="B775" s="165"/>
      <c r="C775" s="165"/>
      <c r="F775" s="168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</row>
    <row r="776" spans="2:34" ht="13.75" customHeight="1" outlineLevel="1">
      <c r="B776" s="165"/>
      <c r="C776" s="165"/>
      <c r="F776" s="168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</row>
    <row r="777" spans="2:34" ht="13.75" customHeight="1" outlineLevel="1">
      <c r="B777" s="165"/>
      <c r="C777" s="165"/>
      <c r="F777" s="168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</row>
    <row r="778" spans="2:34" ht="13.75" customHeight="1" outlineLevel="1">
      <c r="B778" s="165"/>
      <c r="C778" s="165"/>
      <c r="F778" s="168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</row>
    <row r="779" spans="2:34" ht="13.75" customHeight="1" outlineLevel="1">
      <c r="B779" s="165"/>
      <c r="C779" s="165"/>
      <c r="F779" s="168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</row>
    <row r="780" spans="2:34" ht="13.75" customHeight="1" outlineLevel="1">
      <c r="B780" s="165"/>
      <c r="C780" s="165"/>
      <c r="F780" s="168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</row>
    <row r="781" spans="2:34" ht="13.75" customHeight="1" outlineLevel="1">
      <c r="B781" s="165"/>
      <c r="C781" s="165"/>
      <c r="F781" s="168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</row>
    <row r="782" spans="2:34" ht="13.75" customHeight="1" outlineLevel="1">
      <c r="B782" s="165"/>
      <c r="C782" s="165"/>
      <c r="F782" s="168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</row>
    <row r="783" spans="2:34" ht="13.75" customHeight="1" outlineLevel="1">
      <c r="B783" s="165"/>
      <c r="C783" s="165"/>
      <c r="F783" s="168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</row>
    <row r="784" spans="2:34" ht="13.75" customHeight="1" outlineLevel="1">
      <c r="B784" s="165"/>
      <c r="C784" s="165"/>
      <c r="F784" s="168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</row>
    <row r="785" spans="2:34" ht="13.75" customHeight="1" outlineLevel="1">
      <c r="B785" s="165"/>
      <c r="C785" s="165"/>
      <c r="F785" s="168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</row>
    <row r="786" spans="2:34" ht="13.75" customHeight="1" outlineLevel="1">
      <c r="B786" s="165"/>
      <c r="C786" s="165"/>
      <c r="F786" s="168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</row>
    <row r="787" spans="2:34" ht="13.75" customHeight="1" outlineLevel="1">
      <c r="B787" s="165"/>
      <c r="C787" s="165"/>
      <c r="F787" s="168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</row>
    <row r="788" spans="2:34" ht="13.75" customHeight="1">
      <c r="B788" s="165"/>
      <c r="C788" s="165"/>
      <c r="F788" s="168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</row>
    <row r="789" spans="2:34" ht="13.75" customHeight="1" outlineLevel="1">
      <c r="B789" s="165"/>
      <c r="C789" s="165"/>
      <c r="F789" s="168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</row>
    <row r="790" spans="2:34" ht="13.75" customHeight="1" outlineLevel="1">
      <c r="B790" s="165"/>
      <c r="C790" s="165"/>
      <c r="F790" s="168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</row>
    <row r="791" spans="2:34" ht="13.75" customHeight="1" outlineLevel="1">
      <c r="B791" s="165"/>
      <c r="C791" s="165"/>
      <c r="F791" s="168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</row>
    <row r="792" spans="2:34" ht="13.75" customHeight="1" outlineLevel="1">
      <c r="B792" s="165"/>
      <c r="C792" s="165"/>
      <c r="F792" s="168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</row>
    <row r="793" spans="2:34" ht="13.75" customHeight="1" outlineLevel="1">
      <c r="B793" s="165"/>
      <c r="C793" s="165"/>
      <c r="F793" s="168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</row>
    <row r="794" spans="2:34" ht="13.75" customHeight="1" outlineLevel="1">
      <c r="B794" s="165"/>
      <c r="C794" s="165"/>
      <c r="F794" s="168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</row>
    <row r="795" spans="2:34" ht="13.75" customHeight="1" outlineLevel="1">
      <c r="B795" s="165"/>
      <c r="C795" s="165"/>
      <c r="F795" s="168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</row>
    <row r="796" spans="2:34" ht="13.75" customHeight="1" outlineLevel="1">
      <c r="B796" s="165"/>
      <c r="C796" s="165"/>
      <c r="F796" s="168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</row>
    <row r="797" spans="2:34" ht="13.75" customHeight="1" outlineLevel="1">
      <c r="B797" s="165"/>
      <c r="C797" s="165"/>
      <c r="F797" s="168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</row>
    <row r="798" spans="2:34" ht="13.75" customHeight="1" outlineLevel="1">
      <c r="B798" s="165"/>
      <c r="C798" s="165"/>
      <c r="F798" s="168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</row>
    <row r="799" spans="2:34" ht="13.75" customHeight="1" outlineLevel="1">
      <c r="B799" s="165"/>
      <c r="C799" s="165"/>
      <c r="F799" s="168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</row>
    <row r="800" spans="2:34" ht="13.75" customHeight="1" outlineLevel="1">
      <c r="B800" s="165"/>
      <c r="C800" s="165"/>
      <c r="F800" s="168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</row>
    <row r="801" spans="2:34" ht="13.75" customHeight="1" outlineLevel="1">
      <c r="B801" s="165"/>
      <c r="C801" s="165"/>
      <c r="F801" s="168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</row>
    <row r="802" spans="2:34" ht="13.75" customHeight="1" outlineLevel="1">
      <c r="B802" s="165"/>
      <c r="C802" s="165"/>
      <c r="F802" s="168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</row>
    <row r="803" spans="2:34" ht="13.75" customHeight="1" outlineLevel="1">
      <c r="B803" s="165"/>
      <c r="C803" s="165"/>
      <c r="F803" s="168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</row>
    <row r="804" spans="2:34" ht="13.75" customHeight="1" outlineLevel="1">
      <c r="B804" s="165"/>
      <c r="C804" s="165"/>
      <c r="F804" s="168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</row>
    <row r="805" spans="2:34" ht="13.75" customHeight="1" outlineLevel="1">
      <c r="B805" s="165"/>
      <c r="C805" s="165"/>
      <c r="F805" s="168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</row>
    <row r="806" spans="2:34" ht="13.75" customHeight="1" outlineLevel="1">
      <c r="B806" s="165"/>
      <c r="C806" s="165"/>
      <c r="F806" s="168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</row>
    <row r="807" spans="2:34" ht="13.75" customHeight="1" outlineLevel="1">
      <c r="B807" s="165"/>
      <c r="C807" s="165"/>
      <c r="F807" s="168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</row>
    <row r="808" spans="2:34" ht="13.75" customHeight="1">
      <c r="B808" s="165"/>
      <c r="C808" s="165"/>
      <c r="F808" s="168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</row>
    <row r="809" spans="2:34" ht="13.75" customHeight="1" outlineLevel="1">
      <c r="B809" s="165"/>
      <c r="C809" s="165"/>
      <c r="F809" s="168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</row>
    <row r="810" spans="2:34" ht="13.75" customHeight="1" outlineLevel="1">
      <c r="B810" s="165"/>
      <c r="C810" s="165"/>
      <c r="F810" s="168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</row>
    <row r="811" spans="2:34" ht="13.75" customHeight="1" outlineLevel="1">
      <c r="B811" s="165"/>
      <c r="C811" s="165"/>
      <c r="F811" s="168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</row>
    <row r="812" spans="2:34" ht="13.75" customHeight="1" outlineLevel="1">
      <c r="B812" s="165"/>
      <c r="C812" s="165"/>
      <c r="F812" s="168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</row>
    <row r="813" spans="2:34" ht="13.75" customHeight="1" outlineLevel="1">
      <c r="B813" s="165"/>
      <c r="C813" s="165"/>
      <c r="F813" s="168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</row>
    <row r="814" spans="2:34" ht="13.75" customHeight="1" outlineLevel="1">
      <c r="B814" s="165"/>
      <c r="C814" s="165"/>
      <c r="F814" s="168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</row>
    <row r="815" spans="2:34" ht="13.75" customHeight="1" outlineLevel="1">
      <c r="B815" s="165"/>
      <c r="C815" s="165"/>
      <c r="F815" s="168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</row>
    <row r="816" spans="2:34" ht="13.75" customHeight="1" outlineLevel="1">
      <c r="B816" s="165"/>
      <c r="C816" s="165"/>
      <c r="F816" s="168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</row>
    <row r="817" spans="2:34" ht="13.75" customHeight="1" outlineLevel="1">
      <c r="B817" s="165"/>
      <c r="C817" s="165"/>
      <c r="F817" s="168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</row>
    <row r="818" spans="2:34" ht="13.75" customHeight="1" outlineLevel="1">
      <c r="B818" s="165"/>
      <c r="C818" s="165"/>
      <c r="F818" s="168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</row>
    <row r="819" spans="2:34" ht="13.75" customHeight="1" outlineLevel="1">
      <c r="B819" s="165"/>
      <c r="C819" s="165"/>
      <c r="F819" s="168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</row>
    <row r="820" spans="2:34" ht="13.75" customHeight="1" outlineLevel="1">
      <c r="B820" s="165"/>
      <c r="C820" s="165"/>
      <c r="F820" s="168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</row>
    <row r="821" spans="2:34" ht="13.75" customHeight="1" outlineLevel="1">
      <c r="B821" s="165"/>
      <c r="C821" s="165"/>
      <c r="F821" s="168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</row>
    <row r="822" spans="2:34" ht="13.75" customHeight="1" outlineLevel="1">
      <c r="B822" s="165"/>
      <c r="C822" s="165"/>
      <c r="F822" s="168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</row>
    <row r="823" spans="2:34" ht="13.75" customHeight="1" outlineLevel="1">
      <c r="B823" s="165"/>
      <c r="C823" s="165"/>
      <c r="F823" s="168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</row>
    <row r="824" spans="2:34" ht="13.75" customHeight="1" outlineLevel="1">
      <c r="B824" s="165"/>
      <c r="C824" s="165"/>
      <c r="F824" s="168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</row>
    <row r="825" spans="2:34" ht="13.75" customHeight="1" outlineLevel="1">
      <c r="B825" s="165"/>
      <c r="C825" s="165"/>
      <c r="F825" s="168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</row>
    <row r="826" spans="2:34" ht="13.75" customHeight="1" outlineLevel="1">
      <c r="B826" s="165"/>
      <c r="C826" s="165"/>
      <c r="F826" s="168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</row>
    <row r="827" spans="2:34" ht="13.75" customHeight="1" outlineLevel="1">
      <c r="B827" s="165"/>
      <c r="C827" s="165"/>
      <c r="F827" s="168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</row>
    <row r="828" spans="2:34" ht="13.75" customHeight="1">
      <c r="B828" s="165"/>
      <c r="C828" s="165"/>
      <c r="F828" s="168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</row>
    <row r="829" spans="2:34" ht="13.75" customHeight="1" outlineLevel="1">
      <c r="B829" s="165"/>
      <c r="C829" s="165"/>
      <c r="F829" s="168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</row>
    <row r="830" spans="2:34" ht="13.75" customHeight="1" outlineLevel="1">
      <c r="B830" s="165"/>
      <c r="C830" s="165"/>
      <c r="F830" s="168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</row>
    <row r="831" spans="2:34" ht="13.75" customHeight="1" outlineLevel="1">
      <c r="B831" s="165"/>
      <c r="C831" s="165"/>
      <c r="F831" s="168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</row>
    <row r="832" spans="2:34" ht="13.75" customHeight="1" outlineLevel="1">
      <c r="B832" s="165"/>
      <c r="C832" s="165"/>
      <c r="F832" s="168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</row>
    <row r="833" spans="2:34" ht="13.75" customHeight="1" outlineLevel="1">
      <c r="B833" s="165"/>
      <c r="C833" s="165"/>
      <c r="F833" s="168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</row>
    <row r="834" spans="2:34" ht="13.75" customHeight="1" outlineLevel="1">
      <c r="B834" s="165"/>
      <c r="C834" s="165"/>
      <c r="F834" s="168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</row>
    <row r="835" spans="2:34" ht="13.75" customHeight="1" outlineLevel="1">
      <c r="B835" s="165"/>
      <c r="C835" s="165"/>
      <c r="F835" s="168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</row>
    <row r="836" spans="2:34" ht="13.75" customHeight="1" outlineLevel="1">
      <c r="B836" s="165"/>
      <c r="C836" s="165"/>
      <c r="F836" s="168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</row>
    <row r="837" spans="2:34" ht="13.75" customHeight="1" outlineLevel="1">
      <c r="B837" s="165"/>
      <c r="C837" s="165"/>
      <c r="F837" s="168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</row>
    <row r="838" spans="2:34" ht="13.75" customHeight="1" outlineLevel="1">
      <c r="B838" s="165"/>
      <c r="C838" s="165"/>
      <c r="F838" s="168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</row>
    <row r="839" spans="2:34" ht="13.75" customHeight="1" outlineLevel="1">
      <c r="B839" s="165"/>
      <c r="C839" s="165"/>
      <c r="F839" s="168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</row>
    <row r="840" spans="2:34" ht="13.75" customHeight="1" outlineLevel="1">
      <c r="B840" s="165"/>
      <c r="C840" s="165"/>
      <c r="F840" s="168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</row>
    <row r="841" spans="2:34" ht="13.75" customHeight="1" outlineLevel="1">
      <c r="B841" s="165"/>
      <c r="C841" s="165"/>
      <c r="F841" s="168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</row>
    <row r="842" spans="2:34" ht="13.75" customHeight="1" outlineLevel="1">
      <c r="B842" s="165"/>
      <c r="C842" s="165"/>
      <c r="F842" s="168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</row>
    <row r="843" spans="2:34" ht="13.75" customHeight="1" outlineLevel="1">
      <c r="B843" s="165"/>
      <c r="C843" s="165"/>
      <c r="F843" s="168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</row>
    <row r="844" spans="2:34" ht="13.75" customHeight="1" outlineLevel="1">
      <c r="B844" s="165"/>
      <c r="C844" s="165"/>
      <c r="F844" s="168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</row>
    <row r="845" spans="2:34" ht="13.75" customHeight="1" outlineLevel="1">
      <c r="B845" s="165"/>
      <c r="C845" s="165"/>
      <c r="F845" s="168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</row>
    <row r="846" spans="2:34" ht="13.75" customHeight="1" outlineLevel="1">
      <c r="B846" s="165"/>
      <c r="C846" s="165"/>
      <c r="F846" s="168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</row>
    <row r="847" spans="2:34" ht="13.75" customHeight="1" outlineLevel="1">
      <c r="B847" s="165"/>
      <c r="C847" s="165"/>
      <c r="F847" s="168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</row>
    <row r="848" spans="2:34" ht="13.75" customHeight="1">
      <c r="F848" s="168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</row>
    <row r="849" spans="6:34" ht="13.75" customHeight="1" outlineLevel="1">
      <c r="F849" s="168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</row>
    <row r="850" spans="6:34" ht="13.75" customHeight="1" outlineLevel="1">
      <c r="F850" s="168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</row>
    <row r="851" spans="6:34" ht="13.75" customHeight="1" outlineLevel="1">
      <c r="F851" s="168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</row>
    <row r="852" spans="6:34" ht="13.75" customHeight="1" outlineLevel="1">
      <c r="F852" s="168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</row>
    <row r="853" spans="6:34" ht="13.75" customHeight="1" outlineLevel="1">
      <c r="F853" s="168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</row>
    <row r="854" spans="6:34" ht="13.75" customHeight="1" outlineLevel="1">
      <c r="F854" s="168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</row>
    <row r="855" spans="6:34" ht="13.75" customHeight="1" outlineLevel="1">
      <c r="F855" s="168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</row>
    <row r="856" spans="6:34" ht="13.75" customHeight="1" outlineLevel="1">
      <c r="F856" s="168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</row>
    <row r="857" spans="6:34" ht="13.75" customHeight="1" outlineLevel="1">
      <c r="F857" s="168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</row>
    <row r="858" spans="6:34" ht="13.75" customHeight="1" outlineLevel="1">
      <c r="F858" s="168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</row>
    <row r="859" spans="6:34" ht="13.75" customHeight="1" outlineLevel="1">
      <c r="F859" s="168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</row>
    <row r="860" spans="6:34" ht="13.75" customHeight="1" outlineLevel="1">
      <c r="F860" s="168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</row>
    <row r="861" spans="6:34" ht="13.75" customHeight="1" outlineLevel="1">
      <c r="F861" s="168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</row>
    <row r="862" spans="6:34" ht="13.75" customHeight="1" outlineLevel="1">
      <c r="F862" s="168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</row>
    <row r="863" spans="6:34" ht="13.75" customHeight="1" outlineLevel="1">
      <c r="F863" s="168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</row>
    <row r="864" spans="6:34" ht="13.75" customHeight="1" outlineLevel="1">
      <c r="F864" s="168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</row>
    <row r="865" spans="6:34" ht="13.75" customHeight="1" outlineLevel="1">
      <c r="F865" s="168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</row>
    <row r="866" spans="6:34" ht="13.75" customHeight="1" outlineLevel="1">
      <c r="F866" s="168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</row>
    <row r="867" spans="6:34" ht="13.75" customHeight="1" outlineLevel="1">
      <c r="F867" s="168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</row>
    <row r="868" spans="6:34" ht="13.75" customHeight="1">
      <c r="F868" s="168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</row>
    <row r="869" spans="6:34" ht="13.75" customHeight="1" outlineLevel="1">
      <c r="F869" s="168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</row>
    <row r="870" spans="6:34" ht="13.75" customHeight="1" outlineLevel="1">
      <c r="F870" s="168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</row>
    <row r="871" spans="6:34" ht="13.75" customHeight="1" outlineLevel="1">
      <c r="F871" s="168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</row>
    <row r="872" spans="6:34" ht="13.75" customHeight="1" outlineLevel="1">
      <c r="F872" s="168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</row>
    <row r="873" spans="6:34" ht="13.75" customHeight="1" outlineLevel="1">
      <c r="F873" s="168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</row>
    <row r="874" spans="6:34" ht="13.75" customHeight="1" outlineLevel="1">
      <c r="F874" s="168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</row>
    <row r="875" spans="6:34" ht="13.75" customHeight="1" outlineLevel="1">
      <c r="F875" s="168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</row>
    <row r="876" spans="6:34" ht="13.75" customHeight="1" outlineLevel="1">
      <c r="F876" s="168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</row>
    <row r="877" spans="6:34" ht="13.75" customHeight="1" outlineLevel="1">
      <c r="F877" s="168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</row>
    <row r="878" spans="6:34" ht="13.75" customHeight="1" outlineLevel="1">
      <c r="F878" s="168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</row>
    <row r="879" spans="6:34" ht="13.75" customHeight="1" outlineLevel="1">
      <c r="F879" s="168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</row>
    <row r="880" spans="6:34" ht="13.75" customHeight="1" outlineLevel="1">
      <c r="F880" s="168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</row>
    <row r="881" spans="6:34" ht="13.75" customHeight="1" outlineLevel="1">
      <c r="F881" s="168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</row>
    <row r="882" spans="6:34" ht="13.75" customHeight="1" outlineLevel="1">
      <c r="F882" s="168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</row>
    <row r="883" spans="6:34" ht="13.75" customHeight="1" outlineLevel="1">
      <c r="F883" s="168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</row>
    <row r="884" spans="6:34" ht="13.75" customHeight="1" outlineLevel="1">
      <c r="F884" s="168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</row>
    <row r="885" spans="6:34" ht="13.75" customHeight="1" outlineLevel="1">
      <c r="F885" s="168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</row>
    <row r="886" spans="6:34" ht="13.75" customHeight="1" outlineLevel="1">
      <c r="F886" s="168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</row>
    <row r="887" spans="6:34" ht="13.75" customHeight="1" outlineLevel="1">
      <c r="F887" s="168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</row>
    <row r="888" spans="6:34" ht="13.75" customHeight="1">
      <c r="F888" s="168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</row>
    <row r="889" spans="6:34" ht="13.75" customHeight="1" outlineLevel="1">
      <c r="F889" s="168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</row>
    <row r="890" spans="6:34" ht="13.75" customHeight="1" outlineLevel="1">
      <c r="F890" s="168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</row>
    <row r="891" spans="6:34" ht="13.75" customHeight="1" outlineLevel="1">
      <c r="F891" s="168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</row>
    <row r="892" spans="6:34" ht="13.75" customHeight="1" outlineLevel="1">
      <c r="F892" s="168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</row>
    <row r="893" spans="6:34" ht="13.75" customHeight="1" outlineLevel="1">
      <c r="F893" s="168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</row>
    <row r="894" spans="6:34" ht="13.75" customHeight="1" outlineLevel="1">
      <c r="F894" s="168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</row>
    <row r="895" spans="6:34" ht="13.75" customHeight="1" outlineLevel="1">
      <c r="F895" s="168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</row>
    <row r="896" spans="6:34" ht="13.75" customHeight="1" outlineLevel="1">
      <c r="F896" s="168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</row>
    <row r="897" spans="6:34" ht="13.75" customHeight="1" outlineLevel="1">
      <c r="F897" s="168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</row>
    <row r="898" spans="6:34" ht="13.75" customHeight="1" outlineLevel="1">
      <c r="F898" s="168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</row>
    <row r="899" spans="6:34" ht="13.75" customHeight="1" outlineLevel="1">
      <c r="F899" s="168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</row>
    <row r="900" spans="6:34" ht="13.75" customHeight="1" outlineLevel="1">
      <c r="F900" s="168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</row>
    <row r="901" spans="6:34" ht="13.75" customHeight="1" outlineLevel="1">
      <c r="F901" s="168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</row>
    <row r="902" spans="6:34" ht="13.75" customHeight="1" outlineLevel="1">
      <c r="F902" s="168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</row>
    <row r="903" spans="6:34" ht="13.75" customHeight="1" outlineLevel="1">
      <c r="F903" s="168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</row>
    <row r="904" spans="6:34" ht="13.75" customHeight="1" outlineLevel="1">
      <c r="F904" s="168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</row>
    <row r="905" spans="6:34" ht="13.75" customHeight="1" outlineLevel="1">
      <c r="F905" s="168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</row>
    <row r="906" spans="6:34" ht="13.75" customHeight="1" outlineLevel="1">
      <c r="F906" s="168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</row>
    <row r="907" spans="6:34" ht="13.75" customHeight="1" outlineLevel="1">
      <c r="F907" s="168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</row>
    <row r="908" spans="6:34" ht="13.75" customHeight="1">
      <c r="F908" s="168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</row>
    <row r="909" spans="6:34" ht="13.75" customHeight="1" outlineLevel="1">
      <c r="F909" s="168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</row>
    <row r="910" spans="6:34" ht="13.75" customHeight="1" outlineLevel="1">
      <c r="F910" s="168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</row>
    <row r="911" spans="6:34" ht="13.75" customHeight="1" outlineLevel="1">
      <c r="F911" s="168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</row>
    <row r="912" spans="6:34" ht="13.75" customHeight="1" outlineLevel="1">
      <c r="F912" s="168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</row>
    <row r="913" spans="6:34" ht="13.75" customHeight="1" outlineLevel="1">
      <c r="F913" s="168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</row>
    <row r="914" spans="6:34" ht="13.75" customHeight="1" outlineLevel="1">
      <c r="F914" s="168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</row>
    <row r="915" spans="6:34" ht="13.75" customHeight="1" outlineLevel="1">
      <c r="F915" s="168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</row>
    <row r="916" spans="6:34" ht="13.75" customHeight="1" outlineLevel="1">
      <c r="F916" s="168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</row>
    <row r="917" spans="6:34" ht="13.75" customHeight="1" outlineLevel="1">
      <c r="F917" s="168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</row>
    <row r="918" spans="6:34" ht="13.75" customHeight="1" outlineLevel="1">
      <c r="F918" s="168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</row>
    <row r="919" spans="6:34" ht="13.75" customHeight="1" outlineLevel="1">
      <c r="F919" s="168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</row>
    <row r="920" spans="6:34" ht="13.75" customHeight="1" outlineLevel="1">
      <c r="F920" s="168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</row>
    <row r="921" spans="6:34" ht="13.75" customHeight="1" outlineLevel="1">
      <c r="F921" s="168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</row>
    <row r="922" spans="6:34" ht="13.75" customHeight="1" outlineLevel="1">
      <c r="F922" s="168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</row>
    <row r="923" spans="6:34" ht="13.75" customHeight="1" outlineLevel="1">
      <c r="F923" s="168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</row>
    <row r="924" spans="6:34" ht="13.75" customHeight="1" outlineLevel="1">
      <c r="F924" s="168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</row>
    <row r="925" spans="6:34" ht="13.75" customHeight="1" outlineLevel="1">
      <c r="F925" s="168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</row>
    <row r="926" spans="6:34" ht="13.75" customHeight="1" outlineLevel="1">
      <c r="F926" s="168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</row>
    <row r="927" spans="6:34" ht="13.75" customHeight="1" outlineLevel="1">
      <c r="F927" s="168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</row>
    <row r="928" spans="6:34" ht="13.75" customHeight="1">
      <c r="F928" s="168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</row>
    <row r="929" spans="6:34" ht="13.75" customHeight="1" outlineLevel="1">
      <c r="F929" s="168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</row>
    <row r="930" spans="6:34" ht="13.75" customHeight="1" outlineLevel="1">
      <c r="F930" s="168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</row>
    <row r="931" spans="6:34" ht="13.75" customHeight="1" outlineLevel="1">
      <c r="F931" s="168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</row>
    <row r="932" spans="6:34" ht="13.75" customHeight="1" outlineLevel="1">
      <c r="F932" s="168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</row>
    <row r="933" spans="6:34" ht="13.75" customHeight="1" outlineLevel="1">
      <c r="F933" s="168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</row>
    <row r="934" spans="6:34" ht="13.75" customHeight="1" outlineLevel="1">
      <c r="F934" s="168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</row>
    <row r="935" spans="6:34" ht="13.75" customHeight="1" outlineLevel="1">
      <c r="F935" s="168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</row>
    <row r="936" spans="6:34" ht="13.75" customHeight="1" outlineLevel="1">
      <c r="F936" s="168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</row>
    <row r="937" spans="6:34" ht="13.75" customHeight="1" outlineLevel="1">
      <c r="F937" s="168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</row>
    <row r="938" spans="6:34" ht="13.75" customHeight="1" outlineLevel="1">
      <c r="F938" s="168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</row>
    <row r="939" spans="6:34" ht="13.75" customHeight="1" outlineLevel="1">
      <c r="F939" s="168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</row>
    <row r="940" spans="6:34" ht="13.75" customHeight="1" outlineLevel="1">
      <c r="F940" s="168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</row>
    <row r="941" spans="6:34" ht="13.75" customHeight="1" outlineLevel="1">
      <c r="F941" s="168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</row>
    <row r="942" spans="6:34" ht="13.75" customHeight="1" outlineLevel="1">
      <c r="F942" s="168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</row>
    <row r="943" spans="6:34" ht="13.75" customHeight="1" outlineLevel="1">
      <c r="F943" s="168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</row>
    <row r="944" spans="6:34" ht="13.75" customHeight="1" outlineLevel="1">
      <c r="F944" s="168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</row>
    <row r="945" spans="6:34" ht="13.75" customHeight="1" outlineLevel="1">
      <c r="F945" s="168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</row>
    <row r="946" spans="6:34" ht="13.75" customHeight="1" outlineLevel="1">
      <c r="F946" s="168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</row>
    <row r="947" spans="6:34" ht="13.75" customHeight="1" outlineLevel="1">
      <c r="F947" s="168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</row>
    <row r="948" spans="6:34" ht="13.75" customHeight="1">
      <c r="F948" s="168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</row>
    <row r="949" spans="6:34" ht="13.75" customHeight="1" outlineLevel="1">
      <c r="F949" s="168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</row>
    <row r="950" spans="6:34" ht="13.75" customHeight="1" outlineLevel="1">
      <c r="F950" s="168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</row>
    <row r="951" spans="6:34" ht="13.75" customHeight="1" outlineLevel="1">
      <c r="F951" s="168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</row>
    <row r="952" spans="6:34" ht="13.75" customHeight="1" outlineLevel="1">
      <c r="F952" s="168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</row>
    <row r="953" spans="6:34" ht="13.75" customHeight="1" outlineLevel="1">
      <c r="F953" s="168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</row>
    <row r="954" spans="6:34" ht="13.75" customHeight="1" outlineLevel="1">
      <c r="F954" s="168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</row>
    <row r="955" spans="6:34" ht="13.75" customHeight="1" outlineLevel="1">
      <c r="F955" s="168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</row>
    <row r="956" spans="6:34" ht="13.75" customHeight="1" outlineLevel="1">
      <c r="F956" s="168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</row>
    <row r="957" spans="6:34" ht="13.75" customHeight="1" outlineLevel="1">
      <c r="F957" s="168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</row>
    <row r="958" spans="6:34" ht="13.75" customHeight="1" outlineLevel="1">
      <c r="F958" s="168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</row>
    <row r="959" spans="6:34" ht="13.75" customHeight="1" outlineLevel="1">
      <c r="F959" s="168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</row>
    <row r="960" spans="6:34" ht="13.75" customHeight="1" outlineLevel="1">
      <c r="F960" s="168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</row>
    <row r="961" spans="1:34" ht="13.75" customHeight="1" outlineLevel="1">
      <c r="F961" s="168"/>
    </row>
    <row r="962" spans="1:34" ht="13.75" customHeight="1" outlineLevel="1">
      <c r="F962" s="168"/>
    </row>
    <row r="963" spans="1:34" ht="13.75" customHeight="1" outlineLevel="1">
      <c r="F963" s="168"/>
    </row>
    <row r="964" spans="1:34" ht="13.75" customHeight="1" outlineLevel="1">
      <c r="F964" s="168"/>
    </row>
    <row r="965" spans="1:34" ht="13.75" customHeight="1" outlineLevel="1">
      <c r="F965" s="168"/>
    </row>
    <row r="966" spans="1:34" ht="13.75" customHeight="1" outlineLevel="1">
      <c r="F966" s="168"/>
    </row>
    <row r="967" spans="1:34" ht="13.75" customHeight="1" outlineLevel="1">
      <c r="F967" s="168"/>
    </row>
    <row r="968" spans="1:34" ht="13.75" customHeight="1">
      <c r="A968" s="170"/>
      <c r="F968" s="168"/>
      <c r="W968" s="109"/>
    </row>
    <row r="969" spans="1:34" ht="12.75" customHeight="1" outlineLevel="1">
      <c r="A969" s="170"/>
      <c r="F969" s="168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</row>
    <row r="970" spans="1:34" ht="12.75" customHeight="1" outlineLevel="1">
      <c r="A970" s="170"/>
      <c r="F970" s="168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</row>
    <row r="971" spans="1:34" ht="12.75" customHeight="1" outlineLevel="1">
      <c r="A971" s="170"/>
      <c r="F971" s="168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</row>
    <row r="972" spans="1:34" ht="12.75" customHeight="1" outlineLevel="1">
      <c r="A972" s="170"/>
      <c r="F972" s="168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</row>
    <row r="973" spans="1:34" ht="12.75" customHeight="1" outlineLevel="1">
      <c r="A973" s="170"/>
      <c r="F973" s="168"/>
    </row>
    <row r="974" spans="1:34" ht="12.75" customHeight="1" outlineLevel="1">
      <c r="A974" s="170"/>
      <c r="F974" s="168"/>
    </row>
    <row r="975" spans="1:34" ht="12.75" customHeight="1" outlineLevel="1">
      <c r="A975" s="170"/>
      <c r="F975" s="168"/>
    </row>
    <row r="976" spans="1:34" ht="12.75" customHeight="1" outlineLevel="1">
      <c r="A976" s="170"/>
      <c r="F976" s="168"/>
    </row>
    <row r="977" spans="1:59" ht="12.75" customHeight="1" outlineLevel="1">
      <c r="A977" s="170"/>
      <c r="F977" s="168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</row>
    <row r="978" spans="1:59" ht="12.75" customHeight="1" outlineLevel="1">
      <c r="A978" s="170"/>
      <c r="F978" s="168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</row>
    <row r="979" spans="1:59" ht="12.75" customHeight="1" outlineLevel="1">
      <c r="A979" s="170"/>
      <c r="F979" s="168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</row>
    <row r="980" spans="1:59" ht="12.75" customHeight="1" outlineLevel="1">
      <c r="A980" s="170"/>
      <c r="F980" s="168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</row>
    <row r="981" spans="1:59" ht="12.75" customHeight="1" outlineLevel="1">
      <c r="A981" s="170"/>
      <c r="F981" s="168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</row>
    <row r="982" spans="1:59" ht="12.75" customHeight="1" outlineLevel="1">
      <c r="A982" s="170"/>
      <c r="F982" s="168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</row>
    <row r="983" spans="1:59" ht="12.75" customHeight="1" outlineLevel="1">
      <c r="A983" s="170"/>
      <c r="F983" s="168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</row>
    <row r="984" spans="1:59" ht="12.75" customHeight="1" outlineLevel="1">
      <c r="A984" s="170"/>
      <c r="F984" s="168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</row>
    <row r="985" spans="1:59" ht="12.75" customHeight="1" outlineLevel="1">
      <c r="A985" s="170"/>
      <c r="F985" s="168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</row>
    <row r="986" spans="1:59" ht="12.75" customHeight="1" outlineLevel="1">
      <c r="A986" s="170"/>
      <c r="F986" s="168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</row>
    <row r="987" spans="1:59" ht="12.75" customHeight="1" outlineLevel="1">
      <c r="A987" s="170"/>
      <c r="F987" s="168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</row>
    <row r="988" spans="1:59" ht="12.75" customHeight="1" outlineLevel="1">
      <c r="A988" s="141" t="s">
        <v>644</v>
      </c>
      <c r="F988" s="168" t="s">
        <v>645</v>
      </c>
      <c r="G988" s="109" t="s">
        <v>3</v>
      </c>
      <c r="J988" s="131">
        <v>1</v>
      </c>
      <c r="K988" s="131">
        <v>1</v>
      </c>
      <c r="L988" s="131">
        <v>1</v>
      </c>
      <c r="M988" s="131">
        <v>1</v>
      </c>
      <c r="N988" s="131">
        <v>1</v>
      </c>
      <c r="O988" s="131">
        <v>1</v>
      </c>
      <c r="P988" s="131">
        <v>1</v>
      </c>
      <c r="Q988" s="131">
        <v>1</v>
      </c>
      <c r="R988" s="131">
        <v>1</v>
      </c>
      <c r="S988" s="131">
        <v>1</v>
      </c>
      <c r="T988" s="131">
        <v>1</v>
      </c>
      <c r="U988" s="131">
        <v>1</v>
      </c>
      <c r="V988" s="131">
        <v>1</v>
      </c>
      <c r="W988" s="131">
        <v>1</v>
      </c>
      <c r="X988" s="131">
        <v>1</v>
      </c>
      <c r="Y988" s="131">
        <v>1</v>
      </c>
      <c r="Z988" s="131">
        <v>1</v>
      </c>
      <c r="AA988" s="131">
        <v>1</v>
      </c>
      <c r="AB988" s="131">
        <v>1</v>
      </c>
      <c r="AC988" s="131">
        <v>1</v>
      </c>
      <c r="AD988" s="131">
        <v>1</v>
      </c>
      <c r="AE988" s="131">
        <v>1</v>
      </c>
      <c r="AF988" s="131">
        <v>1</v>
      </c>
      <c r="AG988" s="131">
        <v>1</v>
      </c>
      <c r="AH988" s="131">
        <v>1</v>
      </c>
      <c r="AI988" s="131">
        <v>1</v>
      </c>
      <c r="AJ988" s="131">
        <v>1</v>
      </c>
      <c r="AK988" s="131">
        <v>1</v>
      </c>
      <c r="AL988" s="131">
        <v>1</v>
      </c>
      <c r="AM988" s="131">
        <v>1</v>
      </c>
      <c r="AN988" s="131">
        <v>1</v>
      </c>
      <c r="AO988" s="131">
        <v>1</v>
      </c>
      <c r="AP988" s="131">
        <v>1</v>
      </c>
      <c r="AQ988" s="131">
        <v>1</v>
      </c>
      <c r="AR988" s="131">
        <v>1</v>
      </c>
      <c r="AS988" s="131">
        <v>1</v>
      </c>
      <c r="AT988" s="131">
        <v>1</v>
      </c>
      <c r="AU988" s="131">
        <v>1</v>
      </c>
      <c r="AV988" s="131">
        <v>1</v>
      </c>
      <c r="AW988" s="131">
        <v>1</v>
      </c>
      <c r="AX988" s="131">
        <v>1</v>
      </c>
      <c r="AY988" s="131">
        <v>1</v>
      </c>
      <c r="AZ988" s="131">
        <v>1</v>
      </c>
      <c r="BA988" s="131">
        <v>1</v>
      </c>
      <c r="BB988" s="131">
        <v>1</v>
      </c>
      <c r="BC988" s="131">
        <f>BB988</f>
        <v>1</v>
      </c>
      <c r="BD988" s="131">
        <f t="shared" ref="BD988:BG988" si="235">BC988</f>
        <v>1</v>
      </c>
      <c r="BE988" s="131">
        <f t="shared" si="235"/>
        <v>1</v>
      </c>
      <c r="BF988" s="131">
        <f t="shared" si="235"/>
        <v>1</v>
      </c>
      <c r="BG988" s="131">
        <f t="shared" si="235"/>
        <v>1</v>
      </c>
    </row>
    <row r="989" spans="1:59" ht="12.75" customHeight="1">
      <c r="A989" s="141" t="s">
        <v>644</v>
      </c>
      <c r="F989" s="168" t="s">
        <v>646</v>
      </c>
      <c r="G989" s="109" t="s">
        <v>3</v>
      </c>
      <c r="J989" s="131">
        <v>1</v>
      </c>
      <c r="K989" s="131">
        <v>1</v>
      </c>
      <c r="L989" s="131">
        <v>1</v>
      </c>
      <c r="M989" s="131">
        <v>1</v>
      </c>
      <c r="N989" s="131">
        <v>1</v>
      </c>
      <c r="O989" s="131">
        <v>1</v>
      </c>
      <c r="P989" s="131">
        <v>1</v>
      </c>
      <c r="Q989" s="131">
        <v>1</v>
      </c>
      <c r="R989" s="131">
        <v>1</v>
      </c>
      <c r="S989" s="131">
        <v>1</v>
      </c>
      <c r="T989" s="131">
        <v>1</v>
      </c>
      <c r="U989" s="131">
        <v>1</v>
      </c>
      <c r="V989" s="131">
        <v>1</v>
      </c>
      <c r="W989" s="131">
        <v>1</v>
      </c>
      <c r="X989" s="131">
        <v>1</v>
      </c>
      <c r="Y989" s="131">
        <v>1</v>
      </c>
      <c r="Z989" s="131">
        <v>1</v>
      </c>
      <c r="AA989" s="131">
        <v>1</v>
      </c>
      <c r="AB989" s="131">
        <v>1</v>
      </c>
      <c r="AC989" s="131">
        <v>1</v>
      </c>
      <c r="AD989" s="131">
        <v>1</v>
      </c>
      <c r="AE989" s="131">
        <v>1</v>
      </c>
      <c r="AF989" s="131">
        <v>1</v>
      </c>
      <c r="AG989" s="131">
        <v>1</v>
      </c>
      <c r="AH989" s="131">
        <v>1</v>
      </c>
      <c r="AI989" s="131">
        <v>1</v>
      </c>
      <c r="AJ989" s="131">
        <v>1</v>
      </c>
      <c r="AK989" s="131">
        <v>1</v>
      </c>
      <c r="AL989" s="131">
        <v>1</v>
      </c>
      <c r="AM989" s="131">
        <v>1</v>
      </c>
      <c r="AN989" s="131">
        <v>1</v>
      </c>
      <c r="AO989" s="131">
        <v>1</v>
      </c>
      <c r="AP989" s="131">
        <v>1</v>
      </c>
      <c r="AQ989" s="131">
        <v>1</v>
      </c>
      <c r="AR989" s="131">
        <v>1</v>
      </c>
      <c r="AS989" s="131">
        <v>1</v>
      </c>
      <c r="AT989" s="131">
        <v>1</v>
      </c>
      <c r="AU989" s="131">
        <v>1</v>
      </c>
      <c r="AV989" s="131">
        <v>1</v>
      </c>
      <c r="AW989" s="131">
        <v>1</v>
      </c>
      <c r="AX989" s="131">
        <v>1</v>
      </c>
      <c r="AY989" s="131">
        <v>1</v>
      </c>
      <c r="AZ989" s="131">
        <v>1</v>
      </c>
      <c r="BA989" s="131">
        <v>1</v>
      </c>
      <c r="BB989" s="131">
        <v>1</v>
      </c>
      <c r="BC989" s="131">
        <f t="shared" ref="BC989:BG998" si="236">BB989</f>
        <v>1</v>
      </c>
      <c r="BD989" s="131">
        <f t="shared" si="236"/>
        <v>1</v>
      </c>
      <c r="BE989" s="131">
        <f t="shared" si="236"/>
        <v>1</v>
      </c>
      <c r="BF989" s="131">
        <f t="shared" si="236"/>
        <v>1</v>
      </c>
      <c r="BG989" s="131">
        <f t="shared" si="236"/>
        <v>1</v>
      </c>
    </row>
    <row r="990" spans="1:59" ht="12.75" customHeight="1">
      <c r="A990" s="141" t="s">
        <v>644</v>
      </c>
      <c r="F990" s="168" t="s">
        <v>647</v>
      </c>
      <c r="G990" s="109" t="s">
        <v>3</v>
      </c>
      <c r="J990" s="131">
        <v>1</v>
      </c>
      <c r="K990" s="131">
        <v>1</v>
      </c>
      <c r="L990" s="131">
        <v>1</v>
      </c>
      <c r="M990" s="131">
        <v>1</v>
      </c>
      <c r="N990" s="131">
        <v>1</v>
      </c>
      <c r="O990" s="131">
        <v>1</v>
      </c>
      <c r="P990" s="131">
        <v>1</v>
      </c>
      <c r="Q990" s="131">
        <v>1</v>
      </c>
      <c r="R990" s="131">
        <v>1</v>
      </c>
      <c r="S990" s="131">
        <v>1</v>
      </c>
      <c r="T990" s="131">
        <v>1</v>
      </c>
      <c r="U990" s="131">
        <v>1</v>
      </c>
      <c r="V990" s="131">
        <v>1</v>
      </c>
      <c r="W990" s="131">
        <v>1</v>
      </c>
      <c r="X990" s="131">
        <v>1</v>
      </c>
      <c r="Y990" s="131">
        <v>1</v>
      </c>
      <c r="Z990" s="131">
        <v>1</v>
      </c>
      <c r="AA990" s="131">
        <v>1</v>
      </c>
      <c r="AB990" s="131">
        <v>1</v>
      </c>
      <c r="AC990" s="131">
        <v>1</v>
      </c>
      <c r="AD990" s="131">
        <v>1</v>
      </c>
      <c r="AE990" s="131">
        <v>1</v>
      </c>
      <c r="AF990" s="131">
        <v>1</v>
      </c>
      <c r="AG990" s="131">
        <v>1</v>
      </c>
      <c r="AH990" s="131">
        <v>1</v>
      </c>
      <c r="AI990" s="131">
        <v>1</v>
      </c>
      <c r="AJ990" s="131">
        <v>1</v>
      </c>
      <c r="AK990" s="131">
        <v>1</v>
      </c>
      <c r="AL990" s="131">
        <v>1</v>
      </c>
      <c r="AM990" s="131">
        <v>1</v>
      </c>
      <c r="AN990" s="131">
        <v>1</v>
      </c>
      <c r="AO990" s="131">
        <v>1</v>
      </c>
      <c r="AP990" s="131">
        <v>1</v>
      </c>
      <c r="AQ990" s="131">
        <v>1</v>
      </c>
      <c r="AR990" s="131">
        <v>1</v>
      </c>
      <c r="AS990" s="131">
        <v>1</v>
      </c>
      <c r="AT990" s="131">
        <v>1</v>
      </c>
      <c r="AU990" s="131">
        <v>1</v>
      </c>
      <c r="AV990" s="131">
        <v>1</v>
      </c>
      <c r="AW990" s="131">
        <v>1</v>
      </c>
      <c r="AX990" s="131">
        <v>1</v>
      </c>
      <c r="AY990" s="131">
        <v>1</v>
      </c>
      <c r="AZ990" s="131">
        <v>1</v>
      </c>
      <c r="BA990" s="131">
        <v>1</v>
      </c>
      <c r="BB990" s="131">
        <v>1</v>
      </c>
      <c r="BC990" s="131">
        <f t="shared" si="236"/>
        <v>1</v>
      </c>
      <c r="BD990" s="131">
        <f t="shared" si="236"/>
        <v>1</v>
      </c>
      <c r="BE990" s="131">
        <f t="shared" si="236"/>
        <v>1</v>
      </c>
      <c r="BF990" s="131">
        <f t="shared" si="236"/>
        <v>1</v>
      </c>
      <c r="BG990" s="131">
        <f t="shared" si="236"/>
        <v>1</v>
      </c>
    </row>
    <row r="991" spans="1:59" ht="12.75" customHeight="1">
      <c r="A991" s="141" t="s">
        <v>644</v>
      </c>
      <c r="F991" s="168" t="s">
        <v>648</v>
      </c>
      <c r="G991" s="109" t="s">
        <v>3</v>
      </c>
      <c r="J991" s="131">
        <v>1</v>
      </c>
      <c r="K991" s="131">
        <v>1</v>
      </c>
      <c r="L991" s="131">
        <v>1</v>
      </c>
      <c r="M991" s="131">
        <v>1</v>
      </c>
      <c r="N991" s="131">
        <v>1</v>
      </c>
      <c r="O991" s="131">
        <v>1</v>
      </c>
      <c r="P991" s="131">
        <v>1</v>
      </c>
      <c r="Q991" s="131">
        <v>1</v>
      </c>
      <c r="R991" s="131">
        <v>1</v>
      </c>
      <c r="S991" s="131">
        <v>1</v>
      </c>
      <c r="T991" s="131">
        <v>1</v>
      </c>
      <c r="U991" s="131">
        <v>1</v>
      </c>
      <c r="V991" s="131">
        <v>1</v>
      </c>
      <c r="W991" s="131">
        <v>1</v>
      </c>
      <c r="X991" s="131">
        <v>1</v>
      </c>
      <c r="Y991" s="131">
        <v>1</v>
      </c>
      <c r="Z991" s="131">
        <v>1</v>
      </c>
      <c r="AA991" s="131">
        <v>1</v>
      </c>
      <c r="AB991" s="131">
        <v>1</v>
      </c>
      <c r="AC991" s="131">
        <v>1</v>
      </c>
      <c r="AD991" s="131">
        <v>1</v>
      </c>
      <c r="AE991" s="131">
        <v>1</v>
      </c>
      <c r="AF991" s="131">
        <v>1</v>
      </c>
      <c r="AG991" s="131">
        <v>1</v>
      </c>
      <c r="AH991" s="131">
        <v>1</v>
      </c>
      <c r="AI991" s="131">
        <v>1</v>
      </c>
      <c r="AJ991" s="131">
        <v>1</v>
      </c>
      <c r="AK991" s="131">
        <v>1</v>
      </c>
      <c r="AL991" s="131">
        <v>1</v>
      </c>
      <c r="AM991" s="131">
        <v>1</v>
      </c>
      <c r="AN991" s="131">
        <v>1</v>
      </c>
      <c r="AO991" s="131">
        <v>1</v>
      </c>
      <c r="AP991" s="131">
        <v>1</v>
      </c>
      <c r="AQ991" s="131">
        <v>1</v>
      </c>
      <c r="AR991" s="131">
        <v>1</v>
      </c>
      <c r="AS991" s="131">
        <v>1</v>
      </c>
      <c r="AT991" s="131">
        <v>1</v>
      </c>
      <c r="AU991" s="131">
        <v>1</v>
      </c>
      <c r="AV991" s="131">
        <v>1</v>
      </c>
      <c r="AW991" s="131">
        <v>1</v>
      </c>
      <c r="AX991" s="131">
        <v>1</v>
      </c>
      <c r="AY991" s="131">
        <v>1</v>
      </c>
      <c r="AZ991" s="131">
        <v>1</v>
      </c>
      <c r="BA991" s="131">
        <v>1</v>
      </c>
      <c r="BB991" s="131">
        <v>1</v>
      </c>
      <c r="BC991" s="131">
        <f t="shared" si="236"/>
        <v>1</v>
      </c>
      <c r="BD991" s="131">
        <f t="shared" si="236"/>
        <v>1</v>
      </c>
      <c r="BE991" s="131">
        <f t="shared" si="236"/>
        <v>1</v>
      </c>
      <c r="BF991" s="131">
        <f t="shared" si="236"/>
        <v>1</v>
      </c>
      <c r="BG991" s="131">
        <f t="shared" si="236"/>
        <v>1</v>
      </c>
    </row>
    <row r="992" spans="1:59" ht="12.75" customHeight="1">
      <c r="A992" s="141" t="s">
        <v>644</v>
      </c>
      <c r="F992" s="168" t="s">
        <v>649</v>
      </c>
      <c r="G992" s="109" t="s">
        <v>3</v>
      </c>
      <c r="J992" s="131">
        <v>1</v>
      </c>
      <c r="K992" s="131">
        <v>1</v>
      </c>
      <c r="L992" s="131">
        <v>1</v>
      </c>
      <c r="M992" s="131">
        <v>1</v>
      </c>
      <c r="N992" s="131">
        <v>1</v>
      </c>
      <c r="O992" s="131">
        <v>1</v>
      </c>
      <c r="P992" s="131">
        <v>1</v>
      </c>
      <c r="Q992" s="131">
        <v>1</v>
      </c>
      <c r="R992" s="131">
        <v>1</v>
      </c>
      <c r="S992" s="131">
        <v>1</v>
      </c>
      <c r="T992" s="131">
        <v>1</v>
      </c>
      <c r="U992" s="131">
        <v>1</v>
      </c>
      <c r="V992" s="131">
        <v>1</v>
      </c>
      <c r="W992" s="131">
        <v>1</v>
      </c>
      <c r="X992" s="131">
        <v>1</v>
      </c>
      <c r="Y992" s="131">
        <v>1</v>
      </c>
      <c r="Z992" s="131">
        <v>1</v>
      </c>
      <c r="AA992" s="131">
        <v>1</v>
      </c>
      <c r="AB992" s="131">
        <v>1</v>
      </c>
      <c r="AC992" s="131">
        <v>1</v>
      </c>
      <c r="AD992" s="131">
        <v>1</v>
      </c>
      <c r="AE992" s="131">
        <v>1</v>
      </c>
      <c r="AF992" s="131">
        <v>1</v>
      </c>
      <c r="AG992" s="131">
        <v>1</v>
      </c>
      <c r="AH992" s="131">
        <v>1</v>
      </c>
      <c r="AI992" s="131">
        <v>1</v>
      </c>
      <c r="AJ992" s="131">
        <v>1</v>
      </c>
      <c r="AK992" s="131">
        <v>1</v>
      </c>
      <c r="AL992" s="131">
        <v>1</v>
      </c>
      <c r="AM992" s="131">
        <v>1</v>
      </c>
      <c r="AN992" s="131">
        <v>1</v>
      </c>
      <c r="AO992" s="131">
        <v>1</v>
      </c>
      <c r="AP992" s="131">
        <v>1</v>
      </c>
      <c r="AQ992" s="131">
        <v>1</v>
      </c>
      <c r="AR992" s="131">
        <v>1</v>
      </c>
      <c r="AS992" s="131">
        <v>1</v>
      </c>
      <c r="AT992" s="131">
        <v>1</v>
      </c>
      <c r="AU992" s="131">
        <v>1</v>
      </c>
      <c r="AV992" s="131">
        <v>1</v>
      </c>
      <c r="AW992" s="131">
        <v>1</v>
      </c>
      <c r="AX992" s="131">
        <v>1</v>
      </c>
      <c r="AY992" s="131">
        <v>1</v>
      </c>
      <c r="AZ992" s="131">
        <v>1</v>
      </c>
      <c r="BA992" s="131">
        <v>1</v>
      </c>
      <c r="BB992" s="131">
        <v>1</v>
      </c>
      <c r="BC992" s="131">
        <f t="shared" si="236"/>
        <v>1</v>
      </c>
      <c r="BD992" s="131">
        <f t="shared" si="236"/>
        <v>1</v>
      </c>
      <c r="BE992" s="131">
        <f t="shared" si="236"/>
        <v>1</v>
      </c>
      <c r="BF992" s="131">
        <f t="shared" si="236"/>
        <v>1</v>
      </c>
      <c r="BG992" s="131">
        <f t="shared" si="236"/>
        <v>1</v>
      </c>
    </row>
    <row r="993" spans="1:59" ht="12.75" customHeight="1">
      <c r="A993" s="141" t="s">
        <v>644</v>
      </c>
      <c r="F993" s="168" t="s">
        <v>650</v>
      </c>
      <c r="G993" s="109" t="s">
        <v>3</v>
      </c>
      <c r="J993" s="131">
        <v>1</v>
      </c>
      <c r="K993" s="131">
        <v>1</v>
      </c>
      <c r="L993" s="131">
        <v>1</v>
      </c>
      <c r="M993" s="131">
        <v>1</v>
      </c>
      <c r="N993" s="131">
        <v>1</v>
      </c>
      <c r="O993" s="131">
        <v>1</v>
      </c>
      <c r="P993" s="131">
        <v>1</v>
      </c>
      <c r="Q993" s="131">
        <v>1</v>
      </c>
      <c r="R993" s="131">
        <v>1</v>
      </c>
      <c r="S993" s="131">
        <v>1</v>
      </c>
      <c r="T993" s="131">
        <v>1</v>
      </c>
      <c r="U993" s="131">
        <v>1</v>
      </c>
      <c r="V993" s="131">
        <v>1</v>
      </c>
      <c r="W993" s="131">
        <v>1</v>
      </c>
      <c r="X993" s="131">
        <v>1</v>
      </c>
      <c r="Y993" s="131">
        <v>1</v>
      </c>
      <c r="Z993" s="131">
        <v>1</v>
      </c>
      <c r="AA993" s="131">
        <v>1</v>
      </c>
      <c r="AB993" s="131">
        <v>1</v>
      </c>
      <c r="AC993" s="131">
        <v>1</v>
      </c>
      <c r="AD993" s="131">
        <v>1</v>
      </c>
      <c r="AE993" s="131">
        <v>1</v>
      </c>
      <c r="AF993" s="131">
        <v>1</v>
      </c>
      <c r="AG993" s="131">
        <v>1</v>
      </c>
      <c r="AH993" s="131">
        <v>1</v>
      </c>
      <c r="AI993" s="131">
        <v>1</v>
      </c>
      <c r="AJ993" s="131">
        <v>1</v>
      </c>
      <c r="AK993" s="131">
        <v>1</v>
      </c>
      <c r="AL993" s="131">
        <v>1</v>
      </c>
      <c r="AM993" s="131">
        <v>1</v>
      </c>
      <c r="AN993" s="131">
        <v>1</v>
      </c>
      <c r="AO993" s="131">
        <v>1</v>
      </c>
      <c r="AP993" s="131">
        <v>1</v>
      </c>
      <c r="AQ993" s="131">
        <v>1</v>
      </c>
      <c r="AR993" s="131">
        <v>1</v>
      </c>
      <c r="AS993" s="131">
        <v>1</v>
      </c>
      <c r="AT993" s="131">
        <v>1</v>
      </c>
      <c r="AU993" s="131">
        <v>1</v>
      </c>
      <c r="AV993" s="131">
        <v>1</v>
      </c>
      <c r="AW993" s="131">
        <v>1</v>
      </c>
      <c r="AX993" s="131">
        <v>1</v>
      </c>
      <c r="AY993" s="131">
        <v>1</v>
      </c>
      <c r="AZ993" s="131">
        <v>1</v>
      </c>
      <c r="BA993" s="131">
        <v>1</v>
      </c>
      <c r="BB993" s="131">
        <v>1</v>
      </c>
      <c r="BC993" s="131">
        <f t="shared" si="236"/>
        <v>1</v>
      </c>
      <c r="BD993" s="131">
        <f t="shared" si="236"/>
        <v>1</v>
      </c>
      <c r="BE993" s="131">
        <f t="shared" si="236"/>
        <v>1</v>
      </c>
      <c r="BF993" s="131">
        <f t="shared" si="236"/>
        <v>1</v>
      </c>
      <c r="BG993" s="131">
        <f t="shared" si="236"/>
        <v>1</v>
      </c>
    </row>
    <row r="994" spans="1:59" ht="12.75" customHeight="1">
      <c r="A994" s="141" t="s">
        <v>644</v>
      </c>
      <c r="F994" s="168" t="s">
        <v>651</v>
      </c>
      <c r="G994" s="109" t="s">
        <v>3</v>
      </c>
      <c r="J994" s="131">
        <v>1</v>
      </c>
      <c r="K994" s="131">
        <v>1</v>
      </c>
      <c r="L994" s="131">
        <v>1</v>
      </c>
      <c r="M994" s="131">
        <v>1</v>
      </c>
      <c r="N994" s="131">
        <v>1</v>
      </c>
      <c r="O994" s="131">
        <v>1</v>
      </c>
      <c r="P994" s="131">
        <v>1</v>
      </c>
      <c r="Q994" s="131">
        <v>1</v>
      </c>
      <c r="R994" s="131">
        <v>1</v>
      </c>
      <c r="S994" s="131">
        <v>1</v>
      </c>
      <c r="T994" s="131">
        <v>1</v>
      </c>
      <c r="U994" s="131">
        <v>1</v>
      </c>
      <c r="V994" s="131">
        <v>1</v>
      </c>
      <c r="W994" s="131">
        <v>1</v>
      </c>
      <c r="X994" s="131">
        <v>1</v>
      </c>
      <c r="Y994" s="131">
        <v>1</v>
      </c>
      <c r="Z994" s="131">
        <v>1</v>
      </c>
      <c r="AA994" s="131">
        <v>1</v>
      </c>
      <c r="AB994" s="131">
        <v>1</v>
      </c>
      <c r="AC994" s="131">
        <v>1</v>
      </c>
      <c r="AD994" s="131">
        <v>1</v>
      </c>
      <c r="AE994" s="131">
        <v>1</v>
      </c>
      <c r="AF994" s="131">
        <v>1</v>
      </c>
      <c r="AG994" s="131">
        <v>1</v>
      </c>
      <c r="AH994" s="131">
        <v>1</v>
      </c>
      <c r="AI994" s="131">
        <v>1</v>
      </c>
      <c r="AJ994" s="131">
        <v>1</v>
      </c>
      <c r="AK994" s="131">
        <v>1</v>
      </c>
      <c r="AL994" s="131">
        <v>1</v>
      </c>
      <c r="AM994" s="131">
        <v>1</v>
      </c>
      <c r="AN994" s="131">
        <v>1</v>
      </c>
      <c r="AO994" s="131">
        <v>1</v>
      </c>
      <c r="AP994" s="131">
        <v>1</v>
      </c>
      <c r="AQ994" s="131">
        <v>1</v>
      </c>
      <c r="AR994" s="131">
        <v>1</v>
      </c>
      <c r="AS994" s="131">
        <v>1</v>
      </c>
      <c r="AT994" s="131">
        <v>1</v>
      </c>
      <c r="AU994" s="131">
        <v>1</v>
      </c>
      <c r="AV994" s="131">
        <v>1</v>
      </c>
      <c r="AW994" s="131">
        <v>1</v>
      </c>
      <c r="AX994" s="131">
        <v>1</v>
      </c>
      <c r="AY994" s="131">
        <v>1</v>
      </c>
      <c r="AZ994" s="131">
        <v>1</v>
      </c>
      <c r="BA994" s="131">
        <v>1</v>
      </c>
      <c r="BB994" s="131">
        <v>1</v>
      </c>
      <c r="BC994" s="131">
        <f t="shared" si="236"/>
        <v>1</v>
      </c>
      <c r="BD994" s="131">
        <f t="shared" si="236"/>
        <v>1</v>
      </c>
      <c r="BE994" s="131">
        <f t="shared" si="236"/>
        <v>1</v>
      </c>
      <c r="BF994" s="131">
        <f t="shared" si="236"/>
        <v>1</v>
      </c>
      <c r="BG994" s="131">
        <f t="shared" si="236"/>
        <v>1</v>
      </c>
    </row>
    <row r="995" spans="1:59" ht="12.75" customHeight="1">
      <c r="A995" s="141" t="s">
        <v>644</v>
      </c>
      <c r="F995" s="168" t="s">
        <v>652</v>
      </c>
      <c r="G995" s="109" t="s">
        <v>3</v>
      </c>
      <c r="J995" s="131">
        <v>1</v>
      </c>
      <c r="K995" s="131">
        <v>1</v>
      </c>
      <c r="L995" s="131">
        <v>1</v>
      </c>
      <c r="M995" s="131">
        <v>1</v>
      </c>
      <c r="N995" s="131">
        <v>1</v>
      </c>
      <c r="O995" s="131">
        <v>1</v>
      </c>
      <c r="P995" s="131">
        <v>1</v>
      </c>
      <c r="Q995" s="131">
        <v>1</v>
      </c>
      <c r="R995" s="131">
        <v>1</v>
      </c>
      <c r="S995" s="131">
        <v>1</v>
      </c>
      <c r="T995" s="131">
        <v>1</v>
      </c>
      <c r="U995" s="131">
        <v>1</v>
      </c>
      <c r="V995" s="131">
        <v>1</v>
      </c>
      <c r="W995" s="131">
        <v>1</v>
      </c>
      <c r="X995" s="131">
        <v>1</v>
      </c>
      <c r="Y995" s="131">
        <v>1</v>
      </c>
      <c r="Z995" s="131">
        <v>1</v>
      </c>
      <c r="AA995" s="131">
        <v>1</v>
      </c>
      <c r="AB995" s="131">
        <v>1</v>
      </c>
      <c r="AC995" s="131">
        <v>1</v>
      </c>
      <c r="AD995" s="131">
        <v>1</v>
      </c>
      <c r="AE995" s="131">
        <v>1</v>
      </c>
      <c r="AF995" s="131">
        <v>1</v>
      </c>
      <c r="AG995" s="131">
        <v>1</v>
      </c>
      <c r="AH995" s="131">
        <v>1</v>
      </c>
      <c r="AI995" s="131">
        <v>1</v>
      </c>
      <c r="AJ995" s="131">
        <v>1</v>
      </c>
      <c r="AK995" s="131">
        <v>1</v>
      </c>
      <c r="AL995" s="131">
        <v>1</v>
      </c>
      <c r="AM995" s="131">
        <v>1</v>
      </c>
      <c r="AN995" s="131">
        <v>1</v>
      </c>
      <c r="AO995" s="131">
        <v>1</v>
      </c>
      <c r="AP995" s="131">
        <v>1</v>
      </c>
      <c r="AQ995" s="131">
        <v>1</v>
      </c>
      <c r="AR995" s="131">
        <v>1</v>
      </c>
      <c r="AS995" s="131">
        <v>1</v>
      </c>
      <c r="AT995" s="131">
        <v>1</v>
      </c>
      <c r="AU995" s="131">
        <v>1</v>
      </c>
      <c r="AV995" s="131">
        <v>1</v>
      </c>
      <c r="AW995" s="131">
        <v>1</v>
      </c>
      <c r="AX995" s="131">
        <v>1</v>
      </c>
      <c r="AY995" s="131">
        <v>1</v>
      </c>
      <c r="AZ995" s="131">
        <v>1</v>
      </c>
      <c r="BA995" s="131">
        <v>1</v>
      </c>
      <c r="BB995" s="131">
        <v>1</v>
      </c>
      <c r="BC995" s="131">
        <f t="shared" si="236"/>
        <v>1</v>
      </c>
      <c r="BD995" s="131">
        <f t="shared" si="236"/>
        <v>1</v>
      </c>
      <c r="BE995" s="131">
        <f t="shared" si="236"/>
        <v>1</v>
      </c>
      <c r="BF995" s="131">
        <f t="shared" si="236"/>
        <v>1</v>
      </c>
      <c r="BG995" s="131">
        <f t="shared" si="236"/>
        <v>1</v>
      </c>
    </row>
    <row r="996" spans="1:59" ht="12.75" customHeight="1">
      <c r="A996" s="141" t="s">
        <v>644</v>
      </c>
      <c r="F996" s="168" t="s">
        <v>653</v>
      </c>
      <c r="G996" s="109" t="s">
        <v>3</v>
      </c>
      <c r="J996" s="131">
        <v>1</v>
      </c>
      <c r="K996" s="131">
        <v>1</v>
      </c>
      <c r="L996" s="131">
        <v>1</v>
      </c>
      <c r="M996" s="131">
        <v>1</v>
      </c>
      <c r="N996" s="131">
        <v>1</v>
      </c>
      <c r="O996" s="131">
        <v>1</v>
      </c>
      <c r="P996" s="131">
        <v>1</v>
      </c>
      <c r="Q996" s="131">
        <v>1</v>
      </c>
      <c r="R996" s="131">
        <v>1</v>
      </c>
      <c r="S996" s="131">
        <v>1</v>
      </c>
      <c r="T996" s="131">
        <v>1</v>
      </c>
      <c r="U996" s="131">
        <v>1</v>
      </c>
      <c r="V996" s="131">
        <v>1</v>
      </c>
      <c r="W996" s="131">
        <v>1</v>
      </c>
      <c r="X996" s="131">
        <v>1</v>
      </c>
      <c r="Y996" s="131">
        <v>1</v>
      </c>
      <c r="Z996" s="131">
        <v>1</v>
      </c>
      <c r="AA996" s="131">
        <v>1</v>
      </c>
      <c r="AB996" s="131">
        <v>1</v>
      </c>
      <c r="AC996" s="131">
        <v>1</v>
      </c>
      <c r="AD996" s="131">
        <v>1</v>
      </c>
      <c r="AE996" s="131">
        <v>1</v>
      </c>
      <c r="AF996" s="131">
        <v>1</v>
      </c>
      <c r="AG996" s="131">
        <v>1</v>
      </c>
      <c r="AH996" s="131">
        <v>1</v>
      </c>
      <c r="AI996" s="131">
        <v>1</v>
      </c>
      <c r="AJ996" s="131">
        <v>1</v>
      </c>
      <c r="AK996" s="131">
        <v>1</v>
      </c>
      <c r="AL996" s="131">
        <v>1</v>
      </c>
      <c r="AM996" s="131">
        <v>1</v>
      </c>
      <c r="AN996" s="131">
        <v>1</v>
      </c>
      <c r="AO996" s="131">
        <v>1</v>
      </c>
      <c r="AP996" s="131">
        <v>1</v>
      </c>
      <c r="AQ996" s="131">
        <v>1</v>
      </c>
      <c r="AR996" s="131">
        <v>1</v>
      </c>
      <c r="AS996" s="131">
        <v>1</v>
      </c>
      <c r="AT996" s="131">
        <v>1</v>
      </c>
      <c r="AU996" s="131">
        <v>1</v>
      </c>
      <c r="AV996" s="131">
        <v>1</v>
      </c>
      <c r="AW996" s="131">
        <v>1</v>
      </c>
      <c r="AX996" s="131">
        <v>1</v>
      </c>
      <c r="AY996" s="131">
        <v>1</v>
      </c>
      <c r="AZ996" s="131">
        <v>1</v>
      </c>
      <c r="BA996" s="131">
        <v>1</v>
      </c>
      <c r="BB996" s="131">
        <v>1</v>
      </c>
      <c r="BC996" s="131">
        <f t="shared" si="236"/>
        <v>1</v>
      </c>
      <c r="BD996" s="131">
        <f t="shared" si="236"/>
        <v>1</v>
      </c>
      <c r="BE996" s="131">
        <f t="shared" si="236"/>
        <v>1</v>
      </c>
      <c r="BF996" s="131">
        <f t="shared" si="236"/>
        <v>1</v>
      </c>
      <c r="BG996" s="131">
        <f t="shared" si="236"/>
        <v>1</v>
      </c>
    </row>
    <row r="997" spans="1:59" ht="12.75" customHeight="1">
      <c r="A997" s="141" t="s">
        <v>644</v>
      </c>
      <c r="F997" s="168" t="s">
        <v>654</v>
      </c>
      <c r="G997" s="109" t="s">
        <v>3</v>
      </c>
      <c r="J997" s="131">
        <v>1</v>
      </c>
      <c r="K997" s="131">
        <v>1</v>
      </c>
      <c r="L997" s="131">
        <v>1</v>
      </c>
      <c r="M997" s="131">
        <v>1</v>
      </c>
      <c r="N997" s="131">
        <v>1</v>
      </c>
      <c r="O997" s="131">
        <v>1</v>
      </c>
      <c r="P997" s="131">
        <v>1</v>
      </c>
      <c r="Q997" s="131">
        <v>1</v>
      </c>
      <c r="R997" s="131">
        <v>1</v>
      </c>
      <c r="S997" s="131">
        <v>1</v>
      </c>
      <c r="T997" s="131">
        <v>1</v>
      </c>
      <c r="U997" s="131">
        <v>1</v>
      </c>
      <c r="V997" s="131">
        <v>1</v>
      </c>
      <c r="W997" s="131">
        <v>1</v>
      </c>
      <c r="X997" s="131">
        <v>1</v>
      </c>
      <c r="Y997" s="131">
        <v>1</v>
      </c>
      <c r="Z997" s="131">
        <v>1</v>
      </c>
      <c r="AA997" s="131">
        <v>1</v>
      </c>
      <c r="AB997" s="131">
        <v>1</v>
      </c>
      <c r="AC997" s="131">
        <v>1</v>
      </c>
      <c r="AD997" s="131">
        <v>1</v>
      </c>
      <c r="AE997" s="131">
        <v>1</v>
      </c>
      <c r="AF997" s="131">
        <v>1</v>
      </c>
      <c r="AG997" s="131">
        <v>1</v>
      </c>
      <c r="AH997" s="131">
        <v>1</v>
      </c>
      <c r="AI997" s="131">
        <v>1</v>
      </c>
      <c r="AJ997" s="131">
        <v>1</v>
      </c>
      <c r="AK997" s="131">
        <v>1</v>
      </c>
      <c r="AL997" s="131">
        <v>1</v>
      </c>
      <c r="AM997" s="131">
        <v>1</v>
      </c>
      <c r="AN997" s="131">
        <v>1</v>
      </c>
      <c r="AO997" s="131">
        <v>1</v>
      </c>
      <c r="AP997" s="131">
        <v>1</v>
      </c>
      <c r="AQ997" s="131">
        <v>1</v>
      </c>
      <c r="AR997" s="131">
        <v>1</v>
      </c>
      <c r="AS997" s="131">
        <v>1</v>
      </c>
      <c r="AT997" s="131">
        <v>1</v>
      </c>
      <c r="AU997" s="131">
        <v>1</v>
      </c>
      <c r="AV997" s="131">
        <v>1</v>
      </c>
      <c r="AW997" s="131">
        <v>1</v>
      </c>
      <c r="AX997" s="131">
        <v>1</v>
      </c>
      <c r="AY997" s="131">
        <v>1</v>
      </c>
      <c r="AZ997" s="131">
        <v>1</v>
      </c>
      <c r="BA997" s="131">
        <v>1</v>
      </c>
      <c r="BB997" s="131">
        <v>1</v>
      </c>
      <c r="BC997" s="131">
        <f t="shared" si="236"/>
        <v>1</v>
      </c>
      <c r="BD997" s="131">
        <f t="shared" si="236"/>
        <v>1</v>
      </c>
      <c r="BE997" s="131">
        <f t="shared" si="236"/>
        <v>1</v>
      </c>
      <c r="BF997" s="131">
        <f t="shared" si="236"/>
        <v>1</v>
      </c>
      <c r="BG997" s="131">
        <f t="shared" si="236"/>
        <v>1</v>
      </c>
    </row>
    <row r="998" spans="1:59" ht="12.75" customHeight="1">
      <c r="A998" s="141" t="s">
        <v>644</v>
      </c>
      <c r="F998" s="168" t="s">
        <v>655</v>
      </c>
      <c r="G998" s="109" t="s">
        <v>656</v>
      </c>
      <c r="J998" s="109">
        <v>0</v>
      </c>
      <c r="K998" s="109">
        <v>0</v>
      </c>
      <c r="L998" s="109">
        <v>0</v>
      </c>
      <c r="M998" s="109">
        <v>0</v>
      </c>
      <c r="N998" s="109">
        <v>0</v>
      </c>
      <c r="O998" s="109">
        <v>0</v>
      </c>
      <c r="P998" s="109">
        <v>0</v>
      </c>
      <c r="Q998" s="109">
        <v>0</v>
      </c>
      <c r="R998" s="109">
        <v>0</v>
      </c>
      <c r="S998" s="109">
        <v>0</v>
      </c>
      <c r="T998" s="109">
        <v>0</v>
      </c>
      <c r="U998" s="109">
        <v>0</v>
      </c>
      <c r="V998" s="109">
        <v>0</v>
      </c>
      <c r="W998" s="109">
        <v>0</v>
      </c>
      <c r="X998" s="109">
        <v>0</v>
      </c>
      <c r="Y998" s="109">
        <v>0</v>
      </c>
      <c r="Z998" s="109">
        <v>0</v>
      </c>
      <c r="AA998" s="109">
        <v>0</v>
      </c>
      <c r="AB998" s="109">
        <v>0</v>
      </c>
      <c r="AC998" s="109">
        <v>0</v>
      </c>
      <c r="AD998" s="109">
        <v>0</v>
      </c>
      <c r="AE998" s="109">
        <v>0</v>
      </c>
      <c r="AF998" s="109">
        <v>0</v>
      </c>
      <c r="AG998" s="109">
        <v>0</v>
      </c>
      <c r="AH998" s="109">
        <v>0</v>
      </c>
      <c r="AI998" s="109">
        <v>0</v>
      </c>
      <c r="AJ998" s="109">
        <v>0</v>
      </c>
      <c r="AK998" s="109">
        <v>0</v>
      </c>
      <c r="AL998" s="109">
        <v>0</v>
      </c>
      <c r="AM998" s="109">
        <v>0</v>
      </c>
      <c r="AN998" s="109">
        <v>0</v>
      </c>
      <c r="AO998" s="109">
        <v>0</v>
      </c>
      <c r="AP998" s="109">
        <v>0</v>
      </c>
      <c r="AQ998" s="109">
        <v>0</v>
      </c>
      <c r="AR998" s="109">
        <v>0</v>
      </c>
      <c r="AS998" s="109">
        <v>0</v>
      </c>
      <c r="AT998" s="109">
        <v>0</v>
      </c>
      <c r="AU998" s="109">
        <v>0</v>
      </c>
      <c r="AV998" s="109">
        <v>0</v>
      </c>
      <c r="AW998" s="109">
        <v>0</v>
      </c>
      <c r="AX998" s="109">
        <v>0</v>
      </c>
      <c r="AY998" s="109">
        <v>0</v>
      </c>
      <c r="AZ998" s="109">
        <v>0</v>
      </c>
      <c r="BA998" s="109">
        <v>0</v>
      </c>
      <c r="BB998" s="109">
        <v>0</v>
      </c>
      <c r="BC998" s="109">
        <f t="shared" si="236"/>
        <v>0</v>
      </c>
      <c r="BD998" s="109">
        <f t="shared" si="236"/>
        <v>0</v>
      </c>
      <c r="BE998" s="109">
        <f t="shared" si="236"/>
        <v>0</v>
      </c>
      <c r="BF998" s="109">
        <f t="shared" si="236"/>
        <v>0</v>
      </c>
      <c r="BG998" s="109">
        <f t="shared" si="236"/>
        <v>0</v>
      </c>
    </row>
    <row r="999" spans="1:59" ht="12.75" customHeight="1">
      <c r="A999" s="141" t="s">
        <v>644</v>
      </c>
      <c r="F999" s="168"/>
    </row>
    <row r="1000" spans="1:59" ht="15" customHeight="1">
      <c r="A1000" s="141" t="s">
        <v>644</v>
      </c>
      <c r="F1000" s="168" t="s">
        <v>657</v>
      </c>
      <c r="G1000" s="109" t="s">
        <v>3</v>
      </c>
      <c r="J1000" s="131">
        <v>1</v>
      </c>
      <c r="K1000" s="131">
        <v>1</v>
      </c>
      <c r="L1000" s="131">
        <v>1</v>
      </c>
      <c r="M1000" s="131">
        <v>1</v>
      </c>
      <c r="N1000" s="131">
        <v>1</v>
      </c>
      <c r="O1000" s="131">
        <v>1</v>
      </c>
      <c r="P1000" s="131">
        <v>1</v>
      </c>
      <c r="Q1000" s="131">
        <v>1</v>
      </c>
      <c r="R1000" s="131">
        <v>1</v>
      </c>
      <c r="S1000" s="131">
        <v>1</v>
      </c>
      <c r="T1000" s="131">
        <v>1</v>
      </c>
      <c r="U1000" s="131">
        <v>1</v>
      </c>
      <c r="V1000" s="131">
        <v>1</v>
      </c>
      <c r="W1000" s="131">
        <v>1</v>
      </c>
      <c r="X1000" s="131">
        <v>1</v>
      </c>
      <c r="Y1000" s="131">
        <v>1</v>
      </c>
      <c r="Z1000" s="131">
        <v>1</v>
      </c>
      <c r="AA1000" s="131">
        <v>1</v>
      </c>
      <c r="AB1000" s="131">
        <v>1</v>
      </c>
      <c r="AC1000" s="131">
        <v>1</v>
      </c>
      <c r="AD1000" s="131">
        <v>1</v>
      </c>
      <c r="AE1000" s="131">
        <v>1</v>
      </c>
      <c r="AF1000" s="131">
        <v>1</v>
      </c>
      <c r="AG1000" s="131">
        <v>1</v>
      </c>
      <c r="AH1000" s="131">
        <v>1</v>
      </c>
      <c r="AI1000" s="131">
        <v>1</v>
      </c>
      <c r="AJ1000" s="131">
        <v>1</v>
      </c>
      <c r="AK1000" s="131">
        <v>1</v>
      </c>
      <c r="AL1000" s="131">
        <v>1</v>
      </c>
      <c r="AM1000" s="131">
        <v>1</v>
      </c>
      <c r="AN1000" s="131">
        <v>1</v>
      </c>
      <c r="AO1000" s="131">
        <v>1</v>
      </c>
      <c r="AP1000" s="131">
        <v>1</v>
      </c>
      <c r="AQ1000" s="131">
        <v>1</v>
      </c>
      <c r="AR1000" s="131">
        <v>1</v>
      </c>
      <c r="AS1000" s="131">
        <v>1</v>
      </c>
      <c r="AT1000" s="131">
        <v>1</v>
      </c>
      <c r="AU1000" s="131">
        <v>1</v>
      </c>
      <c r="AV1000" s="131">
        <v>1</v>
      </c>
      <c r="AW1000" s="131">
        <v>1</v>
      </c>
      <c r="AX1000" s="131">
        <v>1</v>
      </c>
      <c r="AY1000" s="131">
        <v>1</v>
      </c>
      <c r="AZ1000" s="131">
        <v>1</v>
      </c>
      <c r="BA1000" s="131">
        <v>1</v>
      </c>
      <c r="BB1000" s="131">
        <v>1</v>
      </c>
      <c r="BC1000" s="131">
        <v>1</v>
      </c>
      <c r="BD1000" s="131">
        <v>1</v>
      </c>
      <c r="BE1000" s="131">
        <v>1</v>
      </c>
      <c r="BF1000" s="131">
        <v>1</v>
      </c>
      <c r="BG1000" s="131">
        <v>1</v>
      </c>
    </row>
    <row r="1001" spans="1:59" ht="15" customHeight="1">
      <c r="A1001" s="141" t="s">
        <v>644</v>
      </c>
      <c r="F1001" s="168" t="s">
        <v>658</v>
      </c>
      <c r="G1001" s="109" t="s">
        <v>3</v>
      </c>
      <c r="J1001" s="131">
        <v>1</v>
      </c>
      <c r="K1001" s="131">
        <v>1</v>
      </c>
      <c r="L1001" s="131">
        <v>1</v>
      </c>
      <c r="M1001" s="131">
        <v>1</v>
      </c>
      <c r="N1001" s="131">
        <v>1</v>
      </c>
      <c r="O1001" s="131">
        <v>1</v>
      </c>
      <c r="P1001" s="131">
        <v>1</v>
      </c>
      <c r="Q1001" s="131">
        <v>1</v>
      </c>
      <c r="R1001" s="131">
        <v>1</v>
      </c>
      <c r="S1001" s="131">
        <v>1</v>
      </c>
      <c r="T1001" s="131">
        <v>1</v>
      </c>
      <c r="U1001" s="131">
        <v>1</v>
      </c>
      <c r="V1001" s="131">
        <v>1</v>
      </c>
      <c r="W1001" s="131">
        <v>1</v>
      </c>
      <c r="X1001" s="131">
        <v>1</v>
      </c>
      <c r="Y1001" s="131">
        <v>1</v>
      </c>
      <c r="Z1001" s="131">
        <v>1</v>
      </c>
      <c r="AA1001" s="131">
        <v>1</v>
      </c>
      <c r="AB1001" s="131">
        <v>1</v>
      </c>
      <c r="AC1001" s="131">
        <v>1</v>
      </c>
      <c r="AD1001" s="131">
        <v>1</v>
      </c>
      <c r="AE1001" s="131">
        <v>1</v>
      </c>
      <c r="AF1001" s="131">
        <v>1</v>
      </c>
      <c r="AG1001" s="131">
        <v>1</v>
      </c>
      <c r="AH1001" s="131">
        <v>1</v>
      </c>
      <c r="AI1001" s="131">
        <v>1</v>
      </c>
      <c r="AJ1001" s="131">
        <v>1</v>
      </c>
      <c r="AK1001" s="131">
        <v>1</v>
      </c>
      <c r="AL1001" s="131">
        <v>1</v>
      </c>
      <c r="AM1001" s="131">
        <v>1</v>
      </c>
      <c r="AN1001" s="131">
        <v>1</v>
      </c>
      <c r="AO1001" s="131">
        <v>1</v>
      </c>
      <c r="AP1001" s="131">
        <v>1</v>
      </c>
      <c r="AQ1001" s="131">
        <v>1</v>
      </c>
      <c r="AR1001" s="131">
        <v>1</v>
      </c>
      <c r="AS1001" s="131">
        <v>1</v>
      </c>
      <c r="AT1001" s="131">
        <v>1</v>
      </c>
      <c r="AU1001" s="131">
        <v>1</v>
      </c>
      <c r="AV1001" s="131">
        <v>1</v>
      </c>
      <c r="AW1001" s="131">
        <v>1</v>
      </c>
      <c r="AX1001" s="131">
        <v>1</v>
      </c>
      <c r="AY1001" s="131">
        <v>1</v>
      </c>
      <c r="AZ1001" s="131">
        <v>1</v>
      </c>
      <c r="BA1001" s="131">
        <v>1</v>
      </c>
      <c r="BB1001" s="131">
        <v>1</v>
      </c>
      <c r="BC1001" s="131">
        <v>1</v>
      </c>
      <c r="BD1001" s="131">
        <v>1</v>
      </c>
      <c r="BE1001" s="131">
        <v>1</v>
      </c>
      <c r="BF1001" s="131">
        <v>1</v>
      </c>
      <c r="BG1001" s="131">
        <v>1</v>
      </c>
    </row>
    <row r="1002" spans="1:59" ht="15" customHeight="1">
      <c r="A1002" s="141" t="s">
        <v>644</v>
      </c>
      <c r="F1002" s="168" t="s">
        <v>659</v>
      </c>
      <c r="G1002" s="109" t="s">
        <v>3</v>
      </c>
      <c r="J1002" s="131">
        <v>1</v>
      </c>
      <c r="K1002" s="131">
        <v>1</v>
      </c>
      <c r="L1002" s="131">
        <v>1</v>
      </c>
      <c r="M1002" s="131">
        <v>1</v>
      </c>
      <c r="N1002" s="131">
        <v>1</v>
      </c>
      <c r="O1002" s="131">
        <v>1</v>
      </c>
      <c r="P1002" s="131">
        <v>1</v>
      </c>
      <c r="Q1002" s="131">
        <v>1</v>
      </c>
      <c r="R1002" s="131">
        <v>1</v>
      </c>
      <c r="S1002" s="131">
        <v>1</v>
      </c>
      <c r="T1002" s="131">
        <v>1</v>
      </c>
      <c r="U1002" s="131">
        <v>1</v>
      </c>
      <c r="V1002" s="131">
        <v>1</v>
      </c>
      <c r="W1002" s="131">
        <v>1</v>
      </c>
      <c r="X1002" s="131">
        <v>1</v>
      </c>
      <c r="Y1002" s="131">
        <v>1</v>
      </c>
      <c r="Z1002" s="131">
        <v>1</v>
      </c>
      <c r="AA1002" s="131">
        <v>1</v>
      </c>
      <c r="AB1002" s="131">
        <v>1</v>
      </c>
      <c r="AC1002" s="131">
        <v>1</v>
      </c>
      <c r="AD1002" s="131">
        <v>1</v>
      </c>
      <c r="AE1002" s="131">
        <v>1</v>
      </c>
      <c r="AF1002" s="131">
        <v>1</v>
      </c>
      <c r="AG1002" s="131">
        <v>1</v>
      </c>
      <c r="AH1002" s="131">
        <v>1</v>
      </c>
      <c r="AI1002" s="131">
        <v>1</v>
      </c>
      <c r="AJ1002" s="131">
        <v>1</v>
      </c>
      <c r="AK1002" s="131">
        <v>1</v>
      </c>
      <c r="AL1002" s="131">
        <v>1</v>
      </c>
      <c r="AM1002" s="131">
        <v>1</v>
      </c>
      <c r="AN1002" s="131">
        <v>1</v>
      </c>
      <c r="AO1002" s="131">
        <v>1</v>
      </c>
      <c r="AP1002" s="131">
        <v>1</v>
      </c>
      <c r="AQ1002" s="131">
        <v>1</v>
      </c>
      <c r="AR1002" s="131">
        <v>1</v>
      </c>
      <c r="AS1002" s="131">
        <v>1</v>
      </c>
      <c r="AT1002" s="131">
        <v>1</v>
      </c>
      <c r="AU1002" s="131">
        <v>1</v>
      </c>
      <c r="AV1002" s="131">
        <v>1</v>
      </c>
      <c r="AW1002" s="131">
        <v>1</v>
      </c>
      <c r="AX1002" s="131">
        <v>1</v>
      </c>
      <c r="AY1002" s="131">
        <v>1</v>
      </c>
      <c r="AZ1002" s="131">
        <v>1</v>
      </c>
      <c r="BA1002" s="131">
        <v>1</v>
      </c>
      <c r="BB1002" s="131">
        <v>1</v>
      </c>
      <c r="BC1002" s="131">
        <v>1</v>
      </c>
      <c r="BD1002" s="131">
        <v>1</v>
      </c>
      <c r="BE1002" s="131">
        <v>1</v>
      </c>
      <c r="BF1002" s="131">
        <v>1</v>
      </c>
      <c r="BG1002" s="131">
        <v>1</v>
      </c>
    </row>
    <row r="1003" spans="1:59" ht="15" customHeight="1">
      <c r="A1003" s="141" t="s">
        <v>644</v>
      </c>
      <c r="F1003" s="168" t="s">
        <v>660</v>
      </c>
      <c r="G1003" s="109" t="s">
        <v>3</v>
      </c>
      <c r="J1003" s="131">
        <v>1</v>
      </c>
      <c r="K1003" s="131">
        <v>1</v>
      </c>
      <c r="L1003" s="131">
        <v>1</v>
      </c>
      <c r="M1003" s="131">
        <v>1</v>
      </c>
      <c r="N1003" s="131">
        <v>1</v>
      </c>
      <c r="O1003" s="131">
        <v>1</v>
      </c>
      <c r="P1003" s="131">
        <v>1</v>
      </c>
      <c r="Q1003" s="131">
        <v>1</v>
      </c>
      <c r="R1003" s="131">
        <v>1</v>
      </c>
      <c r="S1003" s="131">
        <v>1</v>
      </c>
      <c r="T1003" s="131">
        <v>1</v>
      </c>
      <c r="U1003" s="131">
        <v>1</v>
      </c>
      <c r="V1003" s="131">
        <v>1</v>
      </c>
      <c r="W1003" s="131">
        <v>1</v>
      </c>
      <c r="X1003" s="131">
        <v>1</v>
      </c>
      <c r="Y1003" s="131">
        <v>1</v>
      </c>
      <c r="Z1003" s="131">
        <v>1</v>
      </c>
      <c r="AA1003" s="131">
        <v>1</v>
      </c>
      <c r="AB1003" s="131">
        <v>1</v>
      </c>
      <c r="AC1003" s="131">
        <v>1</v>
      </c>
      <c r="AD1003" s="131">
        <v>1</v>
      </c>
      <c r="AE1003" s="131">
        <v>1</v>
      </c>
      <c r="AF1003" s="131">
        <v>1</v>
      </c>
      <c r="AG1003" s="131">
        <v>1</v>
      </c>
      <c r="AH1003" s="131">
        <v>1</v>
      </c>
      <c r="AI1003" s="131">
        <v>1</v>
      </c>
      <c r="AJ1003" s="131">
        <v>1</v>
      </c>
      <c r="AK1003" s="131">
        <v>1</v>
      </c>
      <c r="AL1003" s="131">
        <v>1</v>
      </c>
      <c r="AM1003" s="131">
        <v>1</v>
      </c>
      <c r="AN1003" s="131">
        <v>1</v>
      </c>
      <c r="AO1003" s="131">
        <v>1</v>
      </c>
      <c r="AP1003" s="131">
        <v>1</v>
      </c>
      <c r="AQ1003" s="131">
        <v>1</v>
      </c>
      <c r="AR1003" s="131">
        <v>1</v>
      </c>
      <c r="AS1003" s="131">
        <v>1</v>
      </c>
      <c r="AT1003" s="131">
        <v>1</v>
      </c>
      <c r="AU1003" s="131">
        <v>1</v>
      </c>
      <c r="AV1003" s="131">
        <v>1</v>
      </c>
      <c r="AW1003" s="131">
        <v>1</v>
      </c>
      <c r="AX1003" s="131">
        <v>1</v>
      </c>
      <c r="AY1003" s="131">
        <v>1</v>
      </c>
      <c r="AZ1003" s="131">
        <v>1</v>
      </c>
      <c r="BA1003" s="131">
        <v>1</v>
      </c>
      <c r="BB1003" s="131">
        <v>1</v>
      </c>
      <c r="BC1003" s="131">
        <v>1</v>
      </c>
      <c r="BD1003" s="131">
        <v>1</v>
      </c>
      <c r="BE1003" s="131">
        <v>1</v>
      </c>
      <c r="BF1003" s="131">
        <v>1</v>
      </c>
      <c r="BG1003" s="131">
        <v>1</v>
      </c>
    </row>
    <row r="1004" spans="1:59" ht="15" customHeight="1">
      <c r="A1004" s="141" t="s">
        <v>644</v>
      </c>
      <c r="F1004" s="168" t="s">
        <v>661</v>
      </c>
      <c r="G1004" s="109" t="s">
        <v>3</v>
      </c>
      <c r="J1004" s="131">
        <v>1</v>
      </c>
      <c r="K1004" s="131">
        <v>1</v>
      </c>
      <c r="L1004" s="131">
        <v>1</v>
      </c>
      <c r="M1004" s="131">
        <v>1</v>
      </c>
      <c r="N1004" s="131">
        <v>1</v>
      </c>
      <c r="O1004" s="131">
        <v>1</v>
      </c>
      <c r="P1004" s="131">
        <v>1</v>
      </c>
      <c r="Q1004" s="131">
        <v>1</v>
      </c>
      <c r="R1004" s="131">
        <v>1</v>
      </c>
      <c r="S1004" s="131">
        <v>1</v>
      </c>
      <c r="T1004" s="131">
        <v>1</v>
      </c>
      <c r="U1004" s="131">
        <v>1</v>
      </c>
      <c r="V1004" s="131">
        <v>1</v>
      </c>
      <c r="W1004" s="131">
        <v>1</v>
      </c>
      <c r="X1004" s="131">
        <v>1</v>
      </c>
      <c r="Y1004" s="131">
        <v>1</v>
      </c>
      <c r="Z1004" s="131">
        <v>1</v>
      </c>
      <c r="AA1004" s="131">
        <v>1</v>
      </c>
      <c r="AB1004" s="131">
        <v>1</v>
      </c>
      <c r="AC1004" s="131">
        <v>1</v>
      </c>
      <c r="AD1004" s="131">
        <v>1</v>
      </c>
      <c r="AE1004" s="131">
        <v>1</v>
      </c>
      <c r="AF1004" s="131">
        <v>1</v>
      </c>
      <c r="AG1004" s="131">
        <v>1</v>
      </c>
      <c r="AH1004" s="131">
        <v>1</v>
      </c>
      <c r="AI1004" s="131">
        <v>1</v>
      </c>
      <c r="AJ1004" s="131">
        <v>1</v>
      </c>
      <c r="AK1004" s="131">
        <v>1</v>
      </c>
      <c r="AL1004" s="131">
        <v>1</v>
      </c>
      <c r="AM1004" s="131">
        <v>1</v>
      </c>
      <c r="AN1004" s="131">
        <v>1</v>
      </c>
      <c r="AO1004" s="131">
        <v>1</v>
      </c>
      <c r="AP1004" s="131">
        <v>1</v>
      </c>
      <c r="AQ1004" s="131">
        <v>1</v>
      </c>
      <c r="AR1004" s="131">
        <v>1</v>
      </c>
      <c r="AS1004" s="131">
        <v>1</v>
      </c>
      <c r="AT1004" s="131">
        <v>1</v>
      </c>
      <c r="AU1004" s="131">
        <v>1</v>
      </c>
      <c r="AV1004" s="131">
        <v>1</v>
      </c>
      <c r="AW1004" s="131">
        <v>1</v>
      </c>
      <c r="AX1004" s="131">
        <v>1</v>
      </c>
      <c r="AY1004" s="131">
        <v>1</v>
      </c>
      <c r="AZ1004" s="131">
        <v>1</v>
      </c>
      <c r="BA1004" s="131">
        <v>1</v>
      </c>
      <c r="BB1004" s="131">
        <v>1</v>
      </c>
      <c r="BC1004" s="131">
        <v>1</v>
      </c>
      <c r="BD1004" s="131">
        <v>1</v>
      </c>
      <c r="BE1004" s="131">
        <v>1</v>
      </c>
      <c r="BF1004" s="131">
        <v>1</v>
      </c>
      <c r="BG1004" s="131">
        <v>1</v>
      </c>
    </row>
    <row r="1005" spans="1:59" ht="15" customHeight="1">
      <c r="A1005" s="141" t="s">
        <v>644</v>
      </c>
      <c r="F1005" s="168" t="s">
        <v>662</v>
      </c>
      <c r="G1005" s="109" t="s">
        <v>3</v>
      </c>
      <c r="J1005" s="131">
        <v>1</v>
      </c>
      <c r="K1005" s="131">
        <v>1</v>
      </c>
      <c r="L1005" s="131">
        <v>1</v>
      </c>
      <c r="M1005" s="131">
        <v>1</v>
      </c>
      <c r="N1005" s="131">
        <v>1</v>
      </c>
      <c r="O1005" s="131">
        <v>1</v>
      </c>
      <c r="P1005" s="131">
        <v>1</v>
      </c>
      <c r="Q1005" s="131">
        <v>1</v>
      </c>
      <c r="R1005" s="131">
        <v>1</v>
      </c>
      <c r="S1005" s="131">
        <v>1</v>
      </c>
      <c r="T1005" s="131">
        <v>1</v>
      </c>
      <c r="U1005" s="131">
        <v>1</v>
      </c>
      <c r="V1005" s="131">
        <v>1</v>
      </c>
      <c r="W1005" s="131">
        <v>1</v>
      </c>
      <c r="X1005" s="131">
        <v>1</v>
      </c>
      <c r="Y1005" s="131">
        <v>1</v>
      </c>
      <c r="Z1005" s="131">
        <v>1</v>
      </c>
      <c r="AA1005" s="131">
        <v>1</v>
      </c>
      <c r="AB1005" s="131">
        <v>1</v>
      </c>
      <c r="AC1005" s="131">
        <v>1</v>
      </c>
      <c r="AD1005" s="131">
        <v>1</v>
      </c>
      <c r="AE1005" s="131">
        <v>1</v>
      </c>
      <c r="AF1005" s="131">
        <v>1</v>
      </c>
      <c r="AG1005" s="131">
        <v>1</v>
      </c>
      <c r="AH1005" s="131">
        <v>1</v>
      </c>
      <c r="AI1005" s="131">
        <v>1</v>
      </c>
      <c r="AJ1005" s="131">
        <v>1</v>
      </c>
      <c r="AK1005" s="131">
        <v>1</v>
      </c>
      <c r="AL1005" s="131">
        <v>1</v>
      </c>
      <c r="AM1005" s="131">
        <v>1</v>
      </c>
      <c r="AN1005" s="131">
        <v>1</v>
      </c>
      <c r="AO1005" s="131">
        <v>1</v>
      </c>
      <c r="AP1005" s="131">
        <v>1</v>
      </c>
      <c r="AQ1005" s="131">
        <v>1</v>
      </c>
      <c r="AR1005" s="131">
        <v>1</v>
      </c>
      <c r="AS1005" s="131">
        <v>1</v>
      </c>
      <c r="AT1005" s="131">
        <v>1</v>
      </c>
      <c r="AU1005" s="131">
        <v>1</v>
      </c>
      <c r="AV1005" s="131">
        <v>1</v>
      </c>
      <c r="AW1005" s="131">
        <v>1</v>
      </c>
      <c r="AX1005" s="131">
        <v>1</v>
      </c>
      <c r="AY1005" s="131">
        <v>1</v>
      </c>
      <c r="AZ1005" s="131">
        <v>1</v>
      </c>
      <c r="BA1005" s="131">
        <v>1</v>
      </c>
      <c r="BB1005" s="131">
        <v>1</v>
      </c>
      <c r="BC1005" s="131">
        <v>1</v>
      </c>
      <c r="BD1005" s="131">
        <v>1</v>
      </c>
      <c r="BE1005" s="131">
        <v>1</v>
      </c>
      <c r="BF1005" s="131">
        <v>1</v>
      </c>
      <c r="BG1005" s="131">
        <v>1</v>
      </c>
    </row>
    <row r="1006" spans="1:59" ht="15" customHeight="1">
      <c r="A1006" s="141" t="s">
        <v>644</v>
      </c>
      <c r="F1006" s="168" t="s">
        <v>663</v>
      </c>
      <c r="G1006" s="109" t="s">
        <v>3</v>
      </c>
      <c r="J1006" s="131">
        <v>1</v>
      </c>
      <c r="K1006" s="131">
        <v>1</v>
      </c>
      <c r="L1006" s="131">
        <v>1</v>
      </c>
      <c r="M1006" s="131">
        <v>1</v>
      </c>
      <c r="N1006" s="131">
        <v>1</v>
      </c>
      <c r="O1006" s="131">
        <v>1</v>
      </c>
      <c r="P1006" s="131">
        <v>1</v>
      </c>
      <c r="Q1006" s="131">
        <v>1</v>
      </c>
      <c r="R1006" s="131">
        <v>1</v>
      </c>
      <c r="S1006" s="131">
        <v>1</v>
      </c>
      <c r="T1006" s="131">
        <v>1</v>
      </c>
      <c r="U1006" s="131">
        <v>1</v>
      </c>
      <c r="V1006" s="131">
        <v>1</v>
      </c>
      <c r="W1006" s="131">
        <v>1</v>
      </c>
      <c r="X1006" s="131">
        <v>1</v>
      </c>
      <c r="Y1006" s="131">
        <v>1</v>
      </c>
      <c r="Z1006" s="131">
        <v>1</v>
      </c>
      <c r="AA1006" s="131">
        <v>1</v>
      </c>
      <c r="AB1006" s="131">
        <v>1</v>
      </c>
      <c r="AC1006" s="131">
        <v>1</v>
      </c>
      <c r="AD1006" s="131">
        <v>1</v>
      </c>
      <c r="AE1006" s="131">
        <v>1</v>
      </c>
      <c r="AF1006" s="131">
        <v>1</v>
      </c>
      <c r="AG1006" s="131">
        <v>1</v>
      </c>
      <c r="AH1006" s="131">
        <v>1</v>
      </c>
      <c r="AI1006" s="131">
        <v>1</v>
      </c>
      <c r="AJ1006" s="131">
        <v>1</v>
      </c>
      <c r="AK1006" s="131">
        <v>1</v>
      </c>
      <c r="AL1006" s="131">
        <v>1</v>
      </c>
      <c r="AM1006" s="131">
        <v>1</v>
      </c>
      <c r="AN1006" s="131">
        <v>1</v>
      </c>
      <c r="AO1006" s="131">
        <v>1</v>
      </c>
      <c r="AP1006" s="131">
        <v>1</v>
      </c>
      <c r="AQ1006" s="131">
        <v>1</v>
      </c>
      <c r="AR1006" s="131">
        <v>1</v>
      </c>
      <c r="AS1006" s="131">
        <v>1</v>
      </c>
      <c r="AT1006" s="131">
        <v>1</v>
      </c>
      <c r="AU1006" s="131">
        <v>1</v>
      </c>
      <c r="AV1006" s="131">
        <v>1</v>
      </c>
      <c r="AW1006" s="131">
        <v>1</v>
      </c>
      <c r="AX1006" s="131">
        <v>1</v>
      </c>
      <c r="AY1006" s="131">
        <v>1</v>
      </c>
      <c r="AZ1006" s="131">
        <v>1</v>
      </c>
      <c r="BA1006" s="131">
        <v>1</v>
      </c>
      <c r="BB1006" s="131">
        <v>1</v>
      </c>
      <c r="BC1006" s="131">
        <v>1</v>
      </c>
      <c r="BD1006" s="131">
        <v>1</v>
      </c>
      <c r="BE1006" s="131">
        <v>1</v>
      </c>
      <c r="BF1006" s="131">
        <v>1</v>
      </c>
      <c r="BG1006" s="131">
        <v>1</v>
      </c>
    </row>
    <row r="1007" spans="1:59" ht="15" customHeight="1">
      <c r="A1007" s="141" t="s">
        <v>644</v>
      </c>
      <c r="F1007" s="168" t="s">
        <v>664</v>
      </c>
      <c r="G1007" s="109" t="s">
        <v>3</v>
      </c>
      <c r="J1007" s="131">
        <v>1</v>
      </c>
      <c r="K1007" s="131">
        <v>1</v>
      </c>
      <c r="L1007" s="131">
        <v>1</v>
      </c>
      <c r="M1007" s="131">
        <v>1</v>
      </c>
      <c r="N1007" s="131">
        <v>1</v>
      </c>
      <c r="O1007" s="131">
        <v>1</v>
      </c>
      <c r="P1007" s="131">
        <v>1</v>
      </c>
      <c r="Q1007" s="131">
        <v>1</v>
      </c>
      <c r="R1007" s="131">
        <v>1</v>
      </c>
      <c r="S1007" s="131">
        <v>1</v>
      </c>
      <c r="T1007" s="131">
        <v>1</v>
      </c>
      <c r="U1007" s="131">
        <v>1</v>
      </c>
      <c r="V1007" s="131">
        <v>1</v>
      </c>
      <c r="W1007" s="131">
        <v>1</v>
      </c>
      <c r="X1007" s="131">
        <v>1</v>
      </c>
      <c r="Y1007" s="131">
        <v>1</v>
      </c>
      <c r="Z1007" s="131">
        <v>1</v>
      </c>
      <c r="AA1007" s="131">
        <v>1</v>
      </c>
      <c r="AB1007" s="131">
        <v>1</v>
      </c>
      <c r="AC1007" s="131">
        <v>1</v>
      </c>
      <c r="AD1007" s="131">
        <v>1</v>
      </c>
      <c r="AE1007" s="131">
        <v>1</v>
      </c>
      <c r="AF1007" s="131">
        <v>1</v>
      </c>
      <c r="AG1007" s="131">
        <v>1</v>
      </c>
      <c r="AH1007" s="131">
        <v>1</v>
      </c>
      <c r="AI1007" s="131">
        <v>1</v>
      </c>
      <c r="AJ1007" s="131">
        <v>1</v>
      </c>
      <c r="AK1007" s="131">
        <v>1</v>
      </c>
      <c r="AL1007" s="131">
        <v>1</v>
      </c>
      <c r="AM1007" s="131">
        <v>1</v>
      </c>
      <c r="AN1007" s="131">
        <v>1</v>
      </c>
      <c r="AO1007" s="131">
        <v>1</v>
      </c>
      <c r="AP1007" s="131">
        <v>1</v>
      </c>
      <c r="AQ1007" s="131">
        <v>1</v>
      </c>
      <c r="AR1007" s="131">
        <v>1</v>
      </c>
      <c r="AS1007" s="131">
        <v>1</v>
      </c>
      <c r="AT1007" s="131">
        <v>1</v>
      </c>
      <c r="AU1007" s="131">
        <v>1</v>
      </c>
      <c r="AV1007" s="131">
        <v>1</v>
      </c>
      <c r="AW1007" s="131">
        <v>1</v>
      </c>
      <c r="AX1007" s="131">
        <v>1</v>
      </c>
      <c r="AY1007" s="131">
        <v>1</v>
      </c>
      <c r="AZ1007" s="131">
        <v>1</v>
      </c>
      <c r="BA1007" s="131">
        <v>1</v>
      </c>
      <c r="BB1007" s="131">
        <v>1</v>
      </c>
      <c r="BC1007" s="131">
        <v>1</v>
      </c>
      <c r="BD1007" s="131">
        <v>1</v>
      </c>
      <c r="BE1007" s="131">
        <v>1</v>
      </c>
      <c r="BF1007" s="131">
        <v>1</v>
      </c>
      <c r="BG1007" s="131">
        <v>1</v>
      </c>
    </row>
    <row r="1008" spans="1:59" ht="15" customHeight="1">
      <c r="A1008" s="141" t="s">
        <v>644</v>
      </c>
      <c r="F1008" s="168" t="s">
        <v>665</v>
      </c>
      <c r="G1008" s="109" t="s">
        <v>3</v>
      </c>
      <c r="J1008" s="131">
        <v>1</v>
      </c>
      <c r="K1008" s="131">
        <v>1</v>
      </c>
      <c r="L1008" s="131">
        <v>1</v>
      </c>
      <c r="M1008" s="131">
        <v>1</v>
      </c>
      <c r="N1008" s="131">
        <v>1</v>
      </c>
      <c r="O1008" s="131">
        <v>1</v>
      </c>
      <c r="P1008" s="131">
        <v>1</v>
      </c>
      <c r="Q1008" s="131">
        <v>1</v>
      </c>
      <c r="R1008" s="131">
        <v>1</v>
      </c>
      <c r="S1008" s="131">
        <v>1</v>
      </c>
      <c r="T1008" s="131">
        <v>1</v>
      </c>
      <c r="U1008" s="131">
        <v>1</v>
      </c>
      <c r="V1008" s="131">
        <v>1</v>
      </c>
      <c r="W1008" s="131">
        <v>1</v>
      </c>
      <c r="X1008" s="131">
        <v>1</v>
      </c>
      <c r="Y1008" s="131">
        <v>1</v>
      </c>
      <c r="Z1008" s="131">
        <v>1</v>
      </c>
      <c r="AA1008" s="131">
        <v>1</v>
      </c>
      <c r="AB1008" s="131">
        <v>1</v>
      </c>
      <c r="AC1008" s="131">
        <v>1</v>
      </c>
      <c r="AD1008" s="131">
        <v>1</v>
      </c>
      <c r="AE1008" s="131">
        <v>1</v>
      </c>
      <c r="AF1008" s="131">
        <v>1</v>
      </c>
      <c r="AG1008" s="131">
        <v>1</v>
      </c>
      <c r="AH1008" s="131">
        <v>1</v>
      </c>
      <c r="AI1008" s="131">
        <v>1</v>
      </c>
      <c r="AJ1008" s="131">
        <v>1</v>
      </c>
      <c r="AK1008" s="131">
        <v>1</v>
      </c>
      <c r="AL1008" s="131">
        <v>1</v>
      </c>
      <c r="AM1008" s="131">
        <v>1</v>
      </c>
      <c r="AN1008" s="131">
        <v>1</v>
      </c>
      <c r="AO1008" s="131">
        <v>1</v>
      </c>
      <c r="AP1008" s="131">
        <v>1</v>
      </c>
      <c r="AQ1008" s="131">
        <v>1</v>
      </c>
      <c r="AR1008" s="131">
        <v>1</v>
      </c>
      <c r="AS1008" s="131">
        <v>1</v>
      </c>
      <c r="AT1008" s="131">
        <v>1</v>
      </c>
      <c r="AU1008" s="131">
        <v>1</v>
      </c>
      <c r="AV1008" s="131">
        <v>1</v>
      </c>
      <c r="AW1008" s="131">
        <v>1</v>
      </c>
      <c r="AX1008" s="131">
        <v>1</v>
      </c>
      <c r="AY1008" s="131">
        <v>1</v>
      </c>
      <c r="AZ1008" s="131">
        <v>1</v>
      </c>
      <c r="BA1008" s="131">
        <v>1</v>
      </c>
      <c r="BB1008" s="131">
        <v>1</v>
      </c>
      <c r="BC1008" s="131">
        <v>1</v>
      </c>
      <c r="BD1008" s="131">
        <v>1</v>
      </c>
      <c r="BE1008" s="131">
        <v>1</v>
      </c>
      <c r="BF1008" s="131">
        <v>1</v>
      </c>
      <c r="BG1008" s="131">
        <v>1</v>
      </c>
    </row>
    <row r="1009" spans="1:59" ht="15" customHeight="1">
      <c r="A1009" s="141" t="s">
        <v>644</v>
      </c>
      <c r="F1009" s="168" t="s">
        <v>666</v>
      </c>
      <c r="G1009" s="109" t="s">
        <v>3</v>
      </c>
      <c r="J1009" s="131">
        <v>1</v>
      </c>
      <c r="K1009" s="131">
        <v>1</v>
      </c>
      <c r="L1009" s="131">
        <v>1</v>
      </c>
      <c r="M1009" s="131">
        <v>1</v>
      </c>
      <c r="N1009" s="131">
        <v>1</v>
      </c>
      <c r="O1009" s="131">
        <v>1</v>
      </c>
      <c r="P1009" s="131">
        <v>1</v>
      </c>
      <c r="Q1009" s="131">
        <v>1</v>
      </c>
      <c r="R1009" s="131">
        <v>1</v>
      </c>
      <c r="S1009" s="131">
        <v>1</v>
      </c>
      <c r="T1009" s="131">
        <v>1</v>
      </c>
      <c r="U1009" s="131">
        <v>1</v>
      </c>
      <c r="V1009" s="131">
        <v>1</v>
      </c>
      <c r="W1009" s="131">
        <v>1</v>
      </c>
      <c r="X1009" s="131">
        <v>1</v>
      </c>
      <c r="Y1009" s="131">
        <v>1</v>
      </c>
      <c r="Z1009" s="131">
        <v>1</v>
      </c>
      <c r="AA1009" s="131">
        <v>1</v>
      </c>
      <c r="AB1009" s="131">
        <v>1</v>
      </c>
      <c r="AC1009" s="131">
        <v>1</v>
      </c>
      <c r="AD1009" s="131">
        <v>1</v>
      </c>
      <c r="AE1009" s="131">
        <v>1</v>
      </c>
      <c r="AF1009" s="131">
        <v>1</v>
      </c>
      <c r="AG1009" s="131">
        <v>1</v>
      </c>
      <c r="AH1009" s="131">
        <v>1</v>
      </c>
      <c r="AI1009" s="131">
        <v>1</v>
      </c>
      <c r="AJ1009" s="131">
        <v>1</v>
      </c>
      <c r="AK1009" s="131">
        <v>1</v>
      </c>
      <c r="AL1009" s="131">
        <v>1</v>
      </c>
      <c r="AM1009" s="131">
        <v>1</v>
      </c>
      <c r="AN1009" s="131">
        <v>1</v>
      </c>
      <c r="AO1009" s="131">
        <v>1</v>
      </c>
      <c r="AP1009" s="131">
        <v>1</v>
      </c>
      <c r="AQ1009" s="131">
        <v>1</v>
      </c>
      <c r="AR1009" s="131">
        <v>1</v>
      </c>
      <c r="AS1009" s="131">
        <v>1</v>
      </c>
      <c r="AT1009" s="131">
        <v>1</v>
      </c>
      <c r="AU1009" s="131">
        <v>1</v>
      </c>
      <c r="AV1009" s="131">
        <v>1</v>
      </c>
      <c r="AW1009" s="131">
        <v>1</v>
      </c>
      <c r="AX1009" s="131">
        <v>1</v>
      </c>
      <c r="AY1009" s="131">
        <v>1</v>
      </c>
      <c r="AZ1009" s="131">
        <v>1</v>
      </c>
      <c r="BA1009" s="131">
        <v>1</v>
      </c>
      <c r="BB1009" s="131">
        <v>1</v>
      </c>
      <c r="BC1009" s="131">
        <v>1</v>
      </c>
      <c r="BD1009" s="131">
        <v>1</v>
      </c>
      <c r="BE1009" s="131">
        <v>1</v>
      </c>
      <c r="BF1009" s="131">
        <v>1</v>
      </c>
      <c r="BG1009" s="131">
        <v>1</v>
      </c>
    </row>
    <row r="1010" spans="1:59" ht="15" customHeight="1">
      <c r="A1010" s="141" t="s">
        <v>644</v>
      </c>
      <c r="F1010" s="168" t="s">
        <v>667</v>
      </c>
      <c r="G1010" s="109" t="s">
        <v>3</v>
      </c>
      <c r="J1010" s="131">
        <v>1</v>
      </c>
      <c r="K1010" s="131">
        <v>1</v>
      </c>
      <c r="L1010" s="131">
        <v>1</v>
      </c>
      <c r="M1010" s="131">
        <v>1</v>
      </c>
      <c r="N1010" s="131">
        <v>1</v>
      </c>
      <c r="O1010" s="131">
        <v>1</v>
      </c>
      <c r="P1010" s="131">
        <v>1</v>
      </c>
      <c r="Q1010" s="131">
        <v>1</v>
      </c>
      <c r="R1010" s="131">
        <v>1</v>
      </c>
      <c r="S1010" s="131">
        <v>1</v>
      </c>
      <c r="T1010" s="131">
        <v>1</v>
      </c>
      <c r="U1010" s="131">
        <v>1</v>
      </c>
      <c r="V1010" s="131">
        <v>1</v>
      </c>
      <c r="W1010" s="131">
        <v>1</v>
      </c>
      <c r="X1010" s="131">
        <v>1</v>
      </c>
      <c r="Y1010" s="131">
        <v>1</v>
      </c>
      <c r="Z1010" s="131">
        <v>1</v>
      </c>
      <c r="AA1010" s="131">
        <v>1</v>
      </c>
      <c r="AB1010" s="131">
        <v>1</v>
      </c>
      <c r="AC1010" s="131">
        <v>1</v>
      </c>
      <c r="AD1010" s="131">
        <v>1</v>
      </c>
      <c r="AE1010" s="131">
        <v>1</v>
      </c>
      <c r="AF1010" s="131">
        <v>1</v>
      </c>
      <c r="AG1010" s="131">
        <v>1</v>
      </c>
      <c r="AH1010" s="131">
        <v>1</v>
      </c>
      <c r="AI1010" s="131">
        <v>1</v>
      </c>
      <c r="AJ1010" s="131">
        <v>1</v>
      </c>
      <c r="AK1010" s="131">
        <v>1</v>
      </c>
      <c r="AL1010" s="131">
        <v>1</v>
      </c>
      <c r="AM1010" s="131">
        <v>1</v>
      </c>
      <c r="AN1010" s="131">
        <v>1</v>
      </c>
      <c r="AO1010" s="131">
        <v>1</v>
      </c>
      <c r="AP1010" s="131">
        <v>1</v>
      </c>
      <c r="AQ1010" s="131">
        <v>1</v>
      </c>
      <c r="AR1010" s="131">
        <v>1</v>
      </c>
      <c r="AS1010" s="131">
        <v>1</v>
      </c>
      <c r="AT1010" s="131">
        <v>1</v>
      </c>
      <c r="AU1010" s="131">
        <v>1</v>
      </c>
      <c r="AV1010" s="131">
        <v>1</v>
      </c>
      <c r="AW1010" s="131">
        <v>1</v>
      </c>
      <c r="AX1010" s="131">
        <v>1</v>
      </c>
      <c r="AY1010" s="131">
        <v>1</v>
      </c>
      <c r="AZ1010" s="131">
        <v>1</v>
      </c>
      <c r="BA1010" s="131">
        <v>1</v>
      </c>
      <c r="BB1010" s="131">
        <v>1</v>
      </c>
      <c r="BC1010" s="131">
        <v>1</v>
      </c>
      <c r="BD1010" s="131">
        <v>1</v>
      </c>
      <c r="BE1010" s="131">
        <v>1</v>
      </c>
      <c r="BF1010" s="131">
        <v>1</v>
      </c>
      <c r="BG1010" s="131">
        <v>1</v>
      </c>
    </row>
    <row r="1011" spans="1:59" ht="15" customHeight="1">
      <c r="A1011" s="141" t="s">
        <v>644</v>
      </c>
      <c r="F1011" s="168" t="s">
        <v>668</v>
      </c>
      <c r="G1011" s="109" t="s">
        <v>3</v>
      </c>
      <c r="J1011" s="131">
        <v>1</v>
      </c>
      <c r="K1011" s="131">
        <v>1</v>
      </c>
      <c r="L1011" s="131">
        <v>1</v>
      </c>
      <c r="M1011" s="131">
        <v>1</v>
      </c>
      <c r="N1011" s="131">
        <v>1</v>
      </c>
      <c r="O1011" s="131">
        <v>1</v>
      </c>
      <c r="P1011" s="131">
        <v>1</v>
      </c>
      <c r="Q1011" s="131">
        <v>1</v>
      </c>
      <c r="R1011" s="131">
        <v>1</v>
      </c>
      <c r="S1011" s="131">
        <v>1</v>
      </c>
      <c r="T1011" s="131">
        <v>1</v>
      </c>
      <c r="U1011" s="131">
        <v>1</v>
      </c>
      <c r="V1011" s="131">
        <v>1</v>
      </c>
      <c r="W1011" s="131">
        <v>1</v>
      </c>
      <c r="X1011" s="131">
        <v>1</v>
      </c>
      <c r="Y1011" s="131">
        <v>1</v>
      </c>
      <c r="Z1011" s="131">
        <v>1</v>
      </c>
      <c r="AA1011" s="131">
        <v>1</v>
      </c>
      <c r="AB1011" s="131">
        <v>1</v>
      </c>
      <c r="AC1011" s="131">
        <v>1</v>
      </c>
      <c r="AD1011" s="131">
        <v>1</v>
      </c>
      <c r="AE1011" s="131">
        <v>1</v>
      </c>
      <c r="AF1011" s="131">
        <v>1</v>
      </c>
      <c r="AG1011" s="131">
        <v>1</v>
      </c>
      <c r="AH1011" s="131">
        <v>1</v>
      </c>
      <c r="AI1011" s="131">
        <v>1</v>
      </c>
      <c r="AJ1011" s="131">
        <v>1</v>
      </c>
      <c r="AK1011" s="131">
        <v>1</v>
      </c>
      <c r="AL1011" s="131">
        <v>1</v>
      </c>
      <c r="AM1011" s="131">
        <v>1</v>
      </c>
      <c r="AN1011" s="131">
        <v>1</v>
      </c>
      <c r="AO1011" s="131">
        <v>1</v>
      </c>
      <c r="AP1011" s="131">
        <v>1</v>
      </c>
      <c r="AQ1011" s="131">
        <v>1</v>
      </c>
      <c r="AR1011" s="131">
        <v>1</v>
      </c>
      <c r="AS1011" s="131">
        <v>1</v>
      </c>
      <c r="AT1011" s="131">
        <v>1</v>
      </c>
      <c r="AU1011" s="131">
        <v>1</v>
      </c>
      <c r="AV1011" s="131">
        <v>1</v>
      </c>
      <c r="AW1011" s="131">
        <v>1</v>
      </c>
      <c r="AX1011" s="131">
        <v>1</v>
      </c>
      <c r="AY1011" s="131">
        <v>1</v>
      </c>
      <c r="AZ1011" s="131">
        <v>1</v>
      </c>
      <c r="BA1011" s="131">
        <v>1</v>
      </c>
      <c r="BB1011" s="131">
        <v>1</v>
      </c>
      <c r="BC1011" s="131">
        <v>1</v>
      </c>
      <c r="BD1011" s="131">
        <v>1</v>
      </c>
      <c r="BE1011" s="131">
        <v>1</v>
      </c>
      <c r="BF1011" s="131">
        <v>1</v>
      </c>
      <c r="BG1011" s="131">
        <v>1</v>
      </c>
    </row>
    <row r="1012" spans="1:59" ht="15" customHeight="1">
      <c r="A1012" s="141" t="s">
        <v>644</v>
      </c>
      <c r="F1012" s="168" t="s">
        <v>669</v>
      </c>
      <c r="G1012" s="109" t="s">
        <v>3</v>
      </c>
      <c r="J1012" s="131">
        <v>1</v>
      </c>
      <c r="K1012" s="131">
        <v>1</v>
      </c>
      <c r="L1012" s="131">
        <v>1</v>
      </c>
      <c r="M1012" s="131">
        <v>1</v>
      </c>
      <c r="N1012" s="131">
        <v>1</v>
      </c>
      <c r="O1012" s="131">
        <v>1</v>
      </c>
      <c r="P1012" s="131">
        <v>1</v>
      </c>
      <c r="Q1012" s="131">
        <v>1</v>
      </c>
      <c r="R1012" s="131">
        <v>1</v>
      </c>
      <c r="S1012" s="131">
        <v>1</v>
      </c>
      <c r="T1012" s="131">
        <v>1</v>
      </c>
      <c r="U1012" s="131">
        <v>1</v>
      </c>
      <c r="V1012" s="131">
        <v>1</v>
      </c>
      <c r="W1012" s="131">
        <v>1</v>
      </c>
      <c r="X1012" s="131">
        <v>1</v>
      </c>
      <c r="Y1012" s="131">
        <v>1</v>
      </c>
      <c r="Z1012" s="131">
        <v>1</v>
      </c>
      <c r="AA1012" s="131">
        <v>1</v>
      </c>
      <c r="AB1012" s="131">
        <v>1</v>
      </c>
      <c r="AC1012" s="131">
        <v>1</v>
      </c>
      <c r="AD1012" s="131">
        <v>1</v>
      </c>
      <c r="AE1012" s="131">
        <v>1</v>
      </c>
      <c r="AF1012" s="131">
        <v>1</v>
      </c>
      <c r="AG1012" s="131">
        <v>1</v>
      </c>
      <c r="AH1012" s="131">
        <v>1</v>
      </c>
      <c r="AI1012" s="131">
        <v>1</v>
      </c>
      <c r="AJ1012" s="131">
        <v>1</v>
      </c>
      <c r="AK1012" s="131">
        <v>1</v>
      </c>
      <c r="AL1012" s="131">
        <v>1</v>
      </c>
      <c r="AM1012" s="131">
        <v>1</v>
      </c>
      <c r="AN1012" s="131">
        <v>1</v>
      </c>
      <c r="AO1012" s="131">
        <v>1</v>
      </c>
      <c r="AP1012" s="131">
        <v>1</v>
      </c>
      <c r="AQ1012" s="131">
        <v>1</v>
      </c>
      <c r="AR1012" s="131">
        <v>1</v>
      </c>
      <c r="AS1012" s="131">
        <v>1</v>
      </c>
      <c r="AT1012" s="131">
        <v>1</v>
      </c>
      <c r="AU1012" s="131">
        <v>1</v>
      </c>
      <c r="AV1012" s="131">
        <v>1</v>
      </c>
      <c r="AW1012" s="131">
        <v>1</v>
      </c>
      <c r="AX1012" s="131">
        <v>1</v>
      </c>
      <c r="AY1012" s="131">
        <v>1</v>
      </c>
      <c r="AZ1012" s="131">
        <v>1</v>
      </c>
      <c r="BA1012" s="131">
        <v>1</v>
      </c>
      <c r="BB1012" s="131">
        <v>1</v>
      </c>
      <c r="BC1012" s="131">
        <v>1</v>
      </c>
      <c r="BD1012" s="131">
        <v>1</v>
      </c>
      <c r="BE1012" s="131">
        <v>1</v>
      </c>
      <c r="BF1012" s="131">
        <v>1</v>
      </c>
      <c r="BG1012" s="131">
        <v>1</v>
      </c>
    </row>
    <row r="1013" spans="1:59" ht="15" customHeight="1">
      <c r="A1013" s="141" t="s">
        <v>644</v>
      </c>
      <c r="F1013" s="168" t="s">
        <v>670</v>
      </c>
      <c r="G1013" s="109" t="s">
        <v>3</v>
      </c>
      <c r="J1013" s="131">
        <v>1</v>
      </c>
      <c r="K1013" s="131">
        <v>1</v>
      </c>
      <c r="L1013" s="131">
        <v>1</v>
      </c>
      <c r="M1013" s="131">
        <v>1</v>
      </c>
      <c r="N1013" s="131">
        <v>1</v>
      </c>
      <c r="O1013" s="131">
        <v>1</v>
      </c>
      <c r="P1013" s="131">
        <v>1</v>
      </c>
      <c r="Q1013" s="131">
        <v>1</v>
      </c>
      <c r="R1013" s="131">
        <v>1</v>
      </c>
      <c r="S1013" s="131">
        <v>1</v>
      </c>
      <c r="T1013" s="131">
        <v>1</v>
      </c>
      <c r="U1013" s="131">
        <v>1</v>
      </c>
      <c r="V1013" s="131">
        <v>1</v>
      </c>
      <c r="W1013" s="131">
        <v>1</v>
      </c>
      <c r="X1013" s="131">
        <v>1</v>
      </c>
      <c r="Y1013" s="131">
        <v>1</v>
      </c>
      <c r="Z1013" s="131">
        <v>1</v>
      </c>
      <c r="AA1013" s="131">
        <v>1</v>
      </c>
      <c r="AB1013" s="131">
        <v>1</v>
      </c>
      <c r="AC1013" s="131">
        <v>1</v>
      </c>
      <c r="AD1013" s="131">
        <v>1</v>
      </c>
      <c r="AE1013" s="131">
        <v>1</v>
      </c>
      <c r="AF1013" s="131">
        <v>1</v>
      </c>
      <c r="AG1013" s="131">
        <v>1</v>
      </c>
      <c r="AH1013" s="131">
        <v>1</v>
      </c>
      <c r="AI1013" s="131">
        <v>1</v>
      </c>
      <c r="AJ1013" s="131">
        <v>1</v>
      </c>
      <c r="AK1013" s="131">
        <v>1</v>
      </c>
      <c r="AL1013" s="131">
        <v>1</v>
      </c>
      <c r="AM1013" s="131">
        <v>1</v>
      </c>
      <c r="AN1013" s="131">
        <v>1</v>
      </c>
      <c r="AO1013" s="131">
        <v>1</v>
      </c>
      <c r="AP1013" s="131">
        <v>1</v>
      </c>
      <c r="AQ1013" s="131">
        <v>1</v>
      </c>
      <c r="AR1013" s="131">
        <v>1</v>
      </c>
      <c r="AS1013" s="131">
        <v>1</v>
      </c>
      <c r="AT1013" s="131">
        <v>1</v>
      </c>
      <c r="AU1013" s="131">
        <v>1</v>
      </c>
      <c r="AV1013" s="131">
        <v>1</v>
      </c>
      <c r="AW1013" s="131">
        <v>1</v>
      </c>
      <c r="AX1013" s="131">
        <v>1</v>
      </c>
      <c r="AY1013" s="131">
        <v>1</v>
      </c>
      <c r="AZ1013" s="131">
        <v>1</v>
      </c>
      <c r="BA1013" s="131">
        <v>1</v>
      </c>
      <c r="BB1013" s="131">
        <v>1</v>
      </c>
      <c r="BC1013" s="131">
        <v>1</v>
      </c>
      <c r="BD1013" s="131">
        <v>1</v>
      </c>
      <c r="BE1013" s="131">
        <v>1</v>
      </c>
      <c r="BF1013" s="131">
        <v>1</v>
      </c>
      <c r="BG1013" s="131">
        <v>1</v>
      </c>
    </row>
    <row r="1014" spans="1:59" ht="15" customHeight="1">
      <c r="A1014" s="141" t="s">
        <v>644</v>
      </c>
      <c r="F1014" s="168" t="s">
        <v>671</v>
      </c>
      <c r="G1014" s="109" t="s">
        <v>3</v>
      </c>
      <c r="J1014" s="131">
        <v>1</v>
      </c>
      <c r="K1014" s="131">
        <v>1</v>
      </c>
      <c r="L1014" s="131">
        <v>1</v>
      </c>
      <c r="M1014" s="131">
        <v>1</v>
      </c>
      <c r="N1014" s="131">
        <v>1</v>
      </c>
      <c r="O1014" s="131">
        <v>1</v>
      </c>
      <c r="P1014" s="131">
        <v>1</v>
      </c>
      <c r="Q1014" s="131">
        <v>1</v>
      </c>
      <c r="R1014" s="131">
        <v>1</v>
      </c>
      <c r="S1014" s="131">
        <v>1</v>
      </c>
      <c r="T1014" s="131">
        <v>1</v>
      </c>
      <c r="U1014" s="131">
        <v>1</v>
      </c>
      <c r="V1014" s="131">
        <v>1</v>
      </c>
      <c r="W1014" s="131">
        <v>1</v>
      </c>
      <c r="X1014" s="131">
        <v>1</v>
      </c>
      <c r="Y1014" s="131">
        <v>1</v>
      </c>
      <c r="Z1014" s="131">
        <v>1</v>
      </c>
      <c r="AA1014" s="131">
        <v>1</v>
      </c>
      <c r="AB1014" s="131">
        <v>1</v>
      </c>
      <c r="AC1014" s="131">
        <v>1</v>
      </c>
      <c r="AD1014" s="131">
        <v>1</v>
      </c>
      <c r="AE1014" s="131">
        <v>1</v>
      </c>
      <c r="AF1014" s="131">
        <v>1</v>
      </c>
      <c r="AG1014" s="131">
        <v>1</v>
      </c>
      <c r="AH1014" s="131">
        <v>1</v>
      </c>
      <c r="AI1014" s="131">
        <v>1</v>
      </c>
      <c r="AJ1014" s="131">
        <v>1</v>
      </c>
      <c r="AK1014" s="131">
        <v>1</v>
      </c>
      <c r="AL1014" s="131">
        <v>1</v>
      </c>
      <c r="AM1014" s="131">
        <v>1</v>
      </c>
      <c r="AN1014" s="131">
        <v>1</v>
      </c>
      <c r="AO1014" s="131">
        <v>1</v>
      </c>
      <c r="AP1014" s="131">
        <v>1</v>
      </c>
      <c r="AQ1014" s="131">
        <v>1</v>
      </c>
      <c r="AR1014" s="131">
        <v>1</v>
      </c>
      <c r="AS1014" s="131">
        <v>1</v>
      </c>
      <c r="AT1014" s="131">
        <v>1</v>
      </c>
      <c r="AU1014" s="131">
        <v>1</v>
      </c>
      <c r="AV1014" s="131">
        <v>1</v>
      </c>
      <c r="AW1014" s="131">
        <v>1</v>
      </c>
      <c r="AX1014" s="131">
        <v>1</v>
      </c>
      <c r="AY1014" s="131">
        <v>1</v>
      </c>
      <c r="AZ1014" s="131">
        <v>1</v>
      </c>
      <c r="BA1014" s="131">
        <v>1</v>
      </c>
      <c r="BB1014" s="131">
        <v>1</v>
      </c>
      <c r="BC1014" s="131">
        <v>1</v>
      </c>
      <c r="BD1014" s="131">
        <v>1</v>
      </c>
      <c r="BE1014" s="131">
        <v>1</v>
      </c>
      <c r="BF1014" s="131">
        <v>1</v>
      </c>
      <c r="BG1014" s="131">
        <v>1</v>
      </c>
    </row>
    <row r="1015" spans="1:59" ht="15" customHeight="1">
      <c r="A1015" s="141" t="s">
        <v>644</v>
      </c>
      <c r="F1015" s="168" t="s">
        <v>672</v>
      </c>
      <c r="G1015" s="109" t="s">
        <v>3</v>
      </c>
      <c r="J1015" s="131">
        <v>1</v>
      </c>
      <c r="K1015" s="131">
        <v>1</v>
      </c>
      <c r="L1015" s="131">
        <v>1</v>
      </c>
      <c r="M1015" s="131">
        <v>1</v>
      </c>
      <c r="N1015" s="131">
        <v>1</v>
      </c>
      <c r="O1015" s="131">
        <v>1</v>
      </c>
      <c r="P1015" s="131">
        <v>1</v>
      </c>
      <c r="Q1015" s="131">
        <v>1</v>
      </c>
      <c r="R1015" s="131">
        <v>1</v>
      </c>
      <c r="S1015" s="131">
        <v>1</v>
      </c>
      <c r="T1015" s="131">
        <v>1</v>
      </c>
      <c r="U1015" s="131">
        <v>1</v>
      </c>
      <c r="V1015" s="131">
        <v>1</v>
      </c>
      <c r="W1015" s="131">
        <v>1</v>
      </c>
      <c r="X1015" s="131">
        <v>1</v>
      </c>
      <c r="Y1015" s="131">
        <v>1</v>
      </c>
      <c r="Z1015" s="131">
        <v>1</v>
      </c>
      <c r="AA1015" s="131">
        <v>1</v>
      </c>
      <c r="AB1015" s="131">
        <v>1</v>
      </c>
      <c r="AC1015" s="131">
        <v>1</v>
      </c>
      <c r="AD1015" s="131">
        <v>1</v>
      </c>
      <c r="AE1015" s="131">
        <v>1</v>
      </c>
      <c r="AF1015" s="131">
        <v>1</v>
      </c>
      <c r="AG1015" s="131">
        <v>1</v>
      </c>
      <c r="AH1015" s="131">
        <v>1</v>
      </c>
      <c r="AI1015" s="131">
        <v>1</v>
      </c>
      <c r="AJ1015" s="131">
        <v>1</v>
      </c>
      <c r="AK1015" s="131">
        <v>1</v>
      </c>
      <c r="AL1015" s="131">
        <v>1</v>
      </c>
      <c r="AM1015" s="131">
        <v>1</v>
      </c>
      <c r="AN1015" s="131">
        <v>1</v>
      </c>
      <c r="AO1015" s="131">
        <v>1</v>
      </c>
      <c r="AP1015" s="131">
        <v>1</v>
      </c>
      <c r="AQ1015" s="131">
        <v>1</v>
      </c>
      <c r="AR1015" s="131">
        <v>1</v>
      </c>
      <c r="AS1015" s="131">
        <v>1</v>
      </c>
      <c r="AT1015" s="131">
        <v>1</v>
      </c>
      <c r="AU1015" s="131">
        <v>1</v>
      </c>
      <c r="AV1015" s="131">
        <v>1</v>
      </c>
      <c r="AW1015" s="131">
        <v>1</v>
      </c>
      <c r="AX1015" s="131">
        <v>1</v>
      </c>
      <c r="AY1015" s="131">
        <v>1</v>
      </c>
      <c r="AZ1015" s="131">
        <v>1</v>
      </c>
      <c r="BA1015" s="131">
        <v>1</v>
      </c>
      <c r="BB1015" s="131">
        <v>1</v>
      </c>
      <c r="BC1015" s="131">
        <v>1</v>
      </c>
      <c r="BD1015" s="131">
        <v>1</v>
      </c>
      <c r="BE1015" s="131">
        <v>1</v>
      </c>
      <c r="BF1015" s="131">
        <v>1</v>
      </c>
      <c r="BG1015" s="131">
        <v>1</v>
      </c>
    </row>
    <row r="1016" spans="1:59" ht="15" customHeight="1">
      <c r="A1016" s="141" t="s">
        <v>644</v>
      </c>
      <c r="F1016" s="168" t="s">
        <v>673</v>
      </c>
      <c r="G1016" s="109" t="s">
        <v>3</v>
      </c>
      <c r="J1016" s="131">
        <v>1</v>
      </c>
      <c r="K1016" s="131">
        <v>1</v>
      </c>
      <c r="L1016" s="131">
        <v>1</v>
      </c>
      <c r="M1016" s="131">
        <v>1</v>
      </c>
      <c r="N1016" s="131">
        <v>1</v>
      </c>
      <c r="O1016" s="131">
        <v>1</v>
      </c>
      <c r="P1016" s="131">
        <v>1</v>
      </c>
      <c r="Q1016" s="131">
        <v>1</v>
      </c>
      <c r="R1016" s="131">
        <v>1</v>
      </c>
      <c r="S1016" s="131">
        <v>1</v>
      </c>
      <c r="T1016" s="131">
        <v>1</v>
      </c>
      <c r="U1016" s="131">
        <v>1</v>
      </c>
      <c r="V1016" s="131">
        <v>1</v>
      </c>
      <c r="W1016" s="131">
        <v>1</v>
      </c>
      <c r="X1016" s="131">
        <v>1</v>
      </c>
      <c r="Y1016" s="131">
        <v>1</v>
      </c>
      <c r="Z1016" s="131">
        <v>1</v>
      </c>
      <c r="AA1016" s="131">
        <v>1</v>
      </c>
      <c r="AB1016" s="131">
        <v>1</v>
      </c>
      <c r="AC1016" s="131">
        <v>1</v>
      </c>
      <c r="AD1016" s="131">
        <v>1</v>
      </c>
      <c r="AE1016" s="131">
        <v>1</v>
      </c>
      <c r="AF1016" s="131">
        <v>1</v>
      </c>
      <c r="AG1016" s="131">
        <v>1</v>
      </c>
      <c r="AH1016" s="131">
        <v>1</v>
      </c>
      <c r="AI1016" s="131">
        <v>1</v>
      </c>
      <c r="AJ1016" s="131">
        <v>1</v>
      </c>
      <c r="AK1016" s="131">
        <v>1</v>
      </c>
      <c r="AL1016" s="131">
        <v>1</v>
      </c>
      <c r="AM1016" s="131">
        <v>1</v>
      </c>
      <c r="AN1016" s="131">
        <v>1</v>
      </c>
      <c r="AO1016" s="131">
        <v>1</v>
      </c>
      <c r="AP1016" s="131">
        <v>1</v>
      </c>
      <c r="AQ1016" s="131">
        <v>1</v>
      </c>
      <c r="AR1016" s="131">
        <v>1</v>
      </c>
      <c r="AS1016" s="131">
        <v>1</v>
      </c>
      <c r="AT1016" s="131">
        <v>1</v>
      </c>
      <c r="AU1016" s="131">
        <v>1</v>
      </c>
      <c r="AV1016" s="131">
        <v>1</v>
      </c>
      <c r="AW1016" s="131">
        <v>1</v>
      </c>
      <c r="AX1016" s="131">
        <v>1</v>
      </c>
      <c r="AY1016" s="131">
        <v>1</v>
      </c>
      <c r="AZ1016" s="131">
        <v>1</v>
      </c>
      <c r="BA1016" s="131">
        <v>1</v>
      </c>
      <c r="BB1016" s="131">
        <v>1</v>
      </c>
      <c r="BC1016" s="131">
        <v>1</v>
      </c>
      <c r="BD1016" s="131">
        <v>1</v>
      </c>
      <c r="BE1016" s="131">
        <v>1</v>
      </c>
      <c r="BF1016" s="131">
        <v>1</v>
      </c>
      <c r="BG1016" s="131">
        <v>1</v>
      </c>
    </row>
    <row r="1017" spans="1:59" ht="15" customHeight="1">
      <c r="A1017" s="141" t="s">
        <v>644</v>
      </c>
      <c r="F1017" s="168" t="s">
        <v>674</v>
      </c>
      <c r="G1017" s="109" t="s">
        <v>3</v>
      </c>
      <c r="J1017" s="131">
        <v>1</v>
      </c>
      <c r="K1017" s="131">
        <v>1</v>
      </c>
      <c r="L1017" s="131">
        <v>1</v>
      </c>
      <c r="M1017" s="131">
        <v>1</v>
      </c>
      <c r="N1017" s="131">
        <v>1</v>
      </c>
      <c r="O1017" s="131">
        <v>1</v>
      </c>
      <c r="P1017" s="131">
        <v>1</v>
      </c>
      <c r="Q1017" s="131">
        <v>1</v>
      </c>
      <c r="R1017" s="131">
        <v>1</v>
      </c>
      <c r="S1017" s="131">
        <v>1</v>
      </c>
      <c r="T1017" s="131">
        <v>1</v>
      </c>
      <c r="U1017" s="131">
        <v>1</v>
      </c>
      <c r="V1017" s="131">
        <v>1</v>
      </c>
      <c r="W1017" s="131">
        <v>1</v>
      </c>
      <c r="X1017" s="131">
        <v>1</v>
      </c>
      <c r="Y1017" s="131">
        <v>1</v>
      </c>
      <c r="Z1017" s="131">
        <v>1</v>
      </c>
      <c r="AA1017" s="131">
        <v>1</v>
      </c>
      <c r="AB1017" s="131">
        <v>1</v>
      </c>
      <c r="AC1017" s="131">
        <v>1</v>
      </c>
      <c r="AD1017" s="131">
        <v>1</v>
      </c>
      <c r="AE1017" s="131">
        <v>1</v>
      </c>
      <c r="AF1017" s="131">
        <v>1</v>
      </c>
      <c r="AG1017" s="131">
        <v>1</v>
      </c>
      <c r="AH1017" s="131">
        <v>1</v>
      </c>
      <c r="AI1017" s="131">
        <v>1</v>
      </c>
      <c r="AJ1017" s="131">
        <v>1</v>
      </c>
      <c r="AK1017" s="131">
        <v>1</v>
      </c>
      <c r="AL1017" s="131">
        <v>1</v>
      </c>
      <c r="AM1017" s="131">
        <v>1</v>
      </c>
      <c r="AN1017" s="131">
        <v>1</v>
      </c>
      <c r="AO1017" s="131">
        <v>1</v>
      </c>
      <c r="AP1017" s="131">
        <v>1</v>
      </c>
      <c r="AQ1017" s="131">
        <v>1</v>
      </c>
      <c r="AR1017" s="131">
        <v>1</v>
      </c>
      <c r="AS1017" s="131">
        <v>1</v>
      </c>
      <c r="AT1017" s="131">
        <v>1</v>
      </c>
      <c r="AU1017" s="131">
        <v>1</v>
      </c>
      <c r="AV1017" s="131">
        <v>1</v>
      </c>
      <c r="AW1017" s="131">
        <v>1</v>
      </c>
      <c r="AX1017" s="131">
        <v>1</v>
      </c>
      <c r="AY1017" s="131">
        <v>1</v>
      </c>
      <c r="AZ1017" s="131">
        <v>1</v>
      </c>
      <c r="BA1017" s="131">
        <v>1</v>
      </c>
      <c r="BB1017" s="131">
        <v>1</v>
      </c>
      <c r="BC1017" s="131">
        <v>1</v>
      </c>
      <c r="BD1017" s="131">
        <v>1</v>
      </c>
      <c r="BE1017" s="131">
        <v>1</v>
      </c>
      <c r="BF1017" s="131">
        <v>1</v>
      </c>
      <c r="BG1017" s="131">
        <v>1</v>
      </c>
    </row>
    <row r="1018" spans="1:59" ht="15" customHeight="1">
      <c r="A1018" s="141" t="s">
        <v>644</v>
      </c>
      <c r="F1018" s="168" t="s">
        <v>675</v>
      </c>
      <c r="G1018" s="109" t="s">
        <v>3</v>
      </c>
      <c r="J1018" s="131">
        <v>1</v>
      </c>
      <c r="K1018" s="131">
        <v>1</v>
      </c>
      <c r="L1018" s="131">
        <v>1</v>
      </c>
      <c r="M1018" s="131">
        <v>1</v>
      </c>
      <c r="N1018" s="131">
        <v>1</v>
      </c>
      <c r="O1018" s="131">
        <v>1</v>
      </c>
      <c r="P1018" s="131">
        <v>1</v>
      </c>
      <c r="Q1018" s="131">
        <v>1</v>
      </c>
      <c r="R1018" s="131">
        <v>1</v>
      </c>
      <c r="S1018" s="131">
        <v>1</v>
      </c>
      <c r="T1018" s="131">
        <v>1</v>
      </c>
      <c r="U1018" s="131">
        <v>1</v>
      </c>
      <c r="V1018" s="131">
        <v>1</v>
      </c>
      <c r="W1018" s="131">
        <v>1</v>
      </c>
      <c r="X1018" s="131">
        <v>1</v>
      </c>
      <c r="Y1018" s="131">
        <v>1</v>
      </c>
      <c r="Z1018" s="131">
        <v>1</v>
      </c>
      <c r="AA1018" s="131">
        <v>1</v>
      </c>
      <c r="AB1018" s="131">
        <v>1</v>
      </c>
      <c r="AC1018" s="131">
        <v>1</v>
      </c>
      <c r="AD1018" s="131">
        <v>1</v>
      </c>
      <c r="AE1018" s="131">
        <v>1</v>
      </c>
      <c r="AF1018" s="131">
        <v>1</v>
      </c>
      <c r="AG1018" s="131">
        <v>1</v>
      </c>
      <c r="AH1018" s="131">
        <v>1</v>
      </c>
      <c r="AI1018" s="131">
        <v>1</v>
      </c>
      <c r="AJ1018" s="131">
        <v>1</v>
      </c>
      <c r="AK1018" s="131">
        <v>1</v>
      </c>
      <c r="AL1018" s="131">
        <v>1</v>
      </c>
      <c r="AM1018" s="131">
        <v>1</v>
      </c>
      <c r="AN1018" s="131">
        <v>1</v>
      </c>
      <c r="AO1018" s="131">
        <v>1</v>
      </c>
      <c r="AP1018" s="131">
        <v>1</v>
      </c>
      <c r="AQ1018" s="131">
        <v>1</v>
      </c>
      <c r="AR1018" s="131">
        <v>1</v>
      </c>
      <c r="AS1018" s="131">
        <v>1</v>
      </c>
      <c r="AT1018" s="131">
        <v>1</v>
      </c>
      <c r="AU1018" s="131">
        <v>1</v>
      </c>
      <c r="AV1018" s="131">
        <v>1</v>
      </c>
      <c r="AW1018" s="131">
        <v>1</v>
      </c>
      <c r="AX1018" s="131">
        <v>1</v>
      </c>
      <c r="AY1018" s="131">
        <v>1</v>
      </c>
      <c r="AZ1018" s="131">
        <v>1</v>
      </c>
      <c r="BA1018" s="131">
        <v>1</v>
      </c>
      <c r="BB1018" s="131">
        <v>1</v>
      </c>
      <c r="BC1018" s="131">
        <v>1</v>
      </c>
      <c r="BD1018" s="131">
        <v>1</v>
      </c>
      <c r="BE1018" s="131">
        <v>1</v>
      </c>
      <c r="BF1018" s="131">
        <v>1</v>
      </c>
      <c r="BG1018" s="131">
        <v>1</v>
      </c>
    </row>
    <row r="1019" spans="1:59" ht="15" customHeight="1">
      <c r="A1019" s="141" t="s">
        <v>644</v>
      </c>
      <c r="F1019" s="168" t="s">
        <v>676</v>
      </c>
      <c r="G1019" s="109" t="s">
        <v>3</v>
      </c>
      <c r="J1019" s="131">
        <v>1</v>
      </c>
      <c r="K1019" s="131">
        <v>1</v>
      </c>
      <c r="L1019" s="131">
        <v>1</v>
      </c>
      <c r="M1019" s="131">
        <v>1</v>
      </c>
      <c r="N1019" s="131">
        <v>1</v>
      </c>
      <c r="O1019" s="131">
        <v>1</v>
      </c>
      <c r="P1019" s="131">
        <v>1</v>
      </c>
      <c r="Q1019" s="131">
        <v>1</v>
      </c>
      <c r="R1019" s="131">
        <v>1</v>
      </c>
      <c r="S1019" s="131">
        <v>1</v>
      </c>
      <c r="T1019" s="131">
        <v>1</v>
      </c>
      <c r="U1019" s="131">
        <v>1</v>
      </c>
      <c r="V1019" s="131">
        <v>1</v>
      </c>
      <c r="W1019" s="131">
        <v>1</v>
      </c>
      <c r="X1019" s="131">
        <v>1</v>
      </c>
      <c r="Y1019" s="131">
        <v>1</v>
      </c>
      <c r="Z1019" s="131">
        <v>1</v>
      </c>
      <c r="AA1019" s="131">
        <v>1</v>
      </c>
      <c r="AB1019" s="131">
        <v>1</v>
      </c>
      <c r="AC1019" s="131">
        <v>1</v>
      </c>
      <c r="AD1019" s="131">
        <v>1</v>
      </c>
      <c r="AE1019" s="131">
        <v>1</v>
      </c>
      <c r="AF1019" s="131">
        <v>1</v>
      </c>
      <c r="AG1019" s="131">
        <v>1</v>
      </c>
      <c r="AH1019" s="131">
        <v>1</v>
      </c>
      <c r="AI1019" s="131">
        <v>1</v>
      </c>
      <c r="AJ1019" s="131">
        <v>1</v>
      </c>
      <c r="AK1019" s="131">
        <v>1</v>
      </c>
      <c r="AL1019" s="131">
        <v>1</v>
      </c>
      <c r="AM1019" s="131">
        <v>1</v>
      </c>
      <c r="AN1019" s="131">
        <v>1</v>
      </c>
      <c r="AO1019" s="131">
        <v>1</v>
      </c>
      <c r="AP1019" s="131">
        <v>1</v>
      </c>
      <c r="AQ1019" s="131">
        <v>1</v>
      </c>
      <c r="AR1019" s="131">
        <v>1</v>
      </c>
      <c r="AS1019" s="131">
        <v>1</v>
      </c>
      <c r="AT1019" s="131">
        <v>1</v>
      </c>
      <c r="AU1019" s="131">
        <v>1</v>
      </c>
      <c r="AV1019" s="131">
        <v>1</v>
      </c>
      <c r="AW1019" s="131">
        <v>1</v>
      </c>
      <c r="AX1019" s="131">
        <v>1</v>
      </c>
      <c r="AY1019" s="131">
        <v>1</v>
      </c>
      <c r="AZ1019" s="131">
        <v>1</v>
      </c>
      <c r="BA1019" s="131">
        <v>1</v>
      </c>
      <c r="BB1019" s="131">
        <v>1</v>
      </c>
      <c r="BC1019" s="131">
        <v>1</v>
      </c>
      <c r="BD1019" s="131">
        <v>1</v>
      </c>
      <c r="BE1019" s="131">
        <v>1</v>
      </c>
      <c r="BF1019" s="131">
        <v>1</v>
      </c>
      <c r="BG1019" s="131">
        <v>1</v>
      </c>
    </row>
    <row r="1020" spans="1:59" ht="15" customHeight="1">
      <c r="A1020" s="141" t="s">
        <v>644</v>
      </c>
      <c r="F1020" s="168" t="s">
        <v>677</v>
      </c>
      <c r="G1020" s="109" t="s">
        <v>3</v>
      </c>
      <c r="J1020" s="131">
        <v>1</v>
      </c>
      <c r="K1020" s="131">
        <v>1</v>
      </c>
      <c r="L1020" s="131">
        <v>1</v>
      </c>
      <c r="M1020" s="131">
        <v>1</v>
      </c>
      <c r="N1020" s="131">
        <v>1</v>
      </c>
      <c r="O1020" s="131">
        <v>1</v>
      </c>
      <c r="P1020" s="131">
        <v>1</v>
      </c>
      <c r="Q1020" s="131">
        <v>1</v>
      </c>
      <c r="R1020" s="131">
        <v>1</v>
      </c>
      <c r="S1020" s="131">
        <v>1</v>
      </c>
      <c r="T1020" s="131">
        <v>1</v>
      </c>
      <c r="U1020" s="131">
        <v>1</v>
      </c>
      <c r="V1020" s="131">
        <v>1</v>
      </c>
      <c r="W1020" s="131">
        <v>1</v>
      </c>
      <c r="X1020" s="131">
        <v>1</v>
      </c>
      <c r="Y1020" s="131">
        <v>1</v>
      </c>
      <c r="Z1020" s="131">
        <v>1</v>
      </c>
      <c r="AA1020" s="131">
        <v>1</v>
      </c>
      <c r="AB1020" s="131">
        <v>1</v>
      </c>
      <c r="AC1020" s="131">
        <v>1</v>
      </c>
      <c r="AD1020" s="131">
        <v>1</v>
      </c>
      <c r="AE1020" s="131">
        <v>1</v>
      </c>
      <c r="AF1020" s="131">
        <v>1</v>
      </c>
      <c r="AG1020" s="131">
        <v>1</v>
      </c>
      <c r="AH1020" s="131">
        <v>1</v>
      </c>
      <c r="AI1020" s="131">
        <v>1</v>
      </c>
      <c r="AJ1020" s="131">
        <v>1</v>
      </c>
      <c r="AK1020" s="131">
        <v>1</v>
      </c>
      <c r="AL1020" s="131">
        <v>1</v>
      </c>
      <c r="AM1020" s="131">
        <v>1</v>
      </c>
      <c r="AN1020" s="131">
        <v>1</v>
      </c>
      <c r="AO1020" s="131">
        <v>1</v>
      </c>
      <c r="AP1020" s="131">
        <v>1</v>
      </c>
      <c r="AQ1020" s="131">
        <v>1</v>
      </c>
      <c r="AR1020" s="131">
        <v>1</v>
      </c>
      <c r="AS1020" s="131">
        <v>1</v>
      </c>
      <c r="AT1020" s="131">
        <v>1</v>
      </c>
      <c r="AU1020" s="131">
        <v>1</v>
      </c>
      <c r="AV1020" s="131">
        <v>1</v>
      </c>
      <c r="AW1020" s="131">
        <v>1</v>
      </c>
      <c r="AX1020" s="131">
        <v>1</v>
      </c>
      <c r="AY1020" s="131">
        <v>1</v>
      </c>
      <c r="AZ1020" s="131">
        <v>1</v>
      </c>
      <c r="BA1020" s="131">
        <v>1</v>
      </c>
      <c r="BB1020" s="131">
        <v>1</v>
      </c>
      <c r="BC1020" s="131">
        <v>1</v>
      </c>
      <c r="BD1020" s="131">
        <v>1</v>
      </c>
      <c r="BE1020" s="131">
        <v>1</v>
      </c>
      <c r="BF1020" s="131">
        <v>1</v>
      </c>
      <c r="BG1020" s="131">
        <v>1</v>
      </c>
    </row>
    <row r="1021" spans="1:59" ht="15" customHeight="1">
      <c r="A1021" s="141" t="s">
        <v>644</v>
      </c>
      <c r="F1021" s="168" t="s">
        <v>678</v>
      </c>
      <c r="G1021" s="109" t="s">
        <v>3</v>
      </c>
      <c r="J1021" s="131">
        <v>1</v>
      </c>
      <c r="K1021" s="131">
        <v>1</v>
      </c>
      <c r="L1021" s="131">
        <v>1</v>
      </c>
      <c r="M1021" s="131">
        <v>1</v>
      </c>
      <c r="N1021" s="131">
        <v>1</v>
      </c>
      <c r="O1021" s="131">
        <v>1</v>
      </c>
      <c r="P1021" s="131">
        <v>1</v>
      </c>
      <c r="Q1021" s="131">
        <v>1</v>
      </c>
      <c r="R1021" s="131">
        <v>1</v>
      </c>
      <c r="S1021" s="131">
        <v>1</v>
      </c>
      <c r="T1021" s="131">
        <v>1</v>
      </c>
      <c r="U1021" s="131">
        <v>1</v>
      </c>
      <c r="V1021" s="131">
        <v>1</v>
      </c>
      <c r="W1021" s="131">
        <v>1</v>
      </c>
      <c r="X1021" s="131">
        <v>1</v>
      </c>
      <c r="Y1021" s="131">
        <v>1</v>
      </c>
      <c r="Z1021" s="131">
        <v>1</v>
      </c>
      <c r="AA1021" s="131">
        <v>1</v>
      </c>
      <c r="AB1021" s="131">
        <v>1</v>
      </c>
      <c r="AC1021" s="131">
        <v>1</v>
      </c>
      <c r="AD1021" s="131">
        <v>1</v>
      </c>
      <c r="AE1021" s="131">
        <v>1</v>
      </c>
      <c r="AF1021" s="131">
        <v>1</v>
      </c>
      <c r="AG1021" s="131">
        <v>1</v>
      </c>
      <c r="AH1021" s="131">
        <v>1</v>
      </c>
      <c r="AI1021" s="131">
        <v>1</v>
      </c>
      <c r="AJ1021" s="131">
        <v>1</v>
      </c>
      <c r="AK1021" s="131">
        <v>1</v>
      </c>
      <c r="AL1021" s="131">
        <v>1</v>
      </c>
      <c r="AM1021" s="131">
        <v>1</v>
      </c>
      <c r="AN1021" s="131">
        <v>1</v>
      </c>
      <c r="AO1021" s="131">
        <v>1</v>
      </c>
      <c r="AP1021" s="131">
        <v>1</v>
      </c>
      <c r="AQ1021" s="131">
        <v>1</v>
      </c>
      <c r="AR1021" s="131">
        <v>1</v>
      </c>
      <c r="AS1021" s="131">
        <v>1</v>
      </c>
      <c r="AT1021" s="131">
        <v>1</v>
      </c>
      <c r="AU1021" s="131">
        <v>1</v>
      </c>
      <c r="AV1021" s="131">
        <v>1</v>
      </c>
      <c r="AW1021" s="131">
        <v>1</v>
      </c>
      <c r="AX1021" s="131">
        <v>1</v>
      </c>
      <c r="AY1021" s="131">
        <v>1</v>
      </c>
      <c r="AZ1021" s="131">
        <v>1</v>
      </c>
      <c r="BA1021" s="131">
        <v>1</v>
      </c>
      <c r="BB1021" s="131">
        <v>1</v>
      </c>
      <c r="BC1021" s="131">
        <v>1</v>
      </c>
      <c r="BD1021" s="131">
        <v>1</v>
      </c>
      <c r="BE1021" s="131">
        <v>1</v>
      </c>
      <c r="BF1021" s="131">
        <v>1</v>
      </c>
      <c r="BG1021" s="131">
        <v>1</v>
      </c>
    </row>
    <row r="1022" spans="1:59" ht="15" customHeight="1">
      <c r="A1022" s="141" t="s">
        <v>644</v>
      </c>
      <c r="F1022" s="168" t="s">
        <v>679</v>
      </c>
      <c r="G1022" s="109" t="s">
        <v>3</v>
      </c>
      <c r="J1022" s="131">
        <v>1</v>
      </c>
      <c r="K1022" s="131">
        <v>1</v>
      </c>
      <c r="L1022" s="131">
        <v>1</v>
      </c>
      <c r="M1022" s="131">
        <v>1</v>
      </c>
      <c r="N1022" s="131">
        <v>1</v>
      </c>
      <c r="O1022" s="131">
        <v>1</v>
      </c>
      <c r="P1022" s="131">
        <v>1</v>
      </c>
      <c r="Q1022" s="131">
        <v>1</v>
      </c>
      <c r="R1022" s="131">
        <v>1</v>
      </c>
      <c r="S1022" s="131">
        <v>1</v>
      </c>
      <c r="T1022" s="131">
        <v>1</v>
      </c>
      <c r="U1022" s="131">
        <v>1</v>
      </c>
      <c r="V1022" s="131">
        <v>1</v>
      </c>
      <c r="W1022" s="131">
        <v>1</v>
      </c>
      <c r="X1022" s="131">
        <v>1</v>
      </c>
      <c r="Y1022" s="131">
        <v>1</v>
      </c>
      <c r="Z1022" s="131">
        <v>1</v>
      </c>
      <c r="AA1022" s="131">
        <v>1</v>
      </c>
      <c r="AB1022" s="131">
        <v>1</v>
      </c>
      <c r="AC1022" s="131">
        <v>1</v>
      </c>
      <c r="AD1022" s="131">
        <v>1</v>
      </c>
      <c r="AE1022" s="131">
        <v>1</v>
      </c>
      <c r="AF1022" s="131">
        <v>1</v>
      </c>
      <c r="AG1022" s="131">
        <v>1</v>
      </c>
      <c r="AH1022" s="131">
        <v>1</v>
      </c>
      <c r="AI1022" s="131">
        <v>1</v>
      </c>
      <c r="AJ1022" s="131">
        <v>1</v>
      </c>
      <c r="AK1022" s="131">
        <v>1</v>
      </c>
      <c r="AL1022" s="131">
        <v>1</v>
      </c>
      <c r="AM1022" s="131">
        <v>1</v>
      </c>
      <c r="AN1022" s="131">
        <v>1</v>
      </c>
      <c r="AO1022" s="131">
        <v>1</v>
      </c>
      <c r="AP1022" s="131">
        <v>1</v>
      </c>
      <c r="AQ1022" s="131">
        <v>1</v>
      </c>
      <c r="AR1022" s="131">
        <v>1</v>
      </c>
      <c r="AS1022" s="131">
        <v>1</v>
      </c>
      <c r="AT1022" s="131">
        <v>1</v>
      </c>
      <c r="AU1022" s="131">
        <v>1</v>
      </c>
      <c r="AV1022" s="131">
        <v>1</v>
      </c>
      <c r="AW1022" s="131">
        <v>1</v>
      </c>
      <c r="AX1022" s="131">
        <v>1</v>
      </c>
      <c r="AY1022" s="131">
        <v>1</v>
      </c>
      <c r="AZ1022" s="131">
        <v>1</v>
      </c>
      <c r="BA1022" s="131">
        <v>1</v>
      </c>
      <c r="BB1022" s="131">
        <v>1</v>
      </c>
      <c r="BC1022" s="131">
        <v>1</v>
      </c>
      <c r="BD1022" s="131">
        <v>1</v>
      </c>
      <c r="BE1022" s="131">
        <v>1</v>
      </c>
      <c r="BF1022" s="131">
        <v>1</v>
      </c>
      <c r="BG1022" s="131">
        <v>1</v>
      </c>
    </row>
    <row r="1023" spans="1:59" ht="15" customHeight="1">
      <c r="A1023" s="141" t="s">
        <v>644</v>
      </c>
      <c r="F1023" s="168" t="s">
        <v>680</v>
      </c>
      <c r="G1023" s="109" t="s">
        <v>3</v>
      </c>
      <c r="J1023" s="131">
        <v>1</v>
      </c>
      <c r="K1023" s="131">
        <v>1</v>
      </c>
      <c r="L1023" s="131">
        <v>1</v>
      </c>
      <c r="M1023" s="131">
        <v>1</v>
      </c>
      <c r="N1023" s="131">
        <v>1</v>
      </c>
      <c r="O1023" s="131">
        <v>1</v>
      </c>
      <c r="P1023" s="131">
        <v>1</v>
      </c>
      <c r="Q1023" s="131">
        <v>1</v>
      </c>
      <c r="R1023" s="131">
        <v>1</v>
      </c>
      <c r="S1023" s="131">
        <v>1</v>
      </c>
      <c r="T1023" s="131">
        <v>1</v>
      </c>
      <c r="U1023" s="131">
        <v>1</v>
      </c>
      <c r="V1023" s="131">
        <v>1</v>
      </c>
      <c r="W1023" s="131">
        <v>1</v>
      </c>
      <c r="X1023" s="131">
        <v>1</v>
      </c>
      <c r="Y1023" s="131">
        <v>1</v>
      </c>
      <c r="Z1023" s="131">
        <v>1</v>
      </c>
      <c r="AA1023" s="131">
        <v>1</v>
      </c>
      <c r="AB1023" s="131">
        <v>1</v>
      </c>
      <c r="AC1023" s="131">
        <v>1</v>
      </c>
      <c r="AD1023" s="131">
        <v>1</v>
      </c>
      <c r="AE1023" s="131">
        <v>1</v>
      </c>
      <c r="AF1023" s="131">
        <v>1</v>
      </c>
      <c r="AG1023" s="131">
        <v>1</v>
      </c>
      <c r="AH1023" s="131">
        <v>1</v>
      </c>
      <c r="AI1023" s="131">
        <v>1</v>
      </c>
      <c r="AJ1023" s="131">
        <v>1</v>
      </c>
      <c r="AK1023" s="131">
        <v>1</v>
      </c>
      <c r="AL1023" s="131">
        <v>1</v>
      </c>
      <c r="AM1023" s="131">
        <v>1</v>
      </c>
      <c r="AN1023" s="131">
        <v>1</v>
      </c>
      <c r="AO1023" s="131">
        <v>1</v>
      </c>
      <c r="AP1023" s="131">
        <v>1</v>
      </c>
      <c r="AQ1023" s="131">
        <v>1</v>
      </c>
      <c r="AR1023" s="131">
        <v>1</v>
      </c>
      <c r="AS1023" s="131">
        <v>1</v>
      </c>
      <c r="AT1023" s="131">
        <v>1</v>
      </c>
      <c r="AU1023" s="131">
        <v>1</v>
      </c>
      <c r="AV1023" s="131">
        <v>1</v>
      </c>
      <c r="AW1023" s="131">
        <v>1</v>
      </c>
      <c r="AX1023" s="131">
        <v>1</v>
      </c>
      <c r="AY1023" s="131">
        <v>1</v>
      </c>
      <c r="AZ1023" s="131">
        <v>1</v>
      </c>
      <c r="BA1023" s="131">
        <v>1</v>
      </c>
      <c r="BB1023" s="131">
        <v>1</v>
      </c>
      <c r="BC1023" s="131">
        <v>1</v>
      </c>
      <c r="BD1023" s="131">
        <v>1</v>
      </c>
      <c r="BE1023" s="131">
        <v>1</v>
      </c>
      <c r="BF1023" s="131">
        <v>1</v>
      </c>
      <c r="BG1023" s="131">
        <v>1</v>
      </c>
    </row>
    <row r="1024" spans="1:59" ht="15" customHeight="1">
      <c r="A1024" s="141" t="s">
        <v>644</v>
      </c>
      <c r="F1024" s="168" t="s">
        <v>681</v>
      </c>
      <c r="G1024" s="109" t="s">
        <v>3</v>
      </c>
      <c r="J1024" s="131">
        <v>1</v>
      </c>
      <c r="K1024" s="131">
        <v>1</v>
      </c>
      <c r="L1024" s="131">
        <v>1</v>
      </c>
      <c r="M1024" s="131">
        <v>1</v>
      </c>
      <c r="N1024" s="131">
        <v>1</v>
      </c>
      <c r="O1024" s="131">
        <v>1</v>
      </c>
      <c r="P1024" s="131">
        <v>1</v>
      </c>
      <c r="Q1024" s="131">
        <v>1</v>
      </c>
      <c r="R1024" s="131">
        <v>1</v>
      </c>
      <c r="S1024" s="131">
        <v>1</v>
      </c>
      <c r="T1024" s="131">
        <v>1</v>
      </c>
      <c r="U1024" s="131">
        <v>1</v>
      </c>
      <c r="V1024" s="131">
        <v>1</v>
      </c>
      <c r="W1024" s="131">
        <v>1</v>
      </c>
      <c r="X1024" s="131">
        <v>1</v>
      </c>
      <c r="Y1024" s="131">
        <v>1</v>
      </c>
      <c r="Z1024" s="131">
        <v>1</v>
      </c>
      <c r="AA1024" s="131">
        <v>1</v>
      </c>
      <c r="AB1024" s="131">
        <v>1</v>
      </c>
      <c r="AC1024" s="131">
        <v>1</v>
      </c>
      <c r="AD1024" s="131">
        <v>1</v>
      </c>
      <c r="AE1024" s="131">
        <v>1</v>
      </c>
      <c r="AF1024" s="131">
        <v>1</v>
      </c>
      <c r="AG1024" s="131">
        <v>1</v>
      </c>
      <c r="AH1024" s="131">
        <v>1</v>
      </c>
      <c r="AI1024" s="131">
        <v>1</v>
      </c>
      <c r="AJ1024" s="131">
        <v>1</v>
      </c>
      <c r="AK1024" s="131">
        <v>1</v>
      </c>
      <c r="AL1024" s="131">
        <v>1</v>
      </c>
      <c r="AM1024" s="131">
        <v>1</v>
      </c>
      <c r="AN1024" s="131">
        <v>1</v>
      </c>
      <c r="AO1024" s="131">
        <v>1</v>
      </c>
      <c r="AP1024" s="131">
        <v>1</v>
      </c>
      <c r="AQ1024" s="131">
        <v>1</v>
      </c>
      <c r="AR1024" s="131">
        <v>1</v>
      </c>
      <c r="AS1024" s="131">
        <v>1</v>
      </c>
      <c r="AT1024" s="131">
        <v>1</v>
      </c>
      <c r="AU1024" s="131">
        <v>1</v>
      </c>
      <c r="AV1024" s="131">
        <v>1</v>
      </c>
      <c r="AW1024" s="131">
        <v>1</v>
      </c>
      <c r="AX1024" s="131">
        <v>1</v>
      </c>
      <c r="AY1024" s="131">
        <v>1</v>
      </c>
      <c r="AZ1024" s="131">
        <v>1</v>
      </c>
      <c r="BA1024" s="131">
        <v>1</v>
      </c>
      <c r="BB1024" s="131">
        <v>1</v>
      </c>
      <c r="BC1024" s="131">
        <v>1</v>
      </c>
      <c r="BD1024" s="131">
        <v>1</v>
      </c>
      <c r="BE1024" s="131">
        <v>1</v>
      </c>
      <c r="BF1024" s="131">
        <v>1</v>
      </c>
      <c r="BG1024" s="131">
        <v>1</v>
      </c>
    </row>
    <row r="1025" spans="1:59" ht="15" customHeight="1">
      <c r="A1025" s="141" t="s">
        <v>644</v>
      </c>
      <c r="F1025" s="168" t="s">
        <v>682</v>
      </c>
      <c r="G1025" s="109" t="s">
        <v>3</v>
      </c>
      <c r="J1025" s="131">
        <v>1</v>
      </c>
      <c r="K1025" s="131">
        <v>1</v>
      </c>
      <c r="L1025" s="131">
        <v>1</v>
      </c>
      <c r="M1025" s="131">
        <v>1</v>
      </c>
      <c r="N1025" s="131">
        <v>1</v>
      </c>
      <c r="O1025" s="131">
        <v>1</v>
      </c>
      <c r="P1025" s="131">
        <v>1</v>
      </c>
      <c r="Q1025" s="131">
        <v>1</v>
      </c>
      <c r="R1025" s="131">
        <v>1</v>
      </c>
      <c r="S1025" s="131">
        <v>1</v>
      </c>
      <c r="T1025" s="131">
        <v>1</v>
      </c>
      <c r="U1025" s="131">
        <v>1</v>
      </c>
      <c r="V1025" s="131">
        <v>1</v>
      </c>
      <c r="W1025" s="131">
        <v>1</v>
      </c>
      <c r="X1025" s="131">
        <v>1</v>
      </c>
      <c r="Y1025" s="131">
        <v>1</v>
      </c>
      <c r="Z1025" s="131">
        <v>1</v>
      </c>
      <c r="AA1025" s="131">
        <v>1</v>
      </c>
      <c r="AB1025" s="131">
        <v>1</v>
      </c>
      <c r="AC1025" s="131">
        <v>1</v>
      </c>
      <c r="AD1025" s="131">
        <v>1</v>
      </c>
      <c r="AE1025" s="131">
        <v>1</v>
      </c>
      <c r="AF1025" s="131">
        <v>1</v>
      </c>
      <c r="AG1025" s="131">
        <v>1</v>
      </c>
      <c r="AH1025" s="131">
        <v>1</v>
      </c>
      <c r="AI1025" s="131">
        <v>1</v>
      </c>
      <c r="AJ1025" s="131">
        <v>1</v>
      </c>
      <c r="AK1025" s="131">
        <v>1</v>
      </c>
      <c r="AL1025" s="131">
        <v>1</v>
      </c>
      <c r="AM1025" s="131">
        <v>1</v>
      </c>
      <c r="AN1025" s="131">
        <v>1</v>
      </c>
      <c r="AO1025" s="131">
        <v>1</v>
      </c>
      <c r="AP1025" s="131">
        <v>1</v>
      </c>
      <c r="AQ1025" s="131">
        <v>1</v>
      </c>
      <c r="AR1025" s="131">
        <v>1</v>
      </c>
      <c r="AS1025" s="131">
        <v>1</v>
      </c>
      <c r="AT1025" s="131">
        <v>1</v>
      </c>
      <c r="AU1025" s="131">
        <v>1</v>
      </c>
      <c r="AV1025" s="131">
        <v>1</v>
      </c>
      <c r="AW1025" s="131">
        <v>1</v>
      </c>
      <c r="AX1025" s="131">
        <v>1</v>
      </c>
      <c r="AY1025" s="131">
        <v>1</v>
      </c>
      <c r="AZ1025" s="131">
        <v>1</v>
      </c>
      <c r="BA1025" s="131">
        <v>1</v>
      </c>
      <c r="BB1025" s="131">
        <v>1</v>
      </c>
      <c r="BC1025" s="131">
        <v>1</v>
      </c>
      <c r="BD1025" s="131">
        <v>1</v>
      </c>
      <c r="BE1025" s="131">
        <v>1</v>
      </c>
      <c r="BF1025" s="131">
        <v>1</v>
      </c>
      <c r="BG1025" s="131">
        <v>1</v>
      </c>
    </row>
    <row r="1026" spans="1:59" ht="15" customHeight="1">
      <c r="A1026" s="141" t="s">
        <v>644</v>
      </c>
      <c r="F1026" s="168" t="s">
        <v>683</v>
      </c>
      <c r="G1026" s="109" t="s">
        <v>3</v>
      </c>
      <c r="J1026" s="131">
        <v>1</v>
      </c>
      <c r="K1026" s="131">
        <v>1</v>
      </c>
      <c r="L1026" s="131">
        <v>1</v>
      </c>
      <c r="M1026" s="131">
        <v>1</v>
      </c>
      <c r="N1026" s="131">
        <v>1</v>
      </c>
      <c r="O1026" s="131">
        <v>1</v>
      </c>
      <c r="P1026" s="131">
        <v>1</v>
      </c>
      <c r="Q1026" s="131">
        <v>1</v>
      </c>
      <c r="R1026" s="131">
        <v>1</v>
      </c>
      <c r="S1026" s="131">
        <v>1</v>
      </c>
      <c r="T1026" s="131">
        <v>1</v>
      </c>
      <c r="U1026" s="131">
        <v>1</v>
      </c>
      <c r="V1026" s="131">
        <v>1</v>
      </c>
      <c r="W1026" s="131">
        <v>1</v>
      </c>
      <c r="X1026" s="131">
        <v>1</v>
      </c>
      <c r="Y1026" s="131">
        <v>1</v>
      </c>
      <c r="Z1026" s="131">
        <v>1</v>
      </c>
      <c r="AA1026" s="131">
        <v>1</v>
      </c>
      <c r="AB1026" s="131">
        <v>1</v>
      </c>
      <c r="AC1026" s="131">
        <v>1</v>
      </c>
      <c r="AD1026" s="131">
        <v>1</v>
      </c>
      <c r="AE1026" s="131">
        <v>1</v>
      </c>
      <c r="AF1026" s="131">
        <v>1</v>
      </c>
      <c r="AG1026" s="131">
        <v>1</v>
      </c>
      <c r="AH1026" s="131">
        <v>1</v>
      </c>
      <c r="AI1026" s="131">
        <v>1</v>
      </c>
      <c r="AJ1026" s="131">
        <v>1</v>
      </c>
      <c r="AK1026" s="131">
        <v>1</v>
      </c>
      <c r="AL1026" s="131">
        <v>1</v>
      </c>
      <c r="AM1026" s="131">
        <v>1</v>
      </c>
      <c r="AN1026" s="131">
        <v>1</v>
      </c>
      <c r="AO1026" s="131">
        <v>1</v>
      </c>
      <c r="AP1026" s="131">
        <v>1</v>
      </c>
      <c r="AQ1026" s="131">
        <v>1</v>
      </c>
      <c r="AR1026" s="131">
        <v>1</v>
      </c>
      <c r="AS1026" s="131">
        <v>1</v>
      </c>
      <c r="AT1026" s="131">
        <v>1</v>
      </c>
      <c r="AU1026" s="131">
        <v>1</v>
      </c>
      <c r="AV1026" s="131">
        <v>1</v>
      </c>
      <c r="AW1026" s="131">
        <v>1</v>
      </c>
      <c r="AX1026" s="131">
        <v>1</v>
      </c>
      <c r="AY1026" s="131">
        <v>1</v>
      </c>
      <c r="AZ1026" s="131">
        <v>1</v>
      </c>
      <c r="BA1026" s="131">
        <v>1</v>
      </c>
      <c r="BB1026" s="131">
        <v>1</v>
      </c>
      <c r="BC1026" s="131">
        <v>1</v>
      </c>
      <c r="BD1026" s="131">
        <v>1</v>
      </c>
      <c r="BE1026" s="131">
        <v>1</v>
      </c>
      <c r="BF1026" s="131">
        <v>1</v>
      </c>
      <c r="BG1026" s="131">
        <v>1</v>
      </c>
    </row>
    <row r="1027" spans="1:59" ht="15" customHeight="1">
      <c r="F1027" s="168"/>
    </row>
    <row r="1028" spans="1:59" ht="16">
      <c r="A1028" s="141" t="s">
        <v>644</v>
      </c>
      <c r="F1028" s="168" t="s">
        <v>684</v>
      </c>
      <c r="AE1028" s="181">
        <v>1.5516523030848235</v>
      </c>
      <c r="AF1028" s="181">
        <v>-74.575187092203706</v>
      </c>
      <c r="AG1028" s="181">
        <v>-4.2069251757846482</v>
      </c>
      <c r="AH1028" s="181">
        <v>3.1350720353328558</v>
      </c>
      <c r="AI1028" s="181">
        <v>0.17945134582442684</v>
      </c>
      <c r="AJ1028" s="181">
        <v>0.56355984777520018</v>
      </c>
      <c r="AK1028" s="181">
        <v>0.96486571589257764</v>
      </c>
      <c r="AL1028" s="181">
        <v>0.9570256519441499</v>
      </c>
      <c r="AM1028" s="181">
        <v>0.96523478010476782</v>
      </c>
      <c r="AN1028" s="181">
        <v>0.96541276669698517</v>
      </c>
      <c r="AO1028" s="181">
        <v>0.96558629911888216</v>
      </c>
      <c r="AP1028" s="181">
        <v>0.96841401498141788</v>
      </c>
      <c r="AQ1028" s="181">
        <v>0.95525344598312711</v>
      </c>
      <c r="AR1028" s="181">
        <v>0.96607974165760702</v>
      </c>
      <c r="AS1028" s="181">
        <v>0.966235094576955</v>
      </c>
      <c r="AT1028" s="181">
        <v>0.96904686271789464</v>
      </c>
      <c r="AU1028" s="181">
        <v>0.96653210110722809</v>
      </c>
      <c r="AV1028" s="181">
        <v>0.95599639702323169</v>
      </c>
      <c r="AW1028" s="181">
        <v>0.96681098233244922</v>
      </c>
      <c r="AX1028" s="181">
        <v>0.96960673539595699</v>
      </c>
      <c r="AY1028" s="181">
        <v>0.96707204259074753</v>
      </c>
      <c r="AZ1028" s="181">
        <v>0.96707204259074753</v>
      </c>
      <c r="BA1028" s="181">
        <v>0.96707204259074753</v>
      </c>
      <c r="BB1028" s="181">
        <v>0.96707204259074753</v>
      </c>
      <c r="BC1028" s="181">
        <v>0.96707204259074753</v>
      </c>
      <c r="BD1028" s="181">
        <v>0.96707204259074753</v>
      </c>
      <c r="BE1028" s="181">
        <v>0.96707204259074753</v>
      </c>
      <c r="BF1028" s="181">
        <v>0.96707204259074753</v>
      </c>
      <c r="BG1028" s="181">
        <v>0.96707204259074753</v>
      </c>
    </row>
    <row r="1029" spans="1:59" ht="16">
      <c r="A1029" s="141" t="s">
        <v>644</v>
      </c>
      <c r="F1029" s="168" t="s">
        <v>685</v>
      </c>
      <c r="AE1029" s="181">
        <v>1.4612461492751834</v>
      </c>
      <c r="AF1029" s="181">
        <v>-42.223088772134844</v>
      </c>
      <c r="AG1029" s="181">
        <v>0.89566832370513871</v>
      </c>
      <c r="AH1029" s="181">
        <v>0.98032425139790857</v>
      </c>
      <c r="AI1029" s="181">
        <v>0.806959342904226</v>
      </c>
      <c r="AJ1029" s="181">
        <v>1.172053555963219</v>
      </c>
      <c r="AK1029" s="181">
        <v>1.0371978298876801</v>
      </c>
      <c r="AL1029" s="181">
        <v>1.0401252338566018</v>
      </c>
      <c r="AM1029" s="181">
        <v>1.0373408505113277</v>
      </c>
      <c r="AN1029" s="181">
        <v>1.03740976169272</v>
      </c>
      <c r="AO1029" s="181">
        <v>1.0374769091495311</v>
      </c>
      <c r="AP1029" s="181">
        <v>1.0403987436066024</v>
      </c>
      <c r="AQ1029" s="181">
        <v>1.0376058531008689</v>
      </c>
      <c r="AR1029" s="181">
        <v>1.0376676327445908</v>
      </c>
      <c r="AS1029" s="181">
        <v>1.0377276144731622</v>
      </c>
      <c r="AT1029" s="181">
        <v>1.0406435502902269</v>
      </c>
      <c r="AU1029" s="181">
        <v>1.0378422024198433</v>
      </c>
      <c r="AV1029" s="181">
        <v>1.0378968281572405</v>
      </c>
      <c r="AW1029" s="181">
        <v>1.0379496944401159</v>
      </c>
      <c r="AX1029" s="181">
        <v>1.0408597010051519</v>
      </c>
      <c r="AY1029" s="181">
        <v>1.0380502271782523</v>
      </c>
      <c r="AZ1029" s="181">
        <v>1.0380502271782523</v>
      </c>
      <c r="BA1029" s="181">
        <v>1.0380502271782523</v>
      </c>
      <c r="BB1029" s="181">
        <v>1.0380502271782523</v>
      </c>
      <c r="BC1029" s="181">
        <v>1.0380502271782523</v>
      </c>
      <c r="BD1029" s="181">
        <v>1.0380502271782523</v>
      </c>
      <c r="BE1029" s="181">
        <v>1.0380502271782523</v>
      </c>
      <c r="BF1029" s="181">
        <v>1.0380502271782523</v>
      </c>
      <c r="BG1029" s="181">
        <v>1.0380502271782523</v>
      </c>
    </row>
    <row r="1030" spans="1:59" ht="16">
      <c r="A1030" s="141" t="s">
        <v>644</v>
      </c>
      <c r="F1030" s="168" t="s">
        <v>686</v>
      </c>
      <c r="AE1030" s="181">
        <v>0.98072582108814932</v>
      </c>
      <c r="AF1030" s="181">
        <v>121.47443358951773</v>
      </c>
      <c r="AG1030" s="181">
        <v>5.1981702778984404</v>
      </c>
      <c r="AH1030" s="181">
        <v>0.34490962638500589</v>
      </c>
      <c r="AI1030" s="181">
        <v>1.2229972319934823</v>
      </c>
      <c r="AJ1030" s="181">
        <v>1.0573523340769504</v>
      </c>
      <c r="AK1030" s="181">
        <v>0.93556134499845911</v>
      </c>
      <c r="AL1030" s="181">
        <v>0.93807713975463847</v>
      </c>
      <c r="AM1030" s="181">
        <v>0.93544417208462072</v>
      </c>
      <c r="AN1030" s="181">
        <v>0.93538763537508396</v>
      </c>
      <c r="AO1030" s="181">
        <v>0.93533249577967281</v>
      </c>
      <c r="AP1030" s="181">
        <v>0.93785383270588385</v>
      </c>
      <c r="AQ1030" s="181">
        <v>0.93522647237024814</v>
      </c>
      <c r="AR1030" s="181">
        <v>0.93517560989727078</v>
      </c>
      <c r="AS1030" s="181">
        <v>0.93512618758288291</v>
      </c>
      <c r="AT1030" s="181">
        <v>0.93765327270641963</v>
      </c>
      <c r="AU1030" s="181">
        <v>0.93503166232877843</v>
      </c>
      <c r="AV1030" s="181">
        <v>0.93498654996678321</v>
      </c>
      <c r="AW1030" s="181">
        <v>0.93494285937339872</v>
      </c>
      <c r="AX1030" s="181">
        <v>0.93747564745474732</v>
      </c>
      <c r="AY1030" s="181">
        <v>0.93485969056827589</v>
      </c>
      <c r="AZ1030" s="181">
        <v>0.93485969056827589</v>
      </c>
      <c r="BA1030" s="181">
        <v>0.93485969056827589</v>
      </c>
      <c r="BB1030" s="181">
        <v>0.93485969056827589</v>
      </c>
      <c r="BC1030" s="181">
        <v>0.93485969056827589</v>
      </c>
      <c r="BD1030" s="181">
        <v>0.93485969056827589</v>
      </c>
      <c r="BE1030" s="181">
        <v>0.93485969056827589</v>
      </c>
      <c r="BF1030" s="181">
        <v>0.93485969056827589</v>
      </c>
      <c r="BG1030" s="181">
        <v>0.93485969056827589</v>
      </c>
    </row>
    <row r="1031" spans="1:59" ht="16">
      <c r="A1031" s="141" t="s">
        <v>644</v>
      </c>
      <c r="F1031" s="168" t="s">
        <v>687</v>
      </c>
      <c r="AE1031" s="181">
        <v>6.0786563593071656E-2</v>
      </c>
      <c r="AF1031" s="181">
        <v>-0.91991559294947611</v>
      </c>
      <c r="AG1031" s="181">
        <v>1.9882683096461282</v>
      </c>
      <c r="AH1031" s="181">
        <v>-0.43292664880912224</v>
      </c>
      <c r="AI1031" s="181">
        <v>1.7758901674901515</v>
      </c>
      <c r="AJ1031" s="181">
        <v>1.2004720462288274</v>
      </c>
      <c r="AK1031" s="181">
        <v>1.0620657665113966</v>
      </c>
      <c r="AL1031" s="181">
        <v>1.0647942762327089</v>
      </c>
      <c r="AM1031" s="181">
        <v>1.0616815367610006</v>
      </c>
      <c r="AN1031" s="181">
        <v>1.0614963223165912</v>
      </c>
      <c r="AO1031" s="181">
        <v>1.0613157967547451</v>
      </c>
      <c r="AP1031" s="181">
        <v>1.0640615982333799</v>
      </c>
      <c r="AQ1031" s="181">
        <v>1.0609689888095493</v>
      </c>
      <c r="AR1031" s="181">
        <v>1.060802759456877</v>
      </c>
      <c r="AS1031" s="181">
        <v>1.0606413263215961</v>
      </c>
      <c r="AT1031" s="181">
        <v>1.0634051011078252</v>
      </c>
      <c r="AU1031" s="181">
        <v>1.060332813982791</v>
      </c>
      <c r="AV1031" s="181">
        <v>1.0601856891168615</v>
      </c>
      <c r="AW1031" s="181">
        <v>1.0600432706763745</v>
      </c>
      <c r="AX1031" s="181">
        <v>1.0628248912733469</v>
      </c>
      <c r="AY1031" s="181">
        <v>1.0597723538727712</v>
      </c>
      <c r="AZ1031" s="181">
        <v>1.0597723538727712</v>
      </c>
      <c r="BA1031" s="181">
        <v>1.0597723538727712</v>
      </c>
      <c r="BB1031" s="181">
        <v>1.0597723538727712</v>
      </c>
      <c r="BC1031" s="181">
        <v>1.0597723538727712</v>
      </c>
      <c r="BD1031" s="181">
        <v>1.0597723538727712</v>
      </c>
      <c r="BE1031" s="181">
        <v>1.0597723538727712</v>
      </c>
      <c r="BF1031" s="181">
        <v>1.0597723538727712</v>
      </c>
      <c r="BG1031" s="181">
        <v>1.0597723538727712</v>
      </c>
    </row>
    <row r="1032" spans="1:59" ht="16">
      <c r="A1032" s="141" t="s">
        <v>644</v>
      </c>
      <c r="F1032" s="168" t="s">
        <v>688</v>
      </c>
      <c r="AE1032" s="181">
        <v>1.8531526135043381</v>
      </c>
      <c r="AF1032" s="181">
        <v>-49.49707769794518</v>
      </c>
      <c r="AG1032" s="181">
        <v>-1.4684088922103846</v>
      </c>
      <c r="AH1032" s="181">
        <v>3.1313967098709892</v>
      </c>
      <c r="AI1032" s="181">
        <v>0.18217291253669385</v>
      </c>
      <c r="AJ1032" s="181">
        <v>0.56617278317648179</v>
      </c>
      <c r="AK1032" s="181">
        <v>0.96714056156538541</v>
      </c>
      <c r="AL1032" s="181">
        <v>0.95928424505072307</v>
      </c>
      <c r="AM1032" s="181">
        <v>0.96751456425052107</v>
      </c>
      <c r="AN1032" s="181">
        <v>0.96769506047484355</v>
      </c>
      <c r="AO1032" s="181">
        <v>0.96787111997907627</v>
      </c>
      <c r="AP1032" s="181">
        <v>0.97070760015078539</v>
      </c>
      <c r="AQ1032" s="181">
        <v>0.95751833449423063</v>
      </c>
      <c r="AR1032" s="181">
        <v>0.96837218179872153</v>
      </c>
      <c r="AS1032" s="181">
        <v>0.96853006643009665</v>
      </c>
      <c r="AT1032" s="181">
        <v>0.97135061620943697</v>
      </c>
      <c r="AU1032" s="181">
        <v>0.96883209050064178</v>
      </c>
      <c r="AV1032" s="181">
        <v>0.95827366672356107</v>
      </c>
      <c r="AW1032" s="181">
        <v>0.96911589528772424</v>
      </c>
      <c r="AX1032" s="181">
        <v>0.97192036331321408</v>
      </c>
      <c r="AY1032" s="181">
        <v>0.96938175095178558</v>
      </c>
      <c r="AZ1032" s="181">
        <v>0.96707204259074753</v>
      </c>
      <c r="BA1032" s="181">
        <v>0.96707204259074753</v>
      </c>
      <c r="BB1032" s="181">
        <v>0.96707204259074753</v>
      </c>
      <c r="BC1032" s="181">
        <v>0.96707204259074753</v>
      </c>
      <c r="BD1032" s="181">
        <v>0.96707204259074753</v>
      </c>
      <c r="BE1032" s="181">
        <v>0.96707204259074753</v>
      </c>
      <c r="BF1032" s="181">
        <v>0.96707204259074753</v>
      </c>
      <c r="BG1032" s="181">
        <v>0.96707204259074753</v>
      </c>
    </row>
    <row r="1033" spans="1:59" ht="16">
      <c r="A1033" s="141" t="s">
        <v>644</v>
      </c>
      <c r="F1033" s="168" t="s">
        <v>689</v>
      </c>
      <c r="AE1033" s="181">
        <v>1.2069004585572605</v>
      </c>
      <c r="AF1033" s="181">
        <v>1.2616318626984695</v>
      </c>
      <c r="AG1033" s="181">
        <v>0.66045867659368718</v>
      </c>
      <c r="AH1033" s="181">
        <v>1.0167849276297654</v>
      </c>
      <c r="AI1033" s="181">
        <v>0.78105257002704631</v>
      </c>
      <c r="AJ1033" s="181">
        <v>1.1468376712806461</v>
      </c>
      <c r="AK1033" s="181">
        <v>1.0149019162798312</v>
      </c>
      <c r="AL1033" s="181">
        <v>1.0177667826509222</v>
      </c>
      <c r="AM1033" s="181">
        <v>1.0150428280973389</v>
      </c>
      <c r="AN1033" s="181">
        <v>1.0151107703826756</v>
      </c>
      <c r="AO1033" s="181">
        <v>1.0151770032840106</v>
      </c>
      <c r="AP1033" s="181">
        <v>1.0180365043293247</v>
      </c>
      <c r="AQ1033" s="181">
        <v>1.0153042728353152</v>
      </c>
      <c r="AR1033" s="181">
        <v>1.0153652884047202</v>
      </c>
      <c r="AS1033" s="181">
        <v>1.0154245519698302</v>
      </c>
      <c r="AT1033" s="181">
        <v>1.0182783291421027</v>
      </c>
      <c r="AU1033" s="181">
        <v>1.0155378328422506</v>
      </c>
      <c r="AV1033" s="181">
        <v>1.0155918654857039</v>
      </c>
      <c r="AW1033" s="181">
        <v>1.0156441762386992</v>
      </c>
      <c r="AX1033" s="181">
        <v>1.0184921686737971</v>
      </c>
      <c r="AY1033" s="181">
        <v>1.0157437026899945</v>
      </c>
      <c r="AZ1033" s="181">
        <v>1.0380502271782523</v>
      </c>
      <c r="BA1033" s="181">
        <v>1.0380502271782523</v>
      </c>
      <c r="BB1033" s="181">
        <v>1.0380502271782523</v>
      </c>
      <c r="BC1033" s="181">
        <v>1.0380502271782523</v>
      </c>
      <c r="BD1033" s="181">
        <v>1.0380502271782523</v>
      </c>
      <c r="BE1033" s="181">
        <v>1.0380502271782523</v>
      </c>
      <c r="BF1033" s="181">
        <v>1.0380502271782523</v>
      </c>
      <c r="BG1033" s="181">
        <v>1.0380502271782523</v>
      </c>
    </row>
    <row r="1034" spans="1:59" ht="16">
      <c r="A1034" s="141" t="s">
        <v>644</v>
      </c>
      <c r="F1034" s="168" t="s">
        <v>690</v>
      </c>
      <c r="AE1034" s="181">
        <v>9.8904250045745407E-2</v>
      </c>
      <c r="AF1034" s="181">
        <v>52.704800662410371</v>
      </c>
      <c r="AG1034" s="181">
        <v>3.5063471659582484</v>
      </c>
      <c r="AH1034" s="181">
        <v>0.36867254190004439</v>
      </c>
      <c r="AI1034" s="181">
        <v>1.2059154924433957</v>
      </c>
      <c r="AJ1034" s="181">
        <v>1.0408605540185809</v>
      </c>
      <c r="AK1034" s="181">
        <v>0.9209875242112352</v>
      </c>
      <c r="AL1034" s="181">
        <v>0.92346579257837202</v>
      </c>
      <c r="AM1034" s="181">
        <v>0.92087557811186904</v>
      </c>
      <c r="AN1034" s="181">
        <v>0.9208215221884628</v>
      </c>
      <c r="AO1034" s="181">
        <v>0.92076877622952902</v>
      </c>
      <c r="AP1034" s="181">
        <v>0.92325226105753322</v>
      </c>
      <c r="AQ1034" s="181">
        <v>0.9206672835738624</v>
      </c>
      <c r="AR1034" s="181">
        <v>0.92061856109002571</v>
      </c>
      <c r="AS1034" s="181">
        <v>0.92057119732139203</v>
      </c>
      <c r="AT1034" s="181">
        <v>0.92306012351248645</v>
      </c>
      <c r="AU1034" s="181">
        <v>0.92048055196742085</v>
      </c>
      <c r="AV1034" s="181">
        <v>0.9204372647589345</v>
      </c>
      <c r="AW1034" s="181">
        <v>0.92039532544246472</v>
      </c>
      <c r="AX1034" s="181">
        <v>0.92288967463693017</v>
      </c>
      <c r="AY1034" s="181">
        <v>0.92031544584169112</v>
      </c>
      <c r="AZ1034" s="181">
        <v>0.93485969056827589</v>
      </c>
      <c r="BA1034" s="181">
        <v>0.93485969056827589</v>
      </c>
      <c r="BB1034" s="181">
        <v>0.93485969056827589</v>
      </c>
      <c r="BC1034" s="181">
        <v>0.93485969056827589</v>
      </c>
      <c r="BD1034" s="181">
        <v>0.93485969056827589</v>
      </c>
      <c r="BE1034" s="181">
        <v>0.93485969056827589</v>
      </c>
      <c r="BF1034" s="181">
        <v>0.93485969056827589</v>
      </c>
      <c r="BG1034" s="181">
        <v>0.93485969056827589</v>
      </c>
    </row>
    <row r="1035" spans="1:59" ht="16">
      <c r="A1035" s="141" t="s">
        <v>644</v>
      </c>
      <c r="F1035" s="168" t="s">
        <v>691</v>
      </c>
      <c r="AE1035" s="181">
        <v>0.97376000410180452</v>
      </c>
      <c r="AF1035" s="181">
        <v>1.4213496987378759E-2</v>
      </c>
      <c r="AG1035" s="181">
        <v>1.2434681627409712</v>
      </c>
      <c r="AH1035" s="181">
        <v>-0.48934588228143572</v>
      </c>
      <c r="AI1035" s="181">
        <v>1.8161389678433815</v>
      </c>
      <c r="AJ1035" s="181">
        <v>1.2393647573334639</v>
      </c>
      <c r="AK1035" s="181">
        <v>1.0964969485963494</v>
      </c>
      <c r="AL1035" s="181">
        <v>1.0993164993751481</v>
      </c>
      <c r="AM1035" s="181">
        <v>1.0961054418290266</v>
      </c>
      <c r="AN1035" s="181">
        <v>1.095916582678627</v>
      </c>
      <c r="AO1035" s="181">
        <v>1.0957324189060944</v>
      </c>
      <c r="AP1035" s="181">
        <v>1.0985692625324284</v>
      </c>
      <c r="AQ1035" s="181">
        <v>1.0953783837908548</v>
      </c>
      <c r="AR1035" s="181">
        <v>1.095208579379696</v>
      </c>
      <c r="AS1035" s="181">
        <v>1.0950436054401191</v>
      </c>
      <c r="AT1035" s="181">
        <v>1.0978985361823037</v>
      </c>
      <c r="AU1035" s="181">
        <v>1.0947281373313678</v>
      </c>
      <c r="AV1035" s="181">
        <v>1.0945776079116634</v>
      </c>
      <c r="AW1035" s="181">
        <v>1.0944318399907318</v>
      </c>
      <c r="AX1035" s="181">
        <v>1.0973048166167187</v>
      </c>
      <c r="AY1035" s="181">
        <v>1.0941544053087502</v>
      </c>
      <c r="AZ1035" s="181">
        <v>1.0597723538727712</v>
      </c>
      <c r="BA1035" s="181">
        <v>1.0597723538727712</v>
      </c>
      <c r="BB1035" s="181">
        <v>1.0597723538727712</v>
      </c>
      <c r="BC1035" s="181">
        <v>1.0597723538727712</v>
      </c>
      <c r="BD1035" s="181">
        <v>1.0597723538727712</v>
      </c>
      <c r="BE1035" s="181">
        <v>1.0597723538727712</v>
      </c>
      <c r="BF1035" s="181">
        <v>1.0597723538727712</v>
      </c>
      <c r="BG1035" s="181">
        <v>1.0597723538727712</v>
      </c>
    </row>
    <row r="1036" spans="1:59" ht="16">
      <c r="A1036" s="141" t="s">
        <v>644</v>
      </c>
      <c r="F1036" s="168" t="s">
        <v>692</v>
      </c>
      <c r="AE1036" s="181">
        <v>1.6017484485787088</v>
      </c>
      <c r="AF1036" s="181">
        <v>2.6352852455126827</v>
      </c>
      <c r="AG1036" s="181">
        <v>-4.6273291594178527</v>
      </c>
      <c r="AH1036" s="181">
        <v>3.1062241725460686</v>
      </c>
      <c r="AI1036" s="181">
        <v>0.19840377023119529</v>
      </c>
      <c r="AJ1036" s="181">
        <v>0.58242026645089939</v>
      </c>
      <c r="AK1036" s="181">
        <v>0.98226464176820061</v>
      </c>
      <c r="AL1036" s="181">
        <v>0.97424864231940211</v>
      </c>
      <c r="AM1036" s="181">
        <v>0.98257685946782247</v>
      </c>
      <c r="AN1036" s="181">
        <v>0.9827260082737197</v>
      </c>
      <c r="AO1036" s="181">
        <v>0.98287054431371867</v>
      </c>
      <c r="AP1036" s="181">
        <v>0.98571763666991297</v>
      </c>
      <c r="AQ1036" s="181">
        <v>0.97228564938360862</v>
      </c>
      <c r="AR1036" s="181">
        <v>0.98327685428001088</v>
      </c>
      <c r="AS1036" s="181">
        <v>0.98340336136800011</v>
      </c>
      <c r="AT1036" s="181">
        <v>0.98623452135735223</v>
      </c>
      <c r="AU1036" s="181">
        <v>0.983643365986684</v>
      </c>
      <c r="AV1036" s="181">
        <v>0.97288780606453529</v>
      </c>
      <c r="AW1036" s="181">
        <v>0.98386653509434208</v>
      </c>
      <c r="AX1036" s="181">
        <v>0.9866826581514111</v>
      </c>
      <c r="AY1036" s="181">
        <v>0.98407354923801538</v>
      </c>
      <c r="AZ1036" s="181">
        <v>0.96707204259074753</v>
      </c>
      <c r="BA1036" s="181">
        <v>0.96707204259074753</v>
      </c>
      <c r="BB1036" s="181">
        <v>0.96707204259074753</v>
      </c>
      <c r="BC1036" s="181">
        <v>0.96707204259074753</v>
      </c>
      <c r="BD1036" s="181">
        <v>0.96707204259074753</v>
      </c>
      <c r="BE1036" s="181">
        <v>0.96707204259074753</v>
      </c>
      <c r="BF1036" s="181">
        <v>0.96707204259074753</v>
      </c>
      <c r="BG1036" s="181">
        <v>0.96707204259074753</v>
      </c>
    </row>
    <row r="1037" spans="1:59" ht="16">
      <c r="A1037" s="141" t="s">
        <v>644</v>
      </c>
      <c r="F1037" s="168" t="s">
        <v>693</v>
      </c>
      <c r="AE1037" s="181">
        <v>1.7863650652292344</v>
      </c>
      <c r="AF1037" s="181">
        <v>2.5700055353922351</v>
      </c>
      <c r="AG1037" s="181">
        <v>0.93055584848872752</v>
      </c>
      <c r="AH1037" s="181">
        <v>0.98023292962158071</v>
      </c>
      <c r="AI1037" s="181">
        <v>0.80847576496465878</v>
      </c>
      <c r="AJ1037" s="181">
        <v>1.1735971203136197</v>
      </c>
      <c r="AK1037" s="181">
        <v>1.0382983977304017</v>
      </c>
      <c r="AL1037" s="181">
        <v>1.0412159881422303</v>
      </c>
      <c r="AM1037" s="181">
        <v>1.0384135150527645</v>
      </c>
      <c r="AN1037" s="181">
        <v>1.0384684645519002</v>
      </c>
      <c r="AO1037" s="181">
        <v>1.0385216881371988</v>
      </c>
      <c r="AP1037" s="181">
        <v>1.0414335159296049</v>
      </c>
      <c r="AQ1037" s="181">
        <v>1.0386230198443969</v>
      </c>
      <c r="AR1037" s="181">
        <v>1.0386711671501379</v>
      </c>
      <c r="AS1037" s="181">
        <v>1.0387176663451465</v>
      </c>
      <c r="AT1037" s="181">
        <v>1.0416238713167429</v>
      </c>
      <c r="AU1037" s="181">
        <v>1.0388058281202344</v>
      </c>
      <c r="AV1037" s="181">
        <v>1.0388475498549017</v>
      </c>
      <c r="AW1037" s="181">
        <v>1.0388877412771937</v>
      </c>
      <c r="AX1037" s="181">
        <v>1.0417886402873118</v>
      </c>
      <c r="AY1037" s="181">
        <v>1.0389636693973954</v>
      </c>
      <c r="AZ1037" s="181">
        <v>1.0380502271782523</v>
      </c>
      <c r="BA1037" s="181">
        <v>1.0380502271782523</v>
      </c>
      <c r="BB1037" s="181">
        <v>1.0380502271782523</v>
      </c>
      <c r="BC1037" s="181">
        <v>1.0380502271782523</v>
      </c>
      <c r="BD1037" s="181">
        <v>1.0380502271782523</v>
      </c>
      <c r="BE1037" s="181">
        <v>1.0380502271782523</v>
      </c>
      <c r="BF1037" s="181">
        <v>1.0380502271782523</v>
      </c>
      <c r="BG1037" s="181">
        <v>1.0380502271782523</v>
      </c>
    </row>
    <row r="1038" spans="1:59" ht="16">
      <c r="A1038" s="141" t="s">
        <v>644</v>
      </c>
      <c r="F1038" s="168" t="s">
        <v>694</v>
      </c>
      <c r="AE1038" s="181">
        <v>0.371573220272222</v>
      </c>
      <c r="AF1038" s="181">
        <v>-1.2429743179902422</v>
      </c>
      <c r="AG1038" s="181">
        <v>5.4310084075631613</v>
      </c>
      <c r="AH1038" s="181">
        <v>0.351482915827869</v>
      </c>
      <c r="AI1038" s="181">
        <v>1.2191940450332595</v>
      </c>
      <c r="AJ1038" s="181">
        <v>1.0530324704272913</v>
      </c>
      <c r="AK1038" s="181">
        <v>0.93152080354419975</v>
      </c>
      <c r="AL1038" s="181">
        <v>0.93403477646133537</v>
      </c>
      <c r="AM1038" s="181">
        <v>0.93142026657593779</v>
      </c>
      <c r="AN1038" s="181">
        <v>0.93137222096670269</v>
      </c>
      <c r="AO1038" s="181">
        <v>0.93132564999379264</v>
      </c>
      <c r="AP1038" s="181">
        <v>0.93384551383753445</v>
      </c>
      <c r="AQ1038" s="181">
        <v>0.93123689033674639</v>
      </c>
      <c r="AR1038" s="181">
        <v>0.93119467344246887</v>
      </c>
      <c r="AS1038" s="181">
        <v>0.93115387524724524</v>
      </c>
      <c r="AT1038" s="181">
        <v>0.93367943242276819</v>
      </c>
      <c r="AU1038" s="181">
        <v>0.93107645116587978</v>
      </c>
      <c r="AV1038" s="181">
        <v>0.93103977835969887</v>
      </c>
      <c r="AW1038" s="181">
        <v>0.93100443086095097</v>
      </c>
      <c r="AX1038" s="181">
        <v>0.93353532654787363</v>
      </c>
      <c r="AY1038" s="181">
        <v>0.93093760058525077</v>
      </c>
      <c r="AZ1038" s="181">
        <v>0.93485969056827589</v>
      </c>
      <c r="BA1038" s="181">
        <v>0.93485969056827589</v>
      </c>
      <c r="BB1038" s="181">
        <v>0.93485969056827589</v>
      </c>
      <c r="BC1038" s="181">
        <v>0.93485969056827589</v>
      </c>
      <c r="BD1038" s="181">
        <v>0.93485969056827589</v>
      </c>
      <c r="BE1038" s="181">
        <v>0.93485969056827589</v>
      </c>
      <c r="BF1038" s="181">
        <v>0.93485969056827589</v>
      </c>
      <c r="BG1038" s="181">
        <v>0.93485969056827589</v>
      </c>
    </row>
    <row r="1039" spans="1:59" ht="16">
      <c r="A1039" s="141" t="s">
        <v>644</v>
      </c>
      <c r="F1039" s="168" t="s">
        <v>695</v>
      </c>
      <c r="AE1039" s="181">
        <v>0.29665835484190556</v>
      </c>
      <c r="AF1039" s="181">
        <v>8.9010490347488092E-3</v>
      </c>
      <c r="AG1039" s="181">
        <v>2.1230046980005235</v>
      </c>
      <c r="AH1039" s="181">
        <v>-0.41245312046321481</v>
      </c>
      <c r="AI1039" s="181">
        <v>1.759911635303647</v>
      </c>
      <c r="AJ1039" s="181">
        <v>1.1848160162511565</v>
      </c>
      <c r="AK1039" s="181">
        <v>1.0479904646361229</v>
      </c>
      <c r="AL1039" s="181">
        <v>1.0507144843483955</v>
      </c>
      <c r="AM1039" s="181">
        <v>1.0476724778144428</v>
      </c>
      <c r="AN1039" s="181">
        <v>1.0475206324994464</v>
      </c>
      <c r="AO1039" s="181">
        <v>1.0473735200072938</v>
      </c>
      <c r="AP1039" s="181">
        <v>1.0501154284972758</v>
      </c>
      <c r="AQ1039" s="181">
        <v>1.047093334967709</v>
      </c>
      <c r="AR1039" s="181">
        <v>1.046960160543323</v>
      </c>
      <c r="AS1039" s="181">
        <v>1.0468315167365976</v>
      </c>
      <c r="AT1039" s="181">
        <v>1.0495907161933717</v>
      </c>
      <c r="AU1039" s="181">
        <v>1.0465875343235971</v>
      </c>
      <c r="AV1039" s="181">
        <v>1.0464720373397072</v>
      </c>
      <c r="AW1039" s="181">
        <v>1.0463607556313941</v>
      </c>
      <c r="AX1039" s="181">
        <v>1.0491361638249279</v>
      </c>
      <c r="AY1039" s="181">
        <v>1.0461504700102704</v>
      </c>
      <c r="AZ1039" s="181">
        <v>1.0597723538727712</v>
      </c>
      <c r="BA1039" s="181">
        <v>1.0597723538727712</v>
      </c>
      <c r="BB1039" s="181">
        <v>1.0597723538727712</v>
      </c>
      <c r="BC1039" s="181">
        <v>1.0597723538727712</v>
      </c>
      <c r="BD1039" s="181">
        <v>1.0597723538727712</v>
      </c>
      <c r="BE1039" s="181">
        <v>1.0597723538727712</v>
      </c>
      <c r="BF1039" s="181">
        <v>1.0597723538727712</v>
      </c>
      <c r="BG1039" s="181">
        <v>1.0597723538727712</v>
      </c>
    </row>
    <row r="1040" spans="1:59" ht="16">
      <c r="A1040" s="141" t="s">
        <v>644</v>
      </c>
      <c r="F1040" s="168" t="s">
        <v>696</v>
      </c>
      <c r="AE1040" s="181">
        <v>1.4706525208103813</v>
      </c>
      <c r="AF1040" s="181">
        <v>2.2396239934006341</v>
      </c>
      <c r="AG1040" s="181">
        <v>-4.9437271051492653</v>
      </c>
      <c r="AH1040" s="181">
        <v>3.1248389458248131</v>
      </c>
      <c r="AI1040" s="181">
        <v>0.18543882191518626</v>
      </c>
      <c r="AJ1040" s="181">
        <v>0.56974244453584832</v>
      </c>
      <c r="AK1040" s="181">
        <v>0.97088696663151008</v>
      </c>
      <c r="AL1040" s="181">
        <v>0.96297022506066043</v>
      </c>
      <c r="AM1040" s="181">
        <v>0.97120739669008493</v>
      </c>
      <c r="AN1040" s="181">
        <v>0.97136071785253708</v>
      </c>
      <c r="AO1040" s="181">
        <v>0.97150945129326371</v>
      </c>
      <c r="AP1040" s="181">
        <v>0.97432931815444934</v>
      </c>
      <c r="AQ1040" s="181">
        <v>0.96105899655605231</v>
      </c>
      <c r="AR1040" s="181">
        <v>0.97192837515769659</v>
      </c>
      <c r="AS1040" s="181">
        <v>0.97205905553331973</v>
      </c>
      <c r="AT1040" s="181">
        <v>0.97486298224760382</v>
      </c>
      <c r="AU1040" s="181">
        <v>0.97230729930909265</v>
      </c>
      <c r="AV1040" s="181">
        <v>0.96168150877318304</v>
      </c>
      <c r="AW1040" s="181">
        <v>0.9725385085005962</v>
      </c>
      <c r="AX1040" s="181">
        <v>0.97532724382882541</v>
      </c>
      <c r="AY1040" s="181">
        <v>0.97275330791037373</v>
      </c>
      <c r="AZ1040" s="181">
        <v>0.96707204259074753</v>
      </c>
      <c r="BA1040" s="181">
        <v>0.96707204259074753</v>
      </c>
      <c r="BB1040" s="181">
        <v>0.96707204259074753</v>
      </c>
      <c r="BC1040" s="181">
        <v>0.96707204259074753</v>
      </c>
      <c r="BD1040" s="181">
        <v>0.96707204259074753</v>
      </c>
      <c r="BE1040" s="181">
        <v>0.96707204259074753</v>
      </c>
      <c r="BF1040" s="181">
        <v>0.96707204259074753</v>
      </c>
      <c r="BG1040" s="181">
        <v>0.96707204259074753</v>
      </c>
    </row>
    <row r="1041" spans="1:59" ht="16">
      <c r="A1041" s="141" t="s">
        <v>644</v>
      </c>
      <c r="F1041" s="168" t="s">
        <v>697</v>
      </c>
      <c r="AE1041" s="181">
        <v>1.1654794057953557</v>
      </c>
      <c r="AF1041" s="181">
        <v>2.0592362762710601</v>
      </c>
      <c r="AG1041" s="181">
        <v>0.99402125482828396</v>
      </c>
      <c r="AH1041" s="181">
        <v>0.98909200330611657</v>
      </c>
      <c r="AI1041" s="181">
        <v>0.80191389371285249</v>
      </c>
      <c r="AJ1041" s="181">
        <v>1.1671918474091882</v>
      </c>
      <c r="AK1041" s="181">
        <v>1.0326782240330146</v>
      </c>
      <c r="AL1041" s="181">
        <v>1.0355833273574013</v>
      </c>
      <c r="AM1041" s="181">
        <v>1.0327996573768763</v>
      </c>
      <c r="AN1041" s="181">
        <v>1.0328577154904299</v>
      </c>
      <c r="AO1041" s="181">
        <v>1.032914007936693</v>
      </c>
      <c r="AP1041" s="181">
        <v>1.0358132540104914</v>
      </c>
      <c r="AQ1041" s="181">
        <v>1.0330213401842532</v>
      </c>
      <c r="AR1041" s="181">
        <v>1.033072411263481</v>
      </c>
      <c r="AS1041" s="181">
        <v>1.0331217786540112</v>
      </c>
      <c r="AT1041" s="181">
        <v>1.0360152380364471</v>
      </c>
      <c r="AU1041" s="181">
        <v>1.0332154987475841</v>
      </c>
      <c r="AV1041" s="181">
        <v>1.0332599058907082</v>
      </c>
      <c r="AW1041" s="181">
        <v>1.0333027176833167</v>
      </c>
      <c r="AX1041" s="181">
        <v>1.0361906625312676</v>
      </c>
      <c r="AY1041" s="181">
        <v>1.03338368585146</v>
      </c>
      <c r="AZ1041" s="181">
        <v>1.0380502271782523</v>
      </c>
      <c r="BA1041" s="181">
        <v>1.0380502271782523</v>
      </c>
      <c r="BB1041" s="181">
        <v>1.0380502271782523</v>
      </c>
      <c r="BC1041" s="181">
        <v>1.0380502271782523</v>
      </c>
      <c r="BD1041" s="181">
        <v>1.0380502271782523</v>
      </c>
      <c r="BE1041" s="181">
        <v>1.0380502271782523</v>
      </c>
      <c r="BF1041" s="181">
        <v>1.0380502271782523</v>
      </c>
      <c r="BG1041" s="181">
        <v>1.0380502271782523</v>
      </c>
    </row>
    <row r="1042" spans="1:59" ht="16">
      <c r="A1042" s="141" t="s">
        <v>644</v>
      </c>
      <c r="F1042" s="168" t="s">
        <v>698</v>
      </c>
      <c r="AE1042" s="181">
        <v>1.0945046295455951</v>
      </c>
      <c r="AF1042" s="181">
        <v>-0.32026892418272979</v>
      </c>
      <c r="AG1042" s="181">
        <v>5.6597561614768761</v>
      </c>
      <c r="AH1042" s="181">
        <v>0.35334869386634793</v>
      </c>
      <c r="AI1042" s="181">
        <v>1.2176562434393543</v>
      </c>
      <c r="AJ1042" s="181">
        <v>1.051658734579644</v>
      </c>
      <c r="AK1042" s="181">
        <v>0.93034439129681534</v>
      </c>
      <c r="AL1042" s="181">
        <v>0.9328548092266532</v>
      </c>
      <c r="AM1042" s="181">
        <v>0.9302435236033233</v>
      </c>
      <c r="AN1042" s="181">
        <v>0.93019523920374814</v>
      </c>
      <c r="AO1042" s="181">
        <v>0.93014838682659073</v>
      </c>
      <c r="AP1042" s="181">
        <v>0.93266453256366821</v>
      </c>
      <c r="AQ1042" s="181">
        <v>0.93005895442292164</v>
      </c>
      <c r="AR1042" s="181">
        <v>0.93001635463027643</v>
      </c>
      <c r="AS1042" s="181">
        <v>0.9299751477928494</v>
      </c>
      <c r="AT1042" s="181">
        <v>0.93249689056850349</v>
      </c>
      <c r="AU1042" s="181">
        <v>0.92989684368559644</v>
      </c>
      <c r="AV1042" s="181">
        <v>0.92985970617911007</v>
      </c>
      <c r="AW1042" s="181">
        <v>0.92982388160421103</v>
      </c>
      <c r="AX1042" s="181">
        <v>0.93235091979925555</v>
      </c>
      <c r="AY1042" s="181">
        <v>0.92975607097554713</v>
      </c>
      <c r="AZ1042" s="181">
        <v>0.93485969056827589</v>
      </c>
      <c r="BA1042" s="181">
        <v>0.93485969056827589</v>
      </c>
      <c r="BB1042" s="181">
        <v>0.93485969056827589</v>
      </c>
      <c r="BC1042" s="181">
        <v>0.93485969056827589</v>
      </c>
      <c r="BD1042" s="181">
        <v>0.93485969056827589</v>
      </c>
      <c r="BE1042" s="181">
        <v>0.93485969056827589</v>
      </c>
      <c r="BF1042" s="181">
        <v>0.93485969056827589</v>
      </c>
      <c r="BG1042" s="181">
        <v>0.93485969056827589</v>
      </c>
    </row>
    <row r="1043" spans="1:59" ht="16">
      <c r="A1043" s="141" t="s">
        <v>644</v>
      </c>
      <c r="F1043" s="168" t="s">
        <v>699</v>
      </c>
      <c r="AE1043" s="181">
        <v>0.29921574039252191</v>
      </c>
      <c r="AF1043" s="181">
        <v>1.3371263498711114E-2</v>
      </c>
      <c r="AG1043" s="181">
        <v>2.1404081098870633</v>
      </c>
      <c r="AH1043" s="181">
        <v>-0.44144764838667716</v>
      </c>
      <c r="AI1043" s="181">
        <v>1.7807672314454546</v>
      </c>
      <c r="AJ1043" s="181">
        <v>1.2049824871707653</v>
      </c>
      <c r="AK1043" s="181">
        <v>1.0658686349449933</v>
      </c>
      <c r="AL1043" s="181">
        <v>1.0686347846234314</v>
      </c>
      <c r="AM1043" s="181">
        <v>1.0655369112886457</v>
      </c>
      <c r="AN1043" s="181">
        <v>1.0653782493769426</v>
      </c>
      <c r="AO1043" s="181">
        <v>1.0652243739980196</v>
      </c>
      <c r="AP1043" s="181">
        <v>1.0680085556776864</v>
      </c>
      <c r="AQ1043" s="181">
        <v>1.0649308755906264</v>
      </c>
      <c r="AR1043" s="181">
        <v>1.0647911737133777</v>
      </c>
      <c r="AS1043" s="181">
        <v>1.0646561022325445</v>
      </c>
      <c r="AT1043" s="181">
        <v>1.0674579119782113</v>
      </c>
      <c r="AU1043" s="181">
        <v>1.0643995986047752</v>
      </c>
      <c r="AV1043" s="181">
        <v>1.06427802303693</v>
      </c>
      <c r="AW1043" s="181">
        <v>1.0641607925030161</v>
      </c>
      <c r="AX1043" s="181">
        <v>1.0669792784387881</v>
      </c>
      <c r="AY1043" s="181">
        <v>1.0639390184369926</v>
      </c>
      <c r="AZ1043" s="181">
        <v>1.0597723538727712</v>
      </c>
      <c r="BA1043" s="181">
        <v>1.0597723538727712</v>
      </c>
      <c r="BB1043" s="181">
        <v>1.0597723538727712</v>
      </c>
      <c r="BC1043" s="181">
        <v>1.0597723538727712</v>
      </c>
      <c r="BD1043" s="181">
        <v>1.0597723538727712</v>
      </c>
      <c r="BE1043" s="181">
        <v>1.0597723538727712</v>
      </c>
      <c r="BF1043" s="181">
        <v>1.0597723538727712</v>
      </c>
      <c r="BG1043" s="181">
        <v>1.0597723538727712</v>
      </c>
    </row>
    <row r="1044" spans="1:59" ht="16">
      <c r="A1044" s="141" t="s">
        <v>644</v>
      </c>
      <c r="F1044" s="168" t="s">
        <v>700</v>
      </c>
      <c r="AE1044" s="181">
        <v>1.3106324837148167</v>
      </c>
      <c r="AF1044" s="181">
        <v>-2.4212514767422748</v>
      </c>
      <c r="AG1044" s="181">
        <v>21.509504890917363</v>
      </c>
      <c r="AH1044" s="181">
        <v>0.94537997085990555</v>
      </c>
      <c r="AI1044" s="181">
        <v>0.94540617784373471</v>
      </c>
      <c r="AJ1044" s="181">
        <v>0.94544271964817761</v>
      </c>
      <c r="AK1044" s="181">
        <v>0.94558170665104602</v>
      </c>
      <c r="AL1044" s="181">
        <v>0.93784575245664825</v>
      </c>
      <c r="AM1044" s="181">
        <v>0.94584650608425014</v>
      </c>
      <c r="AN1044" s="181">
        <v>0.94597240896075785</v>
      </c>
      <c r="AO1044" s="181">
        <v>0.94609405392638479</v>
      </c>
      <c r="AP1044" s="181">
        <v>0.94881774239791916</v>
      </c>
      <c r="AQ1044" s="181">
        <v>0.93586958398864828</v>
      </c>
      <c r="AR1044" s="181">
        <v>0.94643410797069005</v>
      </c>
      <c r="AS1044" s="181">
        <v>0.94653941575352429</v>
      </c>
      <c r="AT1044" s="181">
        <v>0.94924864164721778</v>
      </c>
      <c r="AU1044" s="181">
        <v>0.94673846360410219</v>
      </c>
      <c r="AV1044" s="181">
        <v>0.93636971177615658</v>
      </c>
      <c r="AW1044" s="181">
        <v>0.94692268658607959</v>
      </c>
      <c r="AX1044" s="181">
        <v>0.94961861992091412</v>
      </c>
      <c r="AY1044" s="181">
        <v>0.9470928359260874</v>
      </c>
      <c r="AZ1044" s="181">
        <v>0.96707204259074753</v>
      </c>
      <c r="BA1044" s="181">
        <v>0.96707204259074753</v>
      </c>
      <c r="BB1044" s="181">
        <v>0.96707204259074753</v>
      </c>
      <c r="BC1044" s="181">
        <v>0.96707204259074753</v>
      </c>
      <c r="BD1044" s="181">
        <v>0.96707204259074753</v>
      </c>
      <c r="BE1044" s="181">
        <v>0.96707204259074753</v>
      </c>
      <c r="BF1044" s="181">
        <v>0.96707204259074753</v>
      </c>
      <c r="BG1044" s="181">
        <v>0.96707204259074753</v>
      </c>
    </row>
    <row r="1045" spans="1:59" ht="16">
      <c r="A1045" s="141" t="s">
        <v>644</v>
      </c>
      <c r="F1045" s="168" t="s">
        <v>701</v>
      </c>
      <c r="AE1045" s="181">
        <v>1.7949633799240394</v>
      </c>
      <c r="AF1045" s="181">
        <v>2.4812511214601051E-2</v>
      </c>
      <c r="AG1045" s="181">
        <v>-6.3828692962588782</v>
      </c>
      <c r="AH1045" s="181">
        <v>1.0158129796533895</v>
      </c>
      <c r="AI1045" s="181">
        <v>1.0158234815392198</v>
      </c>
      <c r="AJ1045" s="181">
        <v>1.0158381233879841</v>
      </c>
      <c r="AK1045" s="181">
        <v>1.0158937978611315</v>
      </c>
      <c r="AL1045" s="181">
        <v>1.0187456884861985</v>
      </c>
      <c r="AM1045" s="181">
        <v>1.0159997997639094</v>
      </c>
      <c r="AN1045" s="181">
        <v>1.0160501679251226</v>
      </c>
      <c r="AO1045" s="181">
        <v>1.0160988130771584</v>
      </c>
      <c r="AP1045" s="181">
        <v>1.018944792712988</v>
      </c>
      <c r="AQ1045" s="181">
        <v>1.0161910465884643</v>
      </c>
      <c r="AR1045" s="181">
        <v>1.0162346966211124</v>
      </c>
      <c r="AS1045" s="181">
        <v>1.016276746457305</v>
      </c>
      <c r="AT1045" s="181">
        <v>1.0191171493570124</v>
      </c>
      <c r="AU1045" s="181">
        <v>1.0163561876862466</v>
      </c>
      <c r="AV1045" s="181">
        <v>1.0163936531956093</v>
      </c>
      <c r="AW1045" s="181">
        <v>1.0164296663030612</v>
      </c>
      <c r="AX1045" s="181">
        <v>1.0192649460656833</v>
      </c>
      <c r="AY1045" s="181">
        <v>1.0164974923521271</v>
      </c>
      <c r="AZ1045" s="181">
        <v>1.0380502271782523</v>
      </c>
      <c r="BA1045" s="181">
        <v>1.0380502271782523</v>
      </c>
      <c r="BB1045" s="181">
        <v>1.0380502271782523</v>
      </c>
      <c r="BC1045" s="181">
        <v>1.0380502271782523</v>
      </c>
      <c r="BD1045" s="181">
        <v>1.0380502271782523</v>
      </c>
      <c r="BE1045" s="181">
        <v>1.0380502271782523</v>
      </c>
      <c r="BF1045" s="181">
        <v>1.0380502271782523</v>
      </c>
      <c r="BG1045" s="181">
        <v>1.0380502271782523</v>
      </c>
    </row>
    <row r="1046" spans="1:59" ht="16">
      <c r="A1046" s="141" t="s">
        <v>644</v>
      </c>
      <c r="F1046" s="168" t="s">
        <v>702</v>
      </c>
      <c r="AE1046" s="181">
        <v>0.71475408247747929</v>
      </c>
      <c r="AF1046" s="181">
        <v>6.4134356362411902</v>
      </c>
      <c r="AG1046" s="181">
        <v>-5.6561594470975312</v>
      </c>
      <c r="AH1046" s="181">
        <v>0.95050227593085224</v>
      </c>
      <c r="AI1046" s="181">
        <v>0.95049434444973124</v>
      </c>
      <c r="AJ1046" s="181">
        <v>0.95048328438443475</v>
      </c>
      <c r="AK1046" s="181">
        <v>0.95044120910490826</v>
      </c>
      <c r="AL1046" s="181">
        <v>0.95301808740531613</v>
      </c>
      <c r="AM1046" s="181">
        <v>0.95036101076344448</v>
      </c>
      <c r="AN1046" s="181">
        <v>0.95032286267114374</v>
      </c>
      <c r="AO1046" s="181">
        <v>0.95028599457121632</v>
      </c>
      <c r="AP1046" s="181">
        <v>0.95286806089344434</v>
      </c>
      <c r="AQ1046" s="181">
        <v>0.95021602343436129</v>
      </c>
      <c r="AR1046" s="181">
        <v>0.95018287837008097</v>
      </c>
      <c r="AS1046" s="181">
        <v>0.95015092964863812</v>
      </c>
      <c r="AT1046" s="181">
        <v>0.95273785942668621</v>
      </c>
      <c r="AU1046" s="181">
        <v>0.95009052136729355</v>
      </c>
      <c r="AV1046" s="181">
        <v>0.95006200922448392</v>
      </c>
      <c r="AW1046" s="181">
        <v>0.95003458859886258</v>
      </c>
      <c r="AX1046" s="181">
        <v>0.95262596692466961</v>
      </c>
      <c r="AY1046" s="181">
        <v>0.94998290864174928</v>
      </c>
      <c r="AZ1046" s="181">
        <v>0.93485969056827589</v>
      </c>
      <c r="BA1046" s="181">
        <v>0.93485969056827589</v>
      </c>
      <c r="BB1046" s="181">
        <v>0.93485969056827589</v>
      </c>
      <c r="BC1046" s="181">
        <v>0.93485969056827589</v>
      </c>
      <c r="BD1046" s="181">
        <v>0.93485969056827589</v>
      </c>
      <c r="BE1046" s="181">
        <v>0.93485969056827589</v>
      </c>
      <c r="BF1046" s="181">
        <v>0.93485969056827589</v>
      </c>
      <c r="BG1046" s="181">
        <v>0.93485969056827589</v>
      </c>
    </row>
    <row r="1047" spans="1:59" ht="16">
      <c r="A1047" s="141" t="s">
        <v>644</v>
      </c>
      <c r="F1047" s="168" t="s">
        <v>703</v>
      </c>
      <c r="AE1047" s="181">
        <v>0.22190331915754033</v>
      </c>
      <c r="AF1047" s="181">
        <v>1.653661472370577E-2</v>
      </c>
      <c r="AG1047" s="181">
        <v>-5.9631765685183238</v>
      </c>
      <c r="AH1047" s="181">
        <v>1.0873621802242743</v>
      </c>
      <c r="AI1047" s="181">
        <v>1.0873341786638215</v>
      </c>
      <c r="AJ1047" s="181">
        <v>1.0872951366367678</v>
      </c>
      <c r="AK1047" s="181">
        <v>1.0871466618509129</v>
      </c>
      <c r="AL1047" s="181">
        <v>1.0899967945798044</v>
      </c>
      <c r="AM1047" s="181">
        <v>1.0868638818644687</v>
      </c>
      <c r="AN1047" s="181">
        <v>1.0867294738684072</v>
      </c>
      <c r="AO1047" s="181">
        <v>1.0865996383524648</v>
      </c>
      <c r="AP1047" s="181">
        <v>1.0894672358666666</v>
      </c>
      <c r="AQ1047" s="181">
        <v>1.0863533954961915</v>
      </c>
      <c r="AR1047" s="181">
        <v>1.0862368283310981</v>
      </c>
      <c r="AS1047" s="181">
        <v>1.0861245154228594</v>
      </c>
      <c r="AT1047" s="181">
        <v>1.0890084837290774</v>
      </c>
      <c r="AU1047" s="181">
        <v>1.085912280969398</v>
      </c>
      <c r="AV1047" s="181">
        <v>1.0858121652507862</v>
      </c>
      <c r="AW1047" s="181">
        <v>1.0857159166200157</v>
      </c>
      <c r="AX1047" s="181">
        <v>1.0886148537005604</v>
      </c>
      <c r="AY1047" s="181">
        <v>1.0855346073336083</v>
      </c>
      <c r="AZ1047" s="181">
        <v>1.0597723538727712</v>
      </c>
      <c r="BA1047" s="181">
        <v>1.0597723538727712</v>
      </c>
      <c r="BB1047" s="181">
        <v>1.0597723538727712</v>
      </c>
      <c r="BC1047" s="181">
        <v>1.0597723538727712</v>
      </c>
      <c r="BD1047" s="181">
        <v>1.0597723538727712</v>
      </c>
      <c r="BE1047" s="181">
        <v>1.0597723538727712</v>
      </c>
      <c r="BF1047" s="181">
        <v>1.0597723538727712</v>
      </c>
      <c r="BG1047" s="181">
        <v>1.0597723538727712</v>
      </c>
    </row>
    <row r="1048" spans="1:59" ht="16">
      <c r="A1048" s="141" t="s">
        <v>644</v>
      </c>
      <c r="F1048" s="168" t="s">
        <v>704</v>
      </c>
      <c r="AE1048" s="116">
        <v>0</v>
      </c>
      <c r="AF1048" s="116" t="e">
        <v>#VALUE!</v>
      </c>
      <c r="AG1048" s="181" t="e">
        <v>#VALUE!</v>
      </c>
      <c r="AH1048" s="181" t="e">
        <v>#VALUE!</v>
      </c>
      <c r="AI1048" s="181" t="e">
        <v>#VALUE!</v>
      </c>
      <c r="AJ1048" s="181" t="e">
        <v>#VALUE!</v>
      </c>
      <c r="AK1048" s="181" t="e">
        <v>#VALUE!</v>
      </c>
      <c r="AL1048" s="181" t="e">
        <v>#VALUE!</v>
      </c>
      <c r="AM1048" s="181" t="e">
        <v>#VALUE!</v>
      </c>
      <c r="AN1048" s="181" t="e">
        <v>#VALUE!</v>
      </c>
      <c r="AO1048" s="181" t="e">
        <v>#VALUE!</v>
      </c>
      <c r="AP1048" s="181" t="e">
        <v>#VALUE!</v>
      </c>
      <c r="AQ1048" s="181" t="e">
        <v>#VALUE!</v>
      </c>
      <c r="AR1048" s="181" t="e">
        <v>#VALUE!</v>
      </c>
      <c r="AS1048" s="181" t="e">
        <v>#VALUE!</v>
      </c>
      <c r="AT1048" s="181" t="e">
        <v>#VALUE!</v>
      </c>
      <c r="AU1048" s="181" t="e">
        <v>#VALUE!</v>
      </c>
      <c r="AV1048" s="181">
        <v>0.95726651869699031</v>
      </c>
      <c r="AW1048" s="181">
        <v>0.96809980254611627</v>
      </c>
      <c r="AX1048" s="181">
        <v>0.97090400552632561</v>
      </c>
      <c r="AY1048" s="181">
        <v>0.9683708307041623</v>
      </c>
      <c r="AZ1048" s="181">
        <v>0.9683708307041623</v>
      </c>
      <c r="BA1048" s="181">
        <v>0.9683708307041623</v>
      </c>
      <c r="BB1048" s="181">
        <v>0.9683708307041623</v>
      </c>
      <c r="BC1048" s="181">
        <v>0.9683708307041623</v>
      </c>
      <c r="BD1048" s="181">
        <v>0.9683708307041623</v>
      </c>
      <c r="BE1048" s="181">
        <v>0.9683708307041623</v>
      </c>
      <c r="BF1048" s="181">
        <v>0.9683708307041623</v>
      </c>
      <c r="BG1048" s="181">
        <v>0.9683708307041623</v>
      </c>
    </row>
    <row r="1049" spans="1:59" ht="16">
      <c r="A1049" s="141" t="s">
        <v>644</v>
      </c>
      <c r="F1049" s="168" t="s">
        <v>705</v>
      </c>
      <c r="AE1049" s="116">
        <v>0</v>
      </c>
      <c r="AF1049" s="116" t="e">
        <v>#VALUE!</v>
      </c>
      <c r="AG1049" s="181" t="e">
        <v>#VALUE!</v>
      </c>
      <c r="AH1049" s="181" t="e">
        <v>#VALUE!</v>
      </c>
      <c r="AI1049" s="181" t="e">
        <v>#VALUE!</v>
      </c>
      <c r="AJ1049" s="181" t="e">
        <v>#VALUE!</v>
      </c>
      <c r="AK1049" s="181" t="e">
        <v>#VALUE!</v>
      </c>
      <c r="AL1049" s="181" t="e">
        <v>#VALUE!</v>
      </c>
      <c r="AM1049" s="181" t="e">
        <v>#VALUE!</v>
      </c>
      <c r="AN1049" s="181" t="e">
        <v>#VALUE!</v>
      </c>
      <c r="AO1049" s="181" t="e">
        <v>#VALUE!</v>
      </c>
      <c r="AP1049" s="181" t="e">
        <v>#VALUE!</v>
      </c>
      <c r="AQ1049" s="181" t="e">
        <v>#VALUE!</v>
      </c>
      <c r="AR1049" s="181" t="e">
        <v>#VALUE!</v>
      </c>
      <c r="AS1049" s="181" t="e">
        <v>#VALUE!</v>
      </c>
      <c r="AT1049" s="181" t="e">
        <v>#VALUE!</v>
      </c>
      <c r="AU1049" s="181" t="e">
        <v>#VALUE!</v>
      </c>
      <c r="AV1049" s="181">
        <v>1.0185384055512963</v>
      </c>
      <c r="AW1049" s="181">
        <v>1.0185920117028062</v>
      </c>
      <c r="AX1049" s="181">
        <v>1.0214493256918427</v>
      </c>
      <c r="AY1049" s="181">
        <v>1.0186940713763841</v>
      </c>
      <c r="AZ1049" s="181">
        <v>1.0186940713763841</v>
      </c>
      <c r="BA1049" s="181">
        <v>1.0186940713763841</v>
      </c>
      <c r="BB1049" s="181">
        <v>1.0186940713763841</v>
      </c>
      <c r="BC1049" s="181">
        <v>1.0186940713763841</v>
      </c>
      <c r="BD1049" s="181">
        <v>1.0186940713763841</v>
      </c>
      <c r="BE1049" s="181">
        <v>1.0186940713763841</v>
      </c>
      <c r="BF1049" s="181">
        <v>1.0186940713763841</v>
      </c>
      <c r="BG1049" s="181">
        <v>1.0186940713763841</v>
      </c>
    </row>
    <row r="1050" spans="1:59" ht="16">
      <c r="A1050" s="141" t="s">
        <v>644</v>
      </c>
      <c r="F1050" s="168" t="s">
        <v>706</v>
      </c>
      <c r="AE1050" s="116">
        <v>0</v>
      </c>
      <c r="AF1050" s="116" t="e">
        <v>#VALUE!</v>
      </c>
      <c r="AG1050" s="181" t="e">
        <v>#VALUE!</v>
      </c>
      <c r="AH1050" s="181" t="e">
        <v>#VALUE!</v>
      </c>
      <c r="AI1050" s="181" t="e">
        <v>#VALUE!</v>
      </c>
      <c r="AJ1050" s="181" t="e">
        <v>#VALUE!</v>
      </c>
      <c r="AK1050" s="181" t="e">
        <v>#VALUE!</v>
      </c>
      <c r="AL1050" s="181" t="e">
        <v>#VALUE!</v>
      </c>
      <c r="AM1050" s="181" t="e">
        <v>#VALUE!</v>
      </c>
      <c r="AN1050" s="181" t="e">
        <v>#VALUE!</v>
      </c>
      <c r="AO1050" s="181" t="e">
        <v>#VALUE!</v>
      </c>
      <c r="AP1050" s="181" t="e">
        <v>#VALUE!</v>
      </c>
      <c r="AQ1050" s="181" t="e">
        <v>#VALUE!</v>
      </c>
      <c r="AR1050" s="181" t="e">
        <v>#VALUE!</v>
      </c>
      <c r="AS1050" s="181" t="e">
        <v>#VALUE!</v>
      </c>
      <c r="AT1050" s="181" t="e">
        <v>#VALUE!</v>
      </c>
      <c r="AU1050" s="181" t="e">
        <v>#VALUE!</v>
      </c>
      <c r="AV1050" s="181">
        <v>0.95734106458793145</v>
      </c>
      <c r="AW1050" s="181">
        <v>0.957296402567958</v>
      </c>
      <c r="AX1050" s="181">
        <v>0.9598896520177802</v>
      </c>
      <c r="AY1050" s="181">
        <v>0.957211278524017</v>
      </c>
      <c r="AZ1050" s="181">
        <v>0.957211278524017</v>
      </c>
      <c r="BA1050" s="181">
        <v>0.957211278524017</v>
      </c>
      <c r="BB1050" s="181">
        <v>0.957211278524017</v>
      </c>
      <c r="BC1050" s="181">
        <v>0.957211278524017</v>
      </c>
      <c r="BD1050" s="181">
        <v>0.957211278524017</v>
      </c>
      <c r="BE1050" s="181">
        <v>0.957211278524017</v>
      </c>
      <c r="BF1050" s="181">
        <v>0.957211278524017</v>
      </c>
      <c r="BG1050" s="181">
        <v>0.957211278524017</v>
      </c>
    </row>
    <row r="1051" spans="1:59" ht="16">
      <c r="A1051" s="141" t="s">
        <v>644</v>
      </c>
      <c r="F1051" s="168" t="s">
        <v>707</v>
      </c>
      <c r="AE1051" s="116">
        <v>0</v>
      </c>
      <c r="AF1051" s="116" t="e">
        <v>#VALUE!</v>
      </c>
      <c r="AG1051" s="181" t="e">
        <v>#VALUE!</v>
      </c>
      <c r="AH1051" s="181" t="e">
        <v>#VALUE!</v>
      </c>
      <c r="AI1051" s="181" t="e">
        <v>#VALUE!</v>
      </c>
      <c r="AJ1051" s="181" t="e">
        <v>#VALUE!</v>
      </c>
      <c r="AK1051" s="181" t="e">
        <v>#VALUE!</v>
      </c>
      <c r="AL1051" s="181" t="e">
        <v>#VALUE!</v>
      </c>
      <c r="AM1051" s="181" t="e">
        <v>#VALUE!</v>
      </c>
      <c r="AN1051" s="181" t="e">
        <v>#VALUE!</v>
      </c>
      <c r="AO1051" s="181" t="e">
        <v>#VALUE!</v>
      </c>
      <c r="AP1051" s="181" t="e">
        <v>#VALUE!</v>
      </c>
      <c r="AQ1051" s="181" t="e">
        <v>#VALUE!</v>
      </c>
      <c r="AR1051" s="181" t="e">
        <v>#VALUE!</v>
      </c>
      <c r="AS1051" s="181" t="e">
        <v>#VALUE!</v>
      </c>
      <c r="AT1051" s="181" t="e">
        <v>#VALUE!</v>
      </c>
      <c r="AU1051" s="181" t="e">
        <v>#VALUE!</v>
      </c>
      <c r="AV1051" s="181">
        <v>1.0557026583173379</v>
      </c>
      <c r="AW1051" s="181">
        <v>1.0555553365449306</v>
      </c>
      <c r="AX1051" s="181">
        <v>1.0583195818944475</v>
      </c>
      <c r="AY1051" s="181">
        <v>1.0552747592529148</v>
      </c>
      <c r="AZ1051" s="181">
        <v>1.0552747592529148</v>
      </c>
      <c r="BA1051" s="181">
        <v>1.0552747592529148</v>
      </c>
      <c r="BB1051" s="181">
        <v>1.0552747592529148</v>
      </c>
      <c r="BC1051" s="181">
        <v>1.0552747592529148</v>
      </c>
      <c r="BD1051" s="181">
        <v>1.0552747592529148</v>
      </c>
      <c r="BE1051" s="181">
        <v>1.0552747592529148</v>
      </c>
      <c r="BF1051" s="181">
        <v>1.0552747592529148</v>
      </c>
      <c r="BG1051" s="181">
        <v>1.0552747592529148</v>
      </c>
    </row>
    <row r="1052" spans="1:59">
      <c r="AE1052" s="143"/>
      <c r="AF1052" s="143"/>
    </row>
    <row r="1053" spans="1:59">
      <c r="AE1053" s="143"/>
      <c r="AF1053" s="143"/>
    </row>
    <row r="1054" spans="1:59">
      <c r="AE1054" s="143"/>
      <c r="AF1054" s="143"/>
    </row>
    <row r="1055" spans="1:59">
      <c r="AE1055" s="143"/>
      <c r="AF1055" s="143"/>
    </row>
    <row r="1056" spans="1:59">
      <c r="AE1056" s="143"/>
      <c r="AF1056" s="143"/>
    </row>
    <row r="1057" spans="1:32" s="116" customFormat="1">
      <c r="A1057" s="141"/>
      <c r="B1057" s="142"/>
      <c r="C1057" s="142"/>
      <c r="D1057" s="142"/>
      <c r="E1057" s="109"/>
      <c r="F1057" s="109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09"/>
      <c r="V1057" s="109"/>
      <c r="AE1057" s="143"/>
      <c r="AF1057" s="143"/>
    </row>
    <row r="1058" spans="1:32" s="116" customFormat="1">
      <c r="A1058" s="141"/>
      <c r="B1058" s="142"/>
      <c r="C1058" s="142"/>
      <c r="D1058" s="142"/>
      <c r="E1058" s="109"/>
      <c r="F1058" s="109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09"/>
      <c r="V1058" s="109"/>
      <c r="AE1058" s="143"/>
      <c r="AF1058" s="143"/>
    </row>
    <row r="1059" spans="1:32" s="116" customFormat="1">
      <c r="A1059" s="141"/>
      <c r="B1059" s="142"/>
      <c r="C1059" s="142"/>
      <c r="D1059" s="142"/>
      <c r="E1059" s="109"/>
      <c r="F1059" s="109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09"/>
      <c r="V1059" s="109"/>
      <c r="AE1059" s="143"/>
      <c r="AF1059" s="143"/>
    </row>
    <row r="1060" spans="1:32" s="116" customFormat="1">
      <c r="A1060" s="141"/>
      <c r="B1060" s="142"/>
      <c r="C1060" s="142"/>
      <c r="D1060" s="142"/>
      <c r="E1060" s="109"/>
      <c r="F1060" s="109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09"/>
      <c r="V1060" s="109"/>
      <c r="AE1060" s="143"/>
      <c r="AF1060" s="143"/>
    </row>
    <row r="1061" spans="1:32" s="116" customFormat="1">
      <c r="A1061" s="141"/>
      <c r="B1061" s="142"/>
      <c r="C1061" s="142"/>
      <c r="D1061" s="142"/>
      <c r="E1061" s="109"/>
      <c r="F1061" s="109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09"/>
      <c r="V1061" s="109"/>
      <c r="AE1061" s="143"/>
      <c r="AF1061" s="143"/>
    </row>
    <row r="1062" spans="1:32" s="116" customFormat="1">
      <c r="A1062" s="141"/>
      <c r="B1062" s="142"/>
      <c r="C1062" s="142"/>
      <c r="D1062" s="142"/>
      <c r="E1062" s="109"/>
      <c r="F1062" s="109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09"/>
      <c r="V1062" s="109"/>
      <c r="AE1062" s="143"/>
      <c r="AF1062" s="143"/>
    </row>
    <row r="1063" spans="1:32" s="116" customFormat="1">
      <c r="A1063" s="141"/>
      <c r="B1063" s="142"/>
      <c r="C1063" s="142"/>
      <c r="D1063" s="142"/>
      <c r="E1063" s="109"/>
      <c r="F1063" s="109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09"/>
      <c r="V1063" s="109"/>
      <c r="AE1063" s="143"/>
      <c r="AF1063" s="143"/>
    </row>
    <row r="1064" spans="1:32" s="116" customFormat="1">
      <c r="A1064" s="141"/>
      <c r="B1064" s="142"/>
      <c r="C1064" s="142"/>
      <c r="D1064" s="142"/>
      <c r="E1064" s="109"/>
      <c r="F1064" s="109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09"/>
      <c r="V1064" s="109"/>
      <c r="AE1064" s="143"/>
      <c r="AF1064" s="143"/>
    </row>
    <row r="1065" spans="1:32" s="116" customFormat="1">
      <c r="A1065" s="141"/>
      <c r="B1065" s="142"/>
      <c r="C1065" s="142"/>
      <c r="D1065" s="142"/>
      <c r="E1065" s="109"/>
      <c r="F1065" s="109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09"/>
      <c r="V1065" s="109"/>
      <c r="AE1065" s="143"/>
      <c r="AF1065" s="143"/>
    </row>
    <row r="1066" spans="1:32" s="116" customFormat="1">
      <c r="A1066" s="141"/>
      <c r="B1066" s="142"/>
      <c r="C1066" s="142"/>
      <c r="D1066" s="142"/>
      <c r="E1066" s="109"/>
      <c r="F1066" s="109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09"/>
      <c r="V1066" s="109"/>
      <c r="AE1066" s="143"/>
      <c r="AF1066" s="143"/>
    </row>
    <row r="1067" spans="1:32" s="116" customFormat="1">
      <c r="A1067" s="141"/>
      <c r="B1067" s="142"/>
      <c r="C1067" s="142"/>
      <c r="D1067" s="142"/>
      <c r="E1067" s="109"/>
      <c r="F1067" s="109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09"/>
      <c r="V1067" s="109"/>
      <c r="AE1067" s="143"/>
      <c r="AF1067" s="143"/>
    </row>
    <row r="1068" spans="1:32" s="116" customFormat="1">
      <c r="A1068" s="141"/>
      <c r="B1068" s="142"/>
      <c r="C1068" s="142"/>
      <c r="D1068" s="142"/>
      <c r="E1068" s="109"/>
      <c r="F1068" s="109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09"/>
      <c r="V1068" s="109"/>
      <c r="AE1068" s="143"/>
      <c r="AF1068" s="143"/>
    </row>
    <row r="1069" spans="1:32" s="116" customFormat="1">
      <c r="A1069" s="141"/>
      <c r="B1069" s="142"/>
      <c r="C1069" s="142"/>
      <c r="D1069" s="142"/>
      <c r="E1069" s="109"/>
      <c r="F1069" s="109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09"/>
      <c r="V1069" s="109"/>
      <c r="AE1069" s="143"/>
      <c r="AF1069" s="143"/>
    </row>
    <row r="1070" spans="1:32" s="116" customFormat="1">
      <c r="A1070" s="141"/>
      <c r="B1070" s="142"/>
      <c r="C1070" s="142"/>
      <c r="D1070" s="142"/>
      <c r="E1070" s="109"/>
      <c r="F1070" s="109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09"/>
      <c r="V1070" s="109"/>
      <c r="AE1070" s="143"/>
      <c r="AF1070" s="143"/>
    </row>
  </sheetData>
  <autoFilter ref="A1:AM1047" xr:uid="{00000000-0009-0000-0000-000009000000}"/>
  <pageMargins left="0.19685039370078741" right="0.70866141732283472" top="0.19685039370078741" bottom="0.19685039370078741" header="0.11811023622047245" footer="0.19685039370078741"/>
  <pageSetup paperSize="9" scale="16" orientation="landscape" r:id="rId1"/>
  <rowBreaks count="1" manualBreakCount="1">
    <brk id="193" max="33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  <pageSetUpPr fitToPage="1"/>
  </sheetPr>
  <dimension ref="A1:BO1070"/>
  <sheetViews>
    <sheetView showGridLines="0" zoomScale="85" zoomScaleNormal="85" zoomScaleSheetLayoutView="85" workbookViewId="0">
      <pane xSplit="7" ySplit="1" topLeftCell="H323" activePane="bottomRight" state="frozen"/>
      <selection activeCell="Q7" sqref="Q7"/>
      <selection pane="topRight" activeCell="Q7" sqref="Q7"/>
      <selection pane="bottomLeft" activeCell="Q7" sqref="Q7"/>
      <selection pane="bottomRight" activeCell="Q7" sqref="Q7"/>
    </sheetView>
  </sheetViews>
  <sheetFormatPr baseColWidth="10" defaultColWidth="8.1640625" defaultRowHeight="15" outlineLevelRow="1" outlineLevelCol="1"/>
  <cols>
    <col min="1" max="1" width="3.6640625" style="141" customWidth="1" outlineLevel="1"/>
    <col min="2" max="2" width="20.1640625" style="142" customWidth="1" outlineLevel="1"/>
    <col min="3" max="3" width="11.83203125" style="142" customWidth="1" outlineLevel="1"/>
    <col min="4" max="4" width="9.33203125" style="142" customWidth="1"/>
    <col min="5" max="5" width="20.6640625" style="109" hidden="1" customWidth="1"/>
    <col min="6" max="6" width="44.1640625" style="109" customWidth="1"/>
    <col min="7" max="7" width="9.6640625" style="109" customWidth="1"/>
    <col min="8" max="8" width="8.33203125" style="109" customWidth="1"/>
    <col min="9" max="9" width="18.33203125" style="109" customWidth="1"/>
    <col min="10" max="21" width="8.6640625" style="161" hidden="1" customWidth="1" outlineLevel="1"/>
    <col min="22" max="22" width="8.6640625" style="161" customWidth="1" collapsed="1"/>
    <col min="23" max="32" width="8.6640625" style="116" customWidth="1"/>
    <col min="33" max="34" width="8.6640625" style="161" customWidth="1"/>
    <col min="35" max="39" width="8.6640625" style="109" customWidth="1"/>
    <col min="40" max="59" width="8.6640625" style="161" customWidth="1"/>
    <col min="60" max="16384" width="8.1640625" style="161"/>
  </cols>
  <sheetData>
    <row r="1" spans="1:59" s="105" customFormat="1" ht="13">
      <c r="A1" s="102" t="s">
        <v>77</v>
      </c>
      <c r="B1" s="102" t="s">
        <v>78</v>
      </c>
      <c r="C1" s="102" t="s">
        <v>79</v>
      </c>
      <c r="D1" s="102" t="s">
        <v>80</v>
      </c>
      <c r="E1" s="103" t="s">
        <v>81</v>
      </c>
      <c r="F1" s="103" t="s">
        <v>82</v>
      </c>
      <c r="G1" s="103" t="s">
        <v>83</v>
      </c>
      <c r="H1" s="103" t="s">
        <v>84</v>
      </c>
      <c r="I1" s="104" t="s">
        <v>85</v>
      </c>
      <c r="J1" s="105">
        <v>2001</v>
      </c>
      <c r="K1" s="105">
        <v>2002</v>
      </c>
      <c r="L1" s="105">
        <v>2003</v>
      </c>
      <c r="M1" s="105">
        <v>2004</v>
      </c>
      <c r="N1" s="105">
        <v>2005</v>
      </c>
      <c r="O1" s="105">
        <v>2006</v>
      </c>
      <c r="P1" s="105">
        <v>2007</v>
      </c>
      <c r="Q1" s="105">
        <v>2008</v>
      </c>
      <c r="R1" s="105">
        <v>2009</v>
      </c>
      <c r="S1" s="105">
        <v>2010</v>
      </c>
      <c r="T1" s="105">
        <v>2011</v>
      </c>
      <c r="U1" s="105">
        <v>2012</v>
      </c>
      <c r="V1" s="105">
        <v>2013</v>
      </c>
      <c r="W1" s="105">
        <v>2014</v>
      </c>
      <c r="X1" s="105">
        <v>2015</v>
      </c>
      <c r="Y1" s="105">
        <v>2016</v>
      </c>
      <c r="Z1" s="105">
        <v>2017</v>
      </c>
      <c r="AA1" s="105">
        <v>2018</v>
      </c>
      <c r="AB1" s="105">
        <v>2019</v>
      </c>
      <c r="AC1" s="105">
        <v>2020</v>
      </c>
      <c r="AD1" s="105">
        <v>2021</v>
      </c>
      <c r="AE1" s="105">
        <v>2022</v>
      </c>
      <c r="AF1" s="105">
        <v>2023</v>
      </c>
      <c r="AG1" s="105">
        <v>2024</v>
      </c>
      <c r="AH1" s="105">
        <v>2025</v>
      </c>
      <c r="AI1" s="105">
        <v>2026</v>
      </c>
      <c r="AJ1" s="105">
        <v>2027</v>
      </c>
      <c r="AK1" s="105">
        <v>2028</v>
      </c>
      <c r="AL1" s="105">
        <v>2029</v>
      </c>
      <c r="AM1" s="105">
        <v>2030</v>
      </c>
      <c r="AN1" s="105">
        <v>2031</v>
      </c>
      <c r="AO1" s="105">
        <v>2032</v>
      </c>
      <c r="AP1" s="105">
        <v>2033</v>
      </c>
      <c r="AQ1" s="105">
        <v>2034</v>
      </c>
      <c r="AR1" s="105">
        <v>2035</v>
      </c>
      <c r="AS1" s="105">
        <v>2036</v>
      </c>
      <c r="AT1" s="105">
        <v>2037</v>
      </c>
      <c r="AU1" s="105">
        <v>2038</v>
      </c>
      <c r="AV1" s="105">
        <v>2039</v>
      </c>
      <c r="AW1" s="105">
        <v>2040</v>
      </c>
      <c r="AX1" s="105">
        <v>2041</v>
      </c>
      <c r="AY1" s="105">
        <v>2042</v>
      </c>
      <c r="AZ1" s="105">
        <v>2043</v>
      </c>
      <c r="BA1" s="105">
        <v>2044</v>
      </c>
      <c r="BB1" s="105">
        <v>2045</v>
      </c>
      <c r="BC1" s="105">
        <v>2046</v>
      </c>
      <c r="BD1" s="105">
        <v>2047</v>
      </c>
      <c r="BE1" s="105">
        <v>2048</v>
      </c>
      <c r="BF1" s="105">
        <v>2049</v>
      </c>
      <c r="BG1" s="105">
        <v>2050</v>
      </c>
    </row>
    <row r="2" spans="1:59" ht="13.75" customHeight="1">
      <c r="A2" s="141" t="s">
        <v>86</v>
      </c>
      <c r="B2" s="170"/>
      <c r="C2" s="170"/>
      <c r="D2" s="142" t="s">
        <v>87</v>
      </c>
      <c r="E2" s="168"/>
      <c r="F2" s="168" t="s">
        <v>88</v>
      </c>
      <c r="G2" s="168" t="s">
        <v>3</v>
      </c>
      <c r="H2" s="168" t="s">
        <v>89</v>
      </c>
      <c r="I2" s="168" t="s">
        <v>90</v>
      </c>
      <c r="J2" s="123">
        <v>5.0999999999999934E-2</v>
      </c>
      <c r="K2" s="123">
        <v>4.7000000000000153E-2</v>
      </c>
      <c r="L2" s="123">
        <v>7.2956140639931499E-2</v>
      </c>
      <c r="M2" s="123">
        <v>7.1759330350896766E-2</v>
      </c>
      <c r="N2" s="123">
        <v>6.3764415208960923E-2</v>
      </c>
      <c r="O2" s="123">
        <v>8.1534248215381355E-2</v>
      </c>
      <c r="P2" s="123">
        <v>8.5350329047505724E-2</v>
      </c>
      <c r="Q2" s="123">
        <v>5.24775171028109E-2</v>
      </c>
      <c r="R2" s="123">
        <v>-7.8208582060624976E-2</v>
      </c>
      <c r="S2" s="123">
        <v>4.503713671462295E-2</v>
      </c>
      <c r="T2" s="123">
        <v>4.2643515700841572E-2</v>
      </c>
      <c r="U2" s="107">
        <v>3.6559015730638293E-2</v>
      </c>
      <c r="V2" s="110">
        <v>1.7853545009105715E-2</v>
      </c>
      <c r="W2" s="110">
        <v>7.3860077330101604E-3</v>
      </c>
      <c r="X2" s="107">
        <v>-2.5383167926162287E-2</v>
      </c>
      <c r="Y2" s="107">
        <v>2.8878411599990274E-3</v>
      </c>
      <c r="Z2" s="107">
        <v>1.6468836726949689E-2</v>
      </c>
      <c r="AA2" s="107">
        <v>2.8063408200000025E-2</v>
      </c>
      <c r="AB2" s="108">
        <v>2.0329827399999899E-2</v>
      </c>
      <c r="AC2" s="108">
        <v>-2.6832962200000025E-2</v>
      </c>
      <c r="AD2" s="108">
        <v>5.6142322974481476E-2</v>
      </c>
      <c r="AE2" s="108">
        <v>-2.0696995454377344E-2</v>
      </c>
      <c r="AF2" s="108">
        <v>2.2180927271783307E-2</v>
      </c>
      <c r="AG2" s="108">
        <v>2.4392817939981003E-2</v>
      </c>
      <c r="AH2" s="108">
        <v>1.8748857289472121E-2</v>
      </c>
      <c r="AI2" s="108">
        <v>1.328988012743838E-2</v>
      </c>
      <c r="AJ2" s="108">
        <v>0.02</v>
      </c>
      <c r="AK2" s="108">
        <f t="shared" ref="AK2:AZ5" si="0">AJ2</f>
        <v>0.02</v>
      </c>
      <c r="AL2" s="108">
        <f t="shared" si="0"/>
        <v>0.02</v>
      </c>
      <c r="AM2" s="108">
        <f t="shared" si="0"/>
        <v>0.02</v>
      </c>
      <c r="AN2" s="108">
        <f t="shared" si="0"/>
        <v>0.02</v>
      </c>
      <c r="AO2" s="108">
        <f t="shared" si="0"/>
        <v>0.02</v>
      </c>
      <c r="AP2" s="108">
        <f t="shared" si="0"/>
        <v>0.02</v>
      </c>
      <c r="AQ2" s="108">
        <f t="shared" si="0"/>
        <v>0.02</v>
      </c>
      <c r="AR2" s="108">
        <f t="shared" si="0"/>
        <v>0.02</v>
      </c>
      <c r="AS2" s="108">
        <f t="shared" si="0"/>
        <v>0.02</v>
      </c>
      <c r="AT2" s="108">
        <f t="shared" si="0"/>
        <v>0.02</v>
      </c>
      <c r="AU2" s="108">
        <f t="shared" si="0"/>
        <v>0.02</v>
      </c>
      <c r="AV2" s="108">
        <f t="shared" si="0"/>
        <v>0.02</v>
      </c>
      <c r="AW2" s="108">
        <f t="shared" si="0"/>
        <v>0.02</v>
      </c>
      <c r="AX2" s="108">
        <f t="shared" si="0"/>
        <v>0.02</v>
      </c>
      <c r="AY2" s="108">
        <f t="shared" si="0"/>
        <v>0.02</v>
      </c>
      <c r="AZ2" s="108">
        <f t="shared" si="0"/>
        <v>0.02</v>
      </c>
      <c r="BA2" s="108">
        <f t="shared" ref="AX2:BG5" si="1">AZ2</f>
        <v>0.02</v>
      </c>
      <c r="BB2" s="108">
        <f t="shared" si="1"/>
        <v>0.02</v>
      </c>
      <c r="BC2" s="108">
        <f t="shared" si="1"/>
        <v>0.02</v>
      </c>
      <c r="BD2" s="108">
        <f t="shared" si="1"/>
        <v>0.02</v>
      </c>
      <c r="BE2" s="108">
        <f t="shared" si="1"/>
        <v>0.02</v>
      </c>
      <c r="BF2" s="108">
        <f t="shared" si="1"/>
        <v>0.02</v>
      </c>
      <c r="BG2" s="108">
        <f t="shared" si="1"/>
        <v>0.02</v>
      </c>
    </row>
    <row r="3" spans="1:59" ht="13.75" customHeight="1">
      <c r="A3" s="141" t="s">
        <v>86</v>
      </c>
      <c r="B3" s="170"/>
      <c r="C3" s="170"/>
      <c r="D3" s="142" t="s">
        <v>87</v>
      </c>
      <c r="E3" s="168"/>
      <c r="F3" s="168" t="s">
        <v>91</v>
      </c>
      <c r="G3" s="168" t="s">
        <v>3</v>
      </c>
      <c r="H3" s="168"/>
      <c r="I3" s="168" t="s">
        <v>90</v>
      </c>
      <c r="J3" s="123">
        <v>0.18579999999999999</v>
      </c>
      <c r="K3" s="123">
        <v>0.15060000000000001</v>
      </c>
      <c r="L3" s="123">
        <v>0.11989999999999995</v>
      </c>
      <c r="M3" s="123">
        <v>0.11730000000000004</v>
      </c>
      <c r="N3" s="123">
        <v>0.10920000000000002</v>
      </c>
      <c r="O3" s="123">
        <v>0.09</v>
      </c>
      <c r="P3" s="123">
        <v>0.11870000000000004</v>
      </c>
      <c r="Q3" s="123">
        <v>0.1328</v>
      </c>
      <c r="R3" s="123">
        <v>8.7999999999999967E-2</v>
      </c>
      <c r="S3" s="123">
        <v>8.7800000000000017E-2</v>
      </c>
      <c r="T3" s="123">
        <v>6.0999999999999943E-2</v>
      </c>
      <c r="U3" s="107">
        <v>6.6000000000000003E-2</v>
      </c>
      <c r="V3" s="107">
        <v>6.5000000000000002E-2</v>
      </c>
      <c r="W3" s="107">
        <v>0.114</v>
      </c>
      <c r="X3" s="107">
        <v>0.12909999999999999</v>
      </c>
      <c r="Y3" s="107">
        <v>5.4000000000000006E-2</v>
      </c>
      <c r="Z3" s="107">
        <v>2.5000000000000001E-2</v>
      </c>
      <c r="AA3" s="107">
        <v>4.2600000000000054E-2</v>
      </c>
      <c r="AB3" s="107">
        <v>3.0400000000000062E-2</v>
      </c>
      <c r="AC3" s="107">
        <v>4.9099999999999963E-2</v>
      </c>
      <c r="AD3" s="107">
        <v>8.394561758750374E-2</v>
      </c>
      <c r="AE3" s="107">
        <v>0.11923569598633632</v>
      </c>
      <c r="AF3" s="107">
        <v>7.0965337750225954E-2</v>
      </c>
      <c r="AG3" s="107">
        <v>3.767741352043541E-2</v>
      </c>
      <c r="AH3" s="107">
        <v>4.0456092585854364E-2</v>
      </c>
      <c r="AI3" s="107">
        <v>4.0391390824965789E-2</v>
      </c>
      <c r="AJ3" s="107">
        <v>0.04</v>
      </c>
      <c r="AK3" s="107">
        <f t="shared" si="0"/>
        <v>0.04</v>
      </c>
      <c r="AL3" s="107">
        <f t="shared" si="0"/>
        <v>0.04</v>
      </c>
      <c r="AM3" s="107">
        <f t="shared" si="0"/>
        <v>0.04</v>
      </c>
      <c r="AN3" s="107">
        <f t="shared" si="0"/>
        <v>0.04</v>
      </c>
      <c r="AO3" s="107">
        <f t="shared" si="0"/>
        <v>0.04</v>
      </c>
      <c r="AP3" s="107">
        <f t="shared" si="0"/>
        <v>0.04</v>
      </c>
      <c r="AQ3" s="107">
        <f t="shared" si="0"/>
        <v>0.04</v>
      </c>
      <c r="AR3" s="107">
        <f t="shared" si="0"/>
        <v>0.04</v>
      </c>
      <c r="AS3" s="107">
        <f t="shared" si="0"/>
        <v>0.04</v>
      </c>
      <c r="AT3" s="107">
        <f t="shared" si="0"/>
        <v>0.04</v>
      </c>
      <c r="AU3" s="107">
        <f t="shared" si="0"/>
        <v>0.04</v>
      </c>
      <c r="AV3" s="107">
        <f t="shared" si="0"/>
        <v>0.04</v>
      </c>
      <c r="AW3" s="107">
        <f t="shared" si="0"/>
        <v>0.04</v>
      </c>
      <c r="AX3" s="107">
        <f t="shared" si="1"/>
        <v>0.04</v>
      </c>
      <c r="AY3" s="107">
        <f t="shared" si="1"/>
        <v>0.04</v>
      </c>
      <c r="AZ3" s="107">
        <f t="shared" si="1"/>
        <v>0.04</v>
      </c>
      <c r="BA3" s="107">
        <f t="shared" si="1"/>
        <v>0.04</v>
      </c>
      <c r="BB3" s="107">
        <f t="shared" si="1"/>
        <v>0.04</v>
      </c>
      <c r="BC3" s="107">
        <f t="shared" si="1"/>
        <v>0.04</v>
      </c>
      <c r="BD3" s="107">
        <f t="shared" si="1"/>
        <v>0.04</v>
      </c>
      <c r="BE3" s="107">
        <f t="shared" si="1"/>
        <v>0.04</v>
      </c>
      <c r="BF3" s="107">
        <f t="shared" si="1"/>
        <v>0.04</v>
      </c>
      <c r="BG3" s="107">
        <f t="shared" si="1"/>
        <v>0.04</v>
      </c>
    </row>
    <row r="4" spans="1:59" ht="13.75" customHeight="1">
      <c r="A4" s="141" t="s">
        <v>86</v>
      </c>
      <c r="B4" s="170"/>
      <c r="C4" s="170"/>
      <c r="D4" s="170" t="s">
        <v>92</v>
      </c>
      <c r="E4" s="168"/>
      <c r="F4" s="168" t="s">
        <v>93</v>
      </c>
      <c r="G4" s="168" t="s">
        <v>3</v>
      </c>
      <c r="H4" s="168"/>
      <c r="I4" s="168" t="s">
        <v>94</v>
      </c>
      <c r="J4" s="123">
        <v>1.7242899999999999E-2</v>
      </c>
      <c r="K4" s="123">
        <v>1.72766E-2</v>
      </c>
      <c r="L4" s="123">
        <v>1.4146700000000002E-2</v>
      </c>
      <c r="M4" s="123">
        <v>2.1474000000000004E-2</v>
      </c>
      <c r="N4" s="123">
        <v>2.1996399999999999E-2</v>
      </c>
      <c r="O4" s="123">
        <v>2.2229200000000001E-2</v>
      </c>
      <c r="P4" s="123">
        <v>2.3346800000000001E-2</v>
      </c>
      <c r="Q4" s="123">
        <v>1.35128E-2</v>
      </c>
      <c r="R4" s="123">
        <v>1.6155599999999999E-2</v>
      </c>
      <c r="S4" s="123">
        <v>9.0210999999999989E-3</v>
      </c>
      <c r="T4" s="123">
        <v>2.0582600000000003E-2</v>
      </c>
      <c r="U4" s="110">
        <v>1.71363E-2</v>
      </c>
      <c r="V4" s="110">
        <v>1.6330999999999998E-2</v>
      </c>
      <c r="W4" s="110">
        <v>1.46123E-2</v>
      </c>
      <c r="X4" s="107">
        <v>1.2523400000000001E-2</v>
      </c>
      <c r="Y4" s="107">
        <v>1.85337E-2</v>
      </c>
      <c r="Z4" s="107">
        <v>1.6384200000000002E-2</v>
      </c>
      <c r="AA4" s="110">
        <v>1.9E-2</v>
      </c>
      <c r="AB4" s="110">
        <v>2.3E-2</v>
      </c>
      <c r="AC4" s="110">
        <v>1.4E-2</v>
      </c>
      <c r="AD4" s="107">
        <v>7.0965239828017848E-2</v>
      </c>
      <c r="AE4" s="110">
        <v>6.5000000000000002E-2</v>
      </c>
      <c r="AF4" s="110">
        <v>3.1843454310135098E-2</v>
      </c>
      <c r="AG4" s="107">
        <v>1.5707299426945126E-2</v>
      </c>
      <c r="AH4" s="107">
        <v>2.0591825005557212E-2</v>
      </c>
      <c r="AI4" s="110">
        <v>0.02</v>
      </c>
      <c r="AJ4" s="107">
        <v>2.059182500555707E-2</v>
      </c>
      <c r="AK4" s="110">
        <f t="shared" si="0"/>
        <v>2.059182500555707E-2</v>
      </c>
      <c r="AL4" s="110">
        <f t="shared" si="0"/>
        <v>2.059182500555707E-2</v>
      </c>
      <c r="AM4" s="110">
        <f t="shared" si="0"/>
        <v>2.059182500555707E-2</v>
      </c>
      <c r="AN4" s="110">
        <f t="shared" si="0"/>
        <v>2.059182500555707E-2</v>
      </c>
      <c r="AO4" s="110">
        <f t="shared" si="0"/>
        <v>2.059182500555707E-2</v>
      </c>
      <c r="AP4" s="110">
        <f t="shared" si="0"/>
        <v>2.059182500555707E-2</v>
      </c>
      <c r="AQ4" s="110">
        <f t="shared" si="0"/>
        <v>2.059182500555707E-2</v>
      </c>
      <c r="AR4" s="110">
        <f t="shared" si="0"/>
        <v>2.059182500555707E-2</v>
      </c>
      <c r="AS4" s="110">
        <f t="shared" si="0"/>
        <v>2.059182500555707E-2</v>
      </c>
      <c r="AT4" s="110">
        <f t="shared" si="0"/>
        <v>2.059182500555707E-2</v>
      </c>
      <c r="AU4" s="110">
        <f t="shared" si="0"/>
        <v>2.059182500555707E-2</v>
      </c>
      <c r="AV4" s="110">
        <f t="shared" si="0"/>
        <v>2.059182500555707E-2</v>
      </c>
      <c r="AW4" s="110">
        <f t="shared" si="0"/>
        <v>2.059182500555707E-2</v>
      </c>
      <c r="AX4" s="110">
        <f t="shared" si="1"/>
        <v>2.059182500555707E-2</v>
      </c>
      <c r="AY4" s="110">
        <v>0.02</v>
      </c>
      <c r="AZ4" s="110">
        <v>0.02</v>
      </c>
      <c r="BA4" s="110">
        <v>0.02</v>
      </c>
      <c r="BB4" s="110">
        <v>0.02</v>
      </c>
      <c r="BC4" s="110">
        <f>BB4</f>
        <v>0.02</v>
      </c>
      <c r="BD4" s="110">
        <f t="shared" si="1"/>
        <v>0.02</v>
      </c>
      <c r="BE4" s="110">
        <f t="shared" si="1"/>
        <v>0.02</v>
      </c>
      <c r="BF4" s="110">
        <f t="shared" si="1"/>
        <v>0.02</v>
      </c>
      <c r="BG4" s="110">
        <f t="shared" si="1"/>
        <v>0.02</v>
      </c>
    </row>
    <row r="5" spans="1:59" ht="13.75" customHeight="1">
      <c r="A5" s="141" t="s">
        <v>86</v>
      </c>
      <c r="B5" s="170"/>
      <c r="C5" s="170"/>
      <c r="D5" s="142" t="s">
        <v>87</v>
      </c>
      <c r="E5" s="168"/>
      <c r="F5" s="168" t="s">
        <v>95</v>
      </c>
      <c r="G5" s="168" t="s">
        <v>3</v>
      </c>
      <c r="H5" s="168"/>
      <c r="I5" s="168" t="s">
        <v>90</v>
      </c>
      <c r="J5" s="123">
        <v>8.3299999999999985E-2</v>
      </c>
      <c r="K5" s="123">
        <v>0.17650000000000005</v>
      </c>
      <c r="L5" s="123">
        <v>0.12540000000000007</v>
      </c>
      <c r="M5" s="123">
        <v>0.28830000000000011</v>
      </c>
      <c r="N5" s="123">
        <v>0.13349999999999995</v>
      </c>
      <c r="O5" s="123">
        <v>0.10370000000000004</v>
      </c>
      <c r="P5" s="123">
        <v>0.25069999999999992</v>
      </c>
      <c r="Q5" s="123">
        <v>-7.0000000000000007E-2</v>
      </c>
      <c r="R5" s="123">
        <v>0.13849999999999996</v>
      </c>
      <c r="S5" s="123">
        <v>0.16659999999999997</v>
      </c>
      <c r="T5" s="123">
        <v>0.12010000000000005</v>
      </c>
      <c r="U5" s="107">
        <v>5.0999999999999997E-2</v>
      </c>
      <c r="V5" s="107">
        <v>3.4599999999999964E-2</v>
      </c>
      <c r="W5" s="107">
        <v>6.2799999999999967E-2</v>
      </c>
      <c r="X5" s="107">
        <v>0.12139999999999995</v>
      </c>
      <c r="Y5" s="107">
        <v>7.4500000000000011E-2</v>
      </c>
      <c r="Z5" s="107">
        <v>8.3699999999999997E-2</v>
      </c>
      <c r="AA5" s="107">
        <v>0.11709999999999994</v>
      </c>
      <c r="AB5" s="107">
        <v>-4.2600000000000054E-2</v>
      </c>
      <c r="AC5" s="107">
        <v>3.5600000000000021E-2</v>
      </c>
      <c r="AD5" s="107">
        <v>0.28520000000000012</v>
      </c>
      <c r="AE5" s="107">
        <v>-3.2999999999999974E-2</v>
      </c>
      <c r="AF5" s="107">
        <v>0.23133026259058975</v>
      </c>
      <c r="AG5" s="107">
        <v>3.9406015682732942E-2</v>
      </c>
      <c r="AH5" s="107">
        <v>2.2177603784213851E-2</v>
      </c>
      <c r="AI5" s="107">
        <v>3.5474658098186618E-2</v>
      </c>
      <c r="AJ5" s="107">
        <v>0.04</v>
      </c>
      <c r="AK5" s="107">
        <f t="shared" si="0"/>
        <v>0.04</v>
      </c>
      <c r="AL5" s="107">
        <f t="shared" si="0"/>
        <v>0.04</v>
      </c>
      <c r="AM5" s="107">
        <f t="shared" si="0"/>
        <v>0.04</v>
      </c>
      <c r="AN5" s="107">
        <f t="shared" si="0"/>
        <v>0.04</v>
      </c>
      <c r="AO5" s="107">
        <f t="shared" si="0"/>
        <v>0.04</v>
      </c>
      <c r="AP5" s="107">
        <f t="shared" si="0"/>
        <v>0.04</v>
      </c>
      <c r="AQ5" s="107">
        <f t="shared" si="0"/>
        <v>0.04</v>
      </c>
      <c r="AR5" s="107">
        <f t="shared" si="0"/>
        <v>0.04</v>
      </c>
      <c r="AS5" s="107">
        <f t="shared" si="0"/>
        <v>0.04</v>
      </c>
      <c r="AT5" s="107">
        <f t="shared" si="0"/>
        <v>0.04</v>
      </c>
      <c r="AU5" s="107">
        <f t="shared" si="0"/>
        <v>0.04</v>
      </c>
      <c r="AV5" s="107">
        <f t="shared" si="0"/>
        <v>0.04</v>
      </c>
      <c r="AW5" s="107">
        <f t="shared" si="0"/>
        <v>0.04</v>
      </c>
      <c r="AX5" s="107">
        <f t="shared" si="1"/>
        <v>0.04</v>
      </c>
      <c r="AY5" s="107">
        <f t="shared" si="1"/>
        <v>0.04</v>
      </c>
      <c r="AZ5" s="107">
        <f t="shared" si="1"/>
        <v>0.04</v>
      </c>
      <c r="BA5" s="107">
        <f t="shared" si="1"/>
        <v>0.04</v>
      </c>
      <c r="BB5" s="107">
        <f t="shared" si="1"/>
        <v>0.04</v>
      </c>
      <c r="BC5" s="107">
        <f>BB5</f>
        <v>0.04</v>
      </c>
      <c r="BD5" s="107">
        <f t="shared" si="1"/>
        <v>0.04</v>
      </c>
      <c r="BE5" s="107">
        <f t="shared" si="1"/>
        <v>0.04</v>
      </c>
      <c r="BF5" s="107">
        <f t="shared" si="1"/>
        <v>0.04</v>
      </c>
      <c r="BG5" s="107">
        <f t="shared" si="1"/>
        <v>0.04</v>
      </c>
    </row>
    <row r="6" spans="1:59" ht="13.75" customHeight="1">
      <c r="A6" s="141" t="s">
        <v>86</v>
      </c>
      <c r="B6" s="170"/>
      <c r="C6" s="170"/>
      <c r="D6" s="142" t="s">
        <v>87</v>
      </c>
      <c r="E6" s="168"/>
      <c r="F6" s="168" t="s">
        <v>96</v>
      </c>
      <c r="G6" s="168" t="s">
        <v>3</v>
      </c>
      <c r="H6" s="168"/>
      <c r="I6" s="169" t="s">
        <v>97</v>
      </c>
      <c r="J6" s="123">
        <v>0.16489519347599996</v>
      </c>
      <c r="K6" s="123">
        <v>0.15613926203768627</v>
      </c>
      <c r="L6" s="123">
        <v>0.13780061468851998</v>
      </c>
      <c r="M6" s="123">
        <v>0.2028207692821789</v>
      </c>
      <c r="N6" s="123">
        <v>0.19306094835868493</v>
      </c>
      <c r="O6" s="123">
        <v>0.15170047105096246</v>
      </c>
      <c r="P6" s="123">
        <v>0.13804420679740631</v>
      </c>
      <c r="Q6" s="123">
        <v>0.17959714037318933</v>
      </c>
      <c r="R6" s="123">
        <v>1.9937228232017646E-2</v>
      </c>
      <c r="S6" s="123">
        <v>0.14187038581354486</v>
      </c>
      <c r="T6" s="123">
        <v>0.15914447600206813</v>
      </c>
      <c r="U6" s="107">
        <v>7.3999999999999996E-2</v>
      </c>
      <c r="V6" s="107">
        <v>0.05</v>
      </c>
      <c r="W6" s="107">
        <v>8.8999999999999996E-2</v>
      </c>
      <c r="X6" s="107">
        <v>7.9000000000000001E-2</v>
      </c>
      <c r="Y6" s="107">
        <v>3.5158922314520946E-2</v>
      </c>
      <c r="Z6" s="107">
        <v>4.4000000000000004E-2</v>
      </c>
      <c r="AA6" s="107">
        <v>9.9989475800000061E-2</v>
      </c>
      <c r="AB6" s="107">
        <v>3.0841738400000054E-2</v>
      </c>
      <c r="AC6" s="107">
        <v>9.0000000000000011E-3</v>
      </c>
      <c r="AD6" s="107">
        <v>0.19</v>
      </c>
      <c r="AE6" s="107">
        <v>0.15799999999999997</v>
      </c>
      <c r="AF6" s="107">
        <v>6.4881731180328903E-2</v>
      </c>
      <c r="AG6" s="107">
        <v>6.8020263885488333E-2</v>
      </c>
      <c r="AH6" s="107">
        <v>3.7000000000000005E-2</v>
      </c>
      <c r="AI6" s="107">
        <v>3.7999999999999999E-2</v>
      </c>
      <c r="AJ6" s="107">
        <f>0.8*AJ3+0.2*AJ5</f>
        <v>0.04</v>
      </c>
      <c r="AK6" s="107">
        <f t="shared" ref="AK6:AX6" si="2">0.8*AK3+0.2*AK5</f>
        <v>0.04</v>
      </c>
      <c r="AL6" s="107">
        <f t="shared" si="2"/>
        <v>0.04</v>
      </c>
      <c r="AM6" s="107">
        <f t="shared" si="2"/>
        <v>0.04</v>
      </c>
      <c r="AN6" s="107">
        <f t="shared" si="2"/>
        <v>0.04</v>
      </c>
      <c r="AO6" s="107">
        <f t="shared" si="2"/>
        <v>0.04</v>
      </c>
      <c r="AP6" s="107">
        <f t="shared" si="2"/>
        <v>0.04</v>
      </c>
      <c r="AQ6" s="107">
        <f t="shared" si="2"/>
        <v>0.04</v>
      </c>
      <c r="AR6" s="107">
        <f t="shared" si="2"/>
        <v>0.04</v>
      </c>
      <c r="AS6" s="107">
        <f t="shared" si="2"/>
        <v>0.04</v>
      </c>
      <c r="AT6" s="107">
        <f t="shared" si="2"/>
        <v>0.04</v>
      </c>
      <c r="AU6" s="107">
        <f t="shared" si="2"/>
        <v>0.04</v>
      </c>
      <c r="AV6" s="107">
        <f t="shared" si="2"/>
        <v>0.04</v>
      </c>
      <c r="AW6" s="107">
        <f t="shared" si="2"/>
        <v>0.04</v>
      </c>
      <c r="AX6" s="107">
        <f t="shared" si="2"/>
        <v>0.04</v>
      </c>
      <c r="AY6" s="107">
        <f>0.8*AY3+0.2*AY5</f>
        <v>0.04</v>
      </c>
      <c r="AZ6" s="107">
        <f t="shared" ref="AZ6" si="3">0.8*AZ3+0.2*AZ5</f>
        <v>0.04</v>
      </c>
      <c r="BA6" s="107">
        <f>0.8*BA3+0.2*BA5</f>
        <v>0.04</v>
      </c>
      <c r="BB6" s="107">
        <f>0.8*BB3+0.2*BB5</f>
        <v>0.04</v>
      </c>
      <c r="BC6" s="107">
        <f>0.8*BC3+0.2*BC5</f>
        <v>0.04</v>
      </c>
      <c r="BD6" s="107">
        <f t="shared" ref="BD6:BG6" si="4">0.8*BD3+0.2*BD5</f>
        <v>0.04</v>
      </c>
      <c r="BE6" s="107">
        <f t="shared" si="4"/>
        <v>0.04</v>
      </c>
      <c r="BF6" s="107">
        <f t="shared" si="4"/>
        <v>0.04</v>
      </c>
      <c r="BG6" s="107">
        <f t="shared" si="4"/>
        <v>0.04</v>
      </c>
    </row>
    <row r="7" spans="1:59" ht="13.75" customHeight="1">
      <c r="A7" s="141" t="s">
        <v>86</v>
      </c>
      <c r="B7" s="170"/>
      <c r="C7" s="170"/>
      <c r="D7" s="170" t="s">
        <v>98</v>
      </c>
      <c r="E7" s="168"/>
      <c r="F7" s="168" t="s">
        <v>99</v>
      </c>
      <c r="G7" s="168" t="s">
        <v>100</v>
      </c>
      <c r="H7" s="168"/>
      <c r="I7" s="168" t="s">
        <v>101</v>
      </c>
      <c r="J7" s="147">
        <v>30.14</v>
      </c>
      <c r="K7" s="147">
        <v>31.78</v>
      </c>
      <c r="L7" s="147">
        <v>29.45</v>
      </c>
      <c r="M7" s="147">
        <v>27.75</v>
      </c>
      <c r="N7" s="147">
        <v>28.78</v>
      </c>
      <c r="O7" s="147">
        <v>26.33</v>
      </c>
      <c r="P7" s="147">
        <v>24.55</v>
      </c>
      <c r="Q7" s="147">
        <v>29.38</v>
      </c>
      <c r="R7" s="147">
        <v>30.24</v>
      </c>
      <c r="S7" s="147">
        <v>30.48</v>
      </c>
      <c r="T7" s="147">
        <v>32.200000000000003</v>
      </c>
      <c r="U7" s="111">
        <v>30.37</v>
      </c>
      <c r="V7" s="111">
        <v>32.729999999999997</v>
      </c>
      <c r="W7" s="111">
        <v>56.26</v>
      </c>
      <c r="X7" s="140">
        <v>72.8827</v>
      </c>
      <c r="Y7" s="111">
        <v>60.6569</v>
      </c>
      <c r="Z7" s="111">
        <v>57.600200000000001</v>
      </c>
      <c r="AA7" s="111">
        <v>69.470600000000005</v>
      </c>
      <c r="AB7" s="111">
        <v>61.905700000000003</v>
      </c>
      <c r="AC7" s="111">
        <v>73.875699999999995</v>
      </c>
      <c r="AD7" s="111">
        <v>74.292599999999993</v>
      </c>
      <c r="AE7" s="111">
        <v>70.337500000000006</v>
      </c>
      <c r="AF7" s="111">
        <v>89</v>
      </c>
      <c r="AG7" s="111">
        <f>AH14</f>
        <v>85.050000000000026</v>
      </c>
      <c r="AH7" s="111">
        <f>AI14</f>
        <v>89.88</v>
      </c>
      <c r="AI7" s="111">
        <f t="shared" ref="AI7:AX7" si="5">AJ14</f>
        <v>90.725606768500541</v>
      </c>
      <c r="AJ7" s="111">
        <f>AK14</f>
        <v>91.579169153455624</v>
      </c>
      <c r="AK7" s="111">
        <f t="shared" si="5"/>
        <v>92.440762002697028</v>
      </c>
      <c r="AL7" s="111">
        <f t="shared" si="5"/>
        <v>93.310460868238067</v>
      </c>
      <c r="AM7" s="111">
        <f t="shared" si="5"/>
        <v>94.188342012898573</v>
      </c>
      <c r="AN7" s="111">
        <f t="shared" si="5"/>
        <v>95.074482416992367</v>
      </c>
      <c r="AO7" s="111">
        <f t="shared" si="5"/>
        <v>95.96895978507753</v>
      </c>
      <c r="AP7" s="111">
        <f t="shared" si="5"/>
        <v>96.871852552770207</v>
      </c>
      <c r="AQ7" s="111">
        <f t="shared" si="5"/>
        <v>97.78323989362255</v>
      </c>
      <c r="AR7" s="111">
        <f t="shared" si="5"/>
        <v>98.703201726065359</v>
      </c>
      <c r="AS7" s="111">
        <f t="shared" si="5"/>
        <v>99.631818720415993</v>
      </c>
      <c r="AT7" s="111">
        <f t="shared" si="5"/>
        <v>100.56917230595229</v>
      </c>
      <c r="AU7" s="111">
        <f t="shared" si="5"/>
        <v>101.51534467805298</v>
      </c>
      <c r="AV7" s="111">
        <f t="shared" si="5"/>
        <v>102.4704188054053</v>
      </c>
      <c r="AW7" s="111">
        <f t="shared" si="5"/>
        <v>103.43447843728042</v>
      </c>
      <c r="AX7" s="111">
        <f t="shared" si="5"/>
        <v>104.46882322165322</v>
      </c>
      <c r="AY7" s="111">
        <f>AY14</f>
        <v>104.46882322165322</v>
      </c>
      <c r="AZ7" s="111">
        <f>AZ14</f>
        <v>105.51351145386975</v>
      </c>
      <c r="BA7" s="111">
        <f>BA14</f>
        <v>106.56864656840845</v>
      </c>
      <c r="BB7" s="111">
        <f>BB14</f>
        <v>107.63433303409253</v>
      </c>
      <c r="BC7" s="111">
        <f t="shared" ref="BC7:BG7" si="6">BC14</f>
        <v>109.78701969477439</v>
      </c>
      <c r="BD7" s="111">
        <f t="shared" si="6"/>
        <v>111.98276008866988</v>
      </c>
      <c r="BE7" s="111">
        <f t="shared" si="6"/>
        <v>114.22241529044328</v>
      </c>
      <c r="BF7" s="111">
        <f t="shared" si="6"/>
        <v>116.50686359625215</v>
      </c>
      <c r="BG7" s="111">
        <f t="shared" si="6"/>
        <v>118.83700086817718</v>
      </c>
    </row>
    <row r="8" spans="1:59" ht="13.75" customHeight="1">
      <c r="A8" s="141" t="s">
        <v>86</v>
      </c>
      <c r="B8" s="170"/>
      <c r="C8" s="170"/>
      <c r="D8" s="170" t="s">
        <v>98</v>
      </c>
      <c r="E8" s="168"/>
      <c r="F8" s="168" t="s">
        <v>102</v>
      </c>
      <c r="G8" s="168" t="s">
        <v>103</v>
      </c>
      <c r="H8" s="168"/>
      <c r="I8" s="168" t="s">
        <v>104</v>
      </c>
      <c r="J8" s="147">
        <v>26.49</v>
      </c>
      <c r="K8" s="147">
        <v>33.11</v>
      </c>
      <c r="L8" s="147">
        <v>36.82</v>
      </c>
      <c r="M8" s="147">
        <v>37.81</v>
      </c>
      <c r="N8" s="147">
        <v>34.19</v>
      </c>
      <c r="O8" s="147">
        <v>34.700000000000003</v>
      </c>
      <c r="P8" s="147">
        <v>35.93</v>
      </c>
      <c r="Q8" s="147">
        <v>41.44</v>
      </c>
      <c r="R8" s="147">
        <v>43.39</v>
      </c>
      <c r="S8" s="147">
        <v>40.33</v>
      </c>
      <c r="T8" s="147">
        <v>41.67</v>
      </c>
      <c r="U8" s="111">
        <v>40.229999999999997</v>
      </c>
      <c r="V8" s="111">
        <v>44.97</v>
      </c>
      <c r="W8" s="111">
        <v>68.34</v>
      </c>
      <c r="X8" s="107">
        <v>79.56</v>
      </c>
      <c r="Y8" s="111">
        <v>63.811100000000003</v>
      </c>
      <c r="Z8" s="111">
        <v>68.866799999999998</v>
      </c>
      <c r="AA8" s="111">
        <v>79.460499999999996</v>
      </c>
      <c r="AB8" s="111">
        <v>69.340599999999995</v>
      </c>
      <c r="AC8" s="111">
        <v>90.682400000000001</v>
      </c>
      <c r="AD8" s="111">
        <v>84.069500000000005</v>
      </c>
      <c r="AE8" s="111">
        <v>75.655299999999997</v>
      </c>
      <c r="AF8" s="111">
        <f>AF7*AF36</f>
        <v>95.948114210468574</v>
      </c>
      <c r="AG8" s="111">
        <f>AG7*AG36</f>
        <v>94.122000000000043</v>
      </c>
      <c r="AH8" s="111">
        <f>AH7*AH36</f>
        <v>99.46720000000002</v>
      </c>
      <c r="AI8" s="111">
        <f t="shared" ref="AI8:AL8" si="7">AI7*AI36</f>
        <v>100.40300482380729</v>
      </c>
      <c r="AJ8" s="111">
        <f>AJ7*AJ36</f>
        <v>101.34761386315758</v>
      </c>
      <c r="AK8" s="111">
        <f t="shared" si="7"/>
        <v>102.3011099496514</v>
      </c>
      <c r="AL8" s="111">
        <f t="shared" si="7"/>
        <v>103.26357669418348</v>
      </c>
      <c r="AM8" s="111">
        <f>AM7*AM36</f>
        <v>104.23509849427444</v>
      </c>
      <c r="AN8" s="111">
        <f t="shared" ref="AN8:AX8" si="8">AN7*AN36</f>
        <v>105.21576054147158</v>
      </c>
      <c r="AO8" s="111">
        <f t="shared" si="8"/>
        <v>106.20564882881915</v>
      </c>
      <c r="AP8" s="111">
        <f t="shared" si="8"/>
        <v>107.20485015839905</v>
      </c>
      <c r="AQ8" s="111">
        <f t="shared" si="8"/>
        <v>108.21345214894231</v>
      </c>
      <c r="AR8" s="111">
        <f t="shared" si="8"/>
        <v>109.23154324351235</v>
      </c>
      <c r="AS8" s="111">
        <f t="shared" si="8"/>
        <v>110.25921271726038</v>
      </c>
      <c r="AT8" s="111">
        <f t="shared" si="8"/>
        <v>111.29655068525389</v>
      </c>
      <c r="AU8" s="111">
        <f>AU7*AU36</f>
        <v>112.34364811037867</v>
      </c>
      <c r="AV8" s="111">
        <f t="shared" si="8"/>
        <v>113.40059681131522</v>
      </c>
      <c r="AW8" s="111">
        <f t="shared" si="8"/>
        <v>114.46748947059035</v>
      </c>
      <c r="AX8" s="111">
        <f t="shared" si="8"/>
        <v>115.61216436529627</v>
      </c>
      <c r="AY8" s="111">
        <f>AY7*AY36</f>
        <v>115.96039377603509</v>
      </c>
      <c r="AZ8" s="111">
        <f>AZ7*AZ36</f>
        <v>117.11999771379544</v>
      </c>
      <c r="BA8" s="111">
        <f>BA7*BA36</f>
        <v>118.29119769093339</v>
      </c>
      <c r="BB8" s="111">
        <f>BB7*BB36</f>
        <v>119.47410966784273</v>
      </c>
      <c r="BC8" s="111">
        <f t="shared" ref="BC8:BG8" si="9">BC7*BC36</f>
        <v>121.86359186119958</v>
      </c>
      <c r="BD8" s="111">
        <f t="shared" si="9"/>
        <v>124.30086369842357</v>
      </c>
      <c r="BE8" s="111">
        <f t="shared" si="9"/>
        <v>126.78688097239205</v>
      </c>
      <c r="BF8" s="111">
        <f t="shared" si="9"/>
        <v>129.3226185918399</v>
      </c>
      <c r="BG8" s="111">
        <f t="shared" si="9"/>
        <v>131.9090709636767</v>
      </c>
    </row>
    <row r="9" spans="1:59" ht="13.75" customHeight="1">
      <c r="A9" s="141" t="s">
        <v>86</v>
      </c>
      <c r="B9" s="170"/>
      <c r="C9" s="170"/>
      <c r="D9" s="142" t="s">
        <v>87</v>
      </c>
      <c r="E9" s="168"/>
      <c r="F9" s="168" t="s">
        <v>105</v>
      </c>
      <c r="G9" s="168" t="s">
        <v>3</v>
      </c>
      <c r="H9" s="168"/>
      <c r="I9" s="168" t="s">
        <v>90</v>
      </c>
      <c r="J9" s="123">
        <v>8.7000000000000022E-2</v>
      </c>
      <c r="K9" s="123">
        <v>0.11099999999999995</v>
      </c>
      <c r="L9" s="123">
        <v>0.15</v>
      </c>
      <c r="M9" s="123">
        <v>0.10400000000000005</v>
      </c>
      <c r="N9" s="123">
        <v>0.12400000000000005</v>
      </c>
      <c r="O9" s="123">
        <v>0.13500000000000001</v>
      </c>
      <c r="P9" s="123">
        <v>0.12099999999999994</v>
      </c>
      <c r="Q9" s="123">
        <v>2.4000000000000056E-2</v>
      </c>
      <c r="R9" s="123">
        <v>0.03</v>
      </c>
      <c r="S9" s="123">
        <v>5.9000000000000059E-2</v>
      </c>
      <c r="T9" s="123">
        <v>5.0000000000000001E-3</v>
      </c>
      <c r="U9" s="107">
        <v>5.8000000000000003E-2</v>
      </c>
      <c r="V9" s="107">
        <v>4.8000000000000001E-2</v>
      </c>
      <c r="W9" s="107">
        <v>-1.2000000000000028E-2</v>
      </c>
      <c r="X9" s="107">
        <v>-2.4000000000000056E-2</v>
      </c>
      <c r="Y9" s="107">
        <v>-4.4999999999999998E-2</v>
      </c>
      <c r="Z9" s="107">
        <v>-5.0000000000000001E-3</v>
      </c>
      <c r="AA9" s="107">
        <v>7.9999999999998291E-4</v>
      </c>
      <c r="AB9" s="107">
        <v>9.0250000000000347E-3</v>
      </c>
      <c r="AC9" s="107">
        <v>-1.9749999999999979E-2</v>
      </c>
      <c r="AD9" s="107">
        <v>3.0790398424308384E-2</v>
      </c>
      <c r="AE9" s="107">
        <v>-9.4520199691621159E-3</v>
      </c>
      <c r="AF9" s="107">
        <v>4.4452944161055614E-2</v>
      </c>
      <c r="AG9" s="107">
        <v>2.3433408699334812E-2</v>
      </c>
      <c r="AH9" s="107">
        <v>1.7514334392040865E-2</v>
      </c>
      <c r="AI9" s="107">
        <v>1.2255913486399608E-2</v>
      </c>
      <c r="AJ9" s="107">
        <f>AI9</f>
        <v>1.2255913486399608E-2</v>
      </c>
      <c r="AK9" s="107">
        <f t="shared" ref="AK9:AZ10" si="10">AJ9</f>
        <v>1.2255913486399608E-2</v>
      </c>
      <c r="AL9" s="107">
        <f t="shared" si="10"/>
        <v>1.2255913486399608E-2</v>
      </c>
      <c r="AM9" s="107">
        <f t="shared" si="10"/>
        <v>1.2255913486399608E-2</v>
      </c>
      <c r="AN9" s="107">
        <f t="shared" si="10"/>
        <v>1.2255913486399608E-2</v>
      </c>
      <c r="AO9" s="107">
        <f t="shared" si="10"/>
        <v>1.2255913486399608E-2</v>
      </c>
      <c r="AP9" s="107">
        <f t="shared" si="10"/>
        <v>1.2255913486399608E-2</v>
      </c>
      <c r="AQ9" s="107">
        <f t="shared" si="10"/>
        <v>1.2255913486399608E-2</v>
      </c>
      <c r="AR9" s="107">
        <f t="shared" si="10"/>
        <v>1.2255913486399608E-2</v>
      </c>
      <c r="AS9" s="107">
        <f t="shared" si="10"/>
        <v>1.2255913486399608E-2</v>
      </c>
      <c r="AT9" s="107">
        <f t="shared" si="10"/>
        <v>1.2255913486399608E-2</v>
      </c>
      <c r="AU9" s="107">
        <f t="shared" si="10"/>
        <v>1.2255913486399608E-2</v>
      </c>
      <c r="AV9" s="107">
        <f t="shared" si="10"/>
        <v>1.2255913486399608E-2</v>
      </c>
      <c r="AW9" s="107">
        <f t="shared" si="10"/>
        <v>1.2255913486399608E-2</v>
      </c>
      <c r="AX9" s="107">
        <f t="shared" si="10"/>
        <v>1.2255913486399608E-2</v>
      </c>
      <c r="AY9" s="107">
        <f t="shared" si="10"/>
        <v>1.2255913486399608E-2</v>
      </c>
      <c r="AZ9" s="107">
        <f t="shared" si="10"/>
        <v>1.2255913486399608E-2</v>
      </c>
      <c r="BA9" s="107">
        <f t="shared" ref="AX9:BG10" si="11">AZ9</f>
        <v>1.2255913486399608E-2</v>
      </c>
      <c r="BB9" s="107">
        <f t="shared" si="11"/>
        <v>1.2255913486399608E-2</v>
      </c>
      <c r="BC9" s="107">
        <f t="shared" si="11"/>
        <v>1.2255913486399608E-2</v>
      </c>
      <c r="BD9" s="107">
        <f t="shared" si="11"/>
        <v>1.2255913486399608E-2</v>
      </c>
      <c r="BE9" s="107">
        <f t="shared" si="11"/>
        <v>1.2255913486399608E-2</v>
      </c>
      <c r="BF9" s="107">
        <f t="shared" si="11"/>
        <v>1.2255913486399608E-2</v>
      </c>
      <c r="BG9" s="107">
        <f t="shared" si="11"/>
        <v>1.2255913486399608E-2</v>
      </c>
    </row>
    <row r="10" spans="1:59" ht="13.75" customHeight="1">
      <c r="A10" s="141" t="s">
        <v>86</v>
      </c>
      <c r="B10" s="170"/>
      <c r="C10" s="170"/>
      <c r="D10" s="142" t="s">
        <v>87</v>
      </c>
      <c r="E10" s="168"/>
      <c r="F10" s="168" t="s">
        <v>106</v>
      </c>
      <c r="G10" s="168" t="s">
        <v>3</v>
      </c>
      <c r="H10" s="168"/>
      <c r="I10" s="168" t="s">
        <v>107</v>
      </c>
      <c r="J10" s="123">
        <v>1.8812499999999999E-2</v>
      </c>
      <c r="K10" s="123">
        <v>1.38E-2</v>
      </c>
      <c r="L10" s="123">
        <v>1.1518800000000001E-2</v>
      </c>
      <c r="M10" s="123">
        <v>2.5643799999999998E-2</v>
      </c>
      <c r="N10" s="123">
        <v>4.53625E-2</v>
      </c>
      <c r="O10" s="123">
        <v>5.3600000000000002E-2</v>
      </c>
      <c r="P10" s="123">
        <v>4.7024999999999997E-2</v>
      </c>
      <c r="Q10" s="123">
        <v>1.4250000000000001E-2</v>
      </c>
      <c r="R10" s="123">
        <v>2.5063000000000004E-3</v>
      </c>
      <c r="S10" s="123">
        <v>3.0281000000000001E-3</v>
      </c>
      <c r="T10" s="114">
        <v>5.8099999999999992E-3</v>
      </c>
      <c r="U10" s="107">
        <v>4.3006071428571399E-3</v>
      </c>
      <c r="V10" s="107">
        <v>2.6720118577075098E-3</v>
      </c>
      <c r="W10" s="107">
        <v>2.3369980237154201E-3</v>
      </c>
      <c r="X10" s="107">
        <v>6.1269999999999996E-3</v>
      </c>
      <c r="Y10" s="110">
        <v>9.9789000000000006E-3</v>
      </c>
      <c r="Z10" s="110">
        <v>1.6942800000000001E-2</v>
      </c>
      <c r="AA10" s="110">
        <v>2.8076300000000002E-2</v>
      </c>
      <c r="AB10" s="110">
        <v>1.9083800000000001E-2</v>
      </c>
      <c r="AC10" s="110">
        <v>2.3999999999999998E-3</v>
      </c>
      <c r="AD10" s="110">
        <v>2.0999999999999999E-3</v>
      </c>
      <c r="AE10" s="110">
        <v>4.7699999999999992E-2</v>
      </c>
      <c r="AF10" s="110">
        <v>5.7000000000000002E-2</v>
      </c>
      <c r="AG10" s="107">
        <v>3.4499999999999996E-2</v>
      </c>
      <c r="AH10" s="110">
        <v>2.9500000000000002E-2</v>
      </c>
      <c r="AI10" s="110">
        <v>2.5499999999999998E-2</v>
      </c>
      <c r="AJ10" s="110">
        <f>AI10</f>
        <v>2.5499999999999998E-2</v>
      </c>
      <c r="AK10" s="110">
        <f t="shared" si="10"/>
        <v>2.5499999999999998E-2</v>
      </c>
      <c r="AL10" s="110">
        <f t="shared" si="10"/>
        <v>2.5499999999999998E-2</v>
      </c>
      <c r="AM10" s="110">
        <f t="shared" si="10"/>
        <v>2.5499999999999998E-2</v>
      </c>
      <c r="AN10" s="110">
        <f t="shared" si="10"/>
        <v>2.5499999999999998E-2</v>
      </c>
      <c r="AO10" s="110">
        <f t="shared" si="10"/>
        <v>2.5499999999999998E-2</v>
      </c>
      <c r="AP10" s="110">
        <f t="shared" si="10"/>
        <v>2.5499999999999998E-2</v>
      </c>
      <c r="AQ10" s="110">
        <f t="shared" si="10"/>
        <v>2.5499999999999998E-2</v>
      </c>
      <c r="AR10" s="110">
        <f t="shared" si="10"/>
        <v>2.5499999999999998E-2</v>
      </c>
      <c r="AS10" s="110">
        <f t="shared" si="10"/>
        <v>2.5499999999999998E-2</v>
      </c>
      <c r="AT10" s="110">
        <f t="shared" si="10"/>
        <v>2.5499999999999998E-2</v>
      </c>
      <c r="AU10" s="110">
        <f t="shared" si="10"/>
        <v>2.5499999999999998E-2</v>
      </c>
      <c r="AV10" s="110">
        <f t="shared" si="10"/>
        <v>2.5499999999999998E-2</v>
      </c>
      <c r="AW10" s="110">
        <f t="shared" si="10"/>
        <v>2.5499999999999998E-2</v>
      </c>
      <c r="AX10" s="110">
        <f t="shared" si="11"/>
        <v>2.5499999999999998E-2</v>
      </c>
      <c r="AY10" s="110">
        <f t="shared" si="11"/>
        <v>2.5499999999999998E-2</v>
      </c>
      <c r="AZ10" s="110">
        <f t="shared" si="11"/>
        <v>2.5499999999999998E-2</v>
      </c>
      <c r="BA10" s="110">
        <f t="shared" si="11"/>
        <v>2.5499999999999998E-2</v>
      </c>
      <c r="BB10" s="110">
        <f t="shared" si="11"/>
        <v>2.5499999999999998E-2</v>
      </c>
      <c r="BC10" s="110">
        <f t="shared" si="11"/>
        <v>2.5499999999999998E-2</v>
      </c>
      <c r="BD10" s="110">
        <f t="shared" si="11"/>
        <v>2.5499999999999998E-2</v>
      </c>
      <c r="BE10" s="110">
        <f t="shared" si="11"/>
        <v>2.5499999999999998E-2</v>
      </c>
      <c r="BF10" s="110">
        <f t="shared" si="11"/>
        <v>2.5499999999999998E-2</v>
      </c>
      <c r="BG10" s="110">
        <f t="shared" si="11"/>
        <v>2.5499999999999998E-2</v>
      </c>
    </row>
    <row r="11" spans="1:59" ht="13.75" customHeight="1">
      <c r="A11" s="141" t="s">
        <v>86</v>
      </c>
      <c r="B11" s="170"/>
      <c r="C11" s="170"/>
      <c r="D11" s="170" t="s">
        <v>87</v>
      </c>
      <c r="E11" s="168"/>
      <c r="F11" s="168" t="s">
        <v>108</v>
      </c>
      <c r="G11" s="168" t="s">
        <v>3</v>
      </c>
      <c r="H11" s="168"/>
      <c r="I11" s="168" t="s">
        <v>109</v>
      </c>
      <c r="J11" s="123"/>
      <c r="K11" s="123"/>
      <c r="L11" s="123"/>
      <c r="M11" s="123"/>
      <c r="N11" s="123">
        <v>6.2199999999999998E-2</v>
      </c>
      <c r="O11" s="123">
        <v>5.7999999999999996E-2</v>
      </c>
      <c r="P11" s="123">
        <v>6.7099999999999993E-2</v>
      </c>
      <c r="Q11" s="123">
        <v>0.218</v>
      </c>
      <c r="R11" s="123">
        <v>7.0499999999999993E-2</v>
      </c>
      <c r="S11" s="123">
        <v>4.0599999999999997E-2</v>
      </c>
      <c r="T11" s="123">
        <v>7.22E-2</v>
      </c>
      <c r="U11" s="107">
        <v>7.0919918699186998E-2</v>
      </c>
      <c r="V11" s="107">
        <v>7.0100406504065002E-2</v>
      </c>
      <c r="W11" s="107">
        <v>0.105294331983806</v>
      </c>
      <c r="X11" s="107">
        <v>0.11789999999999999</v>
      </c>
      <c r="Y11" s="110">
        <v>0.10490000000000001</v>
      </c>
      <c r="Z11" s="110">
        <v>7.8799999999999995E-2</v>
      </c>
      <c r="AA11" s="110">
        <v>8.5800000000000001E-2</v>
      </c>
      <c r="AB11" s="110">
        <v>6.4500000000000002E-2</v>
      </c>
      <c r="AC11" s="110">
        <v>4.9200000000000001E-2</v>
      </c>
      <c r="AD11" s="110">
        <v>9.5000000000000001E-2</v>
      </c>
      <c r="AE11" s="110">
        <v>8.4100000000000008E-2</v>
      </c>
      <c r="AF11" s="110">
        <v>9.5500000000000002E-2</v>
      </c>
      <c r="AG11" s="107">
        <v>6.9500000000000006E-2</v>
      </c>
      <c r="AH11" s="110">
        <f>AG11+(AH$39-AG$39)</f>
        <v>4.9500000000000002E-2</v>
      </c>
      <c r="AI11" s="110">
        <f t="shared" ref="AI11:BB11" si="12">AH11+(AI$39-AH$39)</f>
        <v>4.9500000000000002E-2</v>
      </c>
      <c r="AJ11" s="110">
        <f>AI11+(AJ$39-AI$39)</f>
        <v>4.9500000000000002E-2</v>
      </c>
      <c r="AK11" s="110">
        <f t="shared" si="12"/>
        <v>4.9500000000000002E-2</v>
      </c>
      <c r="AL11" s="110">
        <f t="shared" si="12"/>
        <v>4.9500000000000002E-2</v>
      </c>
      <c r="AM11" s="110">
        <f t="shared" si="12"/>
        <v>4.9500000000000002E-2</v>
      </c>
      <c r="AN11" s="110">
        <f t="shared" si="12"/>
        <v>4.9500000000000002E-2</v>
      </c>
      <c r="AO11" s="110">
        <f t="shared" si="12"/>
        <v>4.9500000000000002E-2</v>
      </c>
      <c r="AP11" s="110">
        <f t="shared" si="12"/>
        <v>4.9500000000000002E-2</v>
      </c>
      <c r="AQ11" s="110">
        <f t="shared" si="12"/>
        <v>4.9500000000000002E-2</v>
      </c>
      <c r="AR11" s="110">
        <f t="shared" si="12"/>
        <v>4.9500000000000002E-2</v>
      </c>
      <c r="AS11" s="110">
        <f t="shared" si="12"/>
        <v>4.9500000000000002E-2</v>
      </c>
      <c r="AT11" s="110">
        <f t="shared" si="12"/>
        <v>4.9500000000000002E-2</v>
      </c>
      <c r="AU11" s="110">
        <f t="shared" si="12"/>
        <v>4.9500000000000002E-2</v>
      </c>
      <c r="AV11" s="110">
        <f t="shared" si="12"/>
        <v>4.9500000000000002E-2</v>
      </c>
      <c r="AW11" s="110">
        <f t="shared" si="12"/>
        <v>4.9500000000000002E-2</v>
      </c>
      <c r="AX11" s="110">
        <f t="shared" si="12"/>
        <v>4.9500000000000002E-2</v>
      </c>
      <c r="AY11" s="110">
        <f t="shared" si="12"/>
        <v>4.9500000000000002E-2</v>
      </c>
      <c r="AZ11" s="110">
        <f t="shared" si="12"/>
        <v>4.9500000000000002E-2</v>
      </c>
      <c r="BA11" s="110">
        <f t="shared" si="12"/>
        <v>4.9500000000000002E-2</v>
      </c>
      <c r="BB11" s="110">
        <f t="shared" si="12"/>
        <v>4.9500000000000002E-2</v>
      </c>
      <c r="BC11" s="110">
        <f>BB11+(BC$39-BB$39)</f>
        <v>4.9500000000000002E-2</v>
      </c>
      <c r="BD11" s="110">
        <f>BC11+(BD$39-BC$39)</f>
        <v>4.9500000000000002E-2</v>
      </c>
      <c r="BE11" s="110">
        <f>BD11+(BE$39-BD$39)</f>
        <v>4.9500000000000002E-2</v>
      </c>
      <c r="BF11" s="110">
        <f>BE11+(BF$39-BE$39)</f>
        <v>4.9500000000000002E-2</v>
      </c>
      <c r="BG11" s="110">
        <f>BF11+(BG$39-BF$39)</f>
        <v>4.9500000000000002E-2</v>
      </c>
    </row>
    <row r="12" spans="1:59" ht="13.75" customHeight="1">
      <c r="A12" s="141" t="s">
        <v>86</v>
      </c>
      <c r="B12" s="170"/>
      <c r="C12" s="170"/>
      <c r="D12" s="170" t="s">
        <v>110</v>
      </c>
      <c r="E12" s="168"/>
      <c r="F12" s="168" t="s">
        <v>111</v>
      </c>
      <c r="G12" s="168" t="s">
        <v>3</v>
      </c>
      <c r="H12" s="168"/>
      <c r="I12" s="168" t="s">
        <v>112</v>
      </c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7">
        <v>0.18</v>
      </c>
      <c r="V12" s="107">
        <v>0.18</v>
      </c>
      <c r="W12" s="107">
        <v>0.18</v>
      </c>
      <c r="X12" s="107">
        <v>0.18</v>
      </c>
      <c r="Y12" s="107">
        <v>0.18</v>
      </c>
      <c r="Z12" s="107">
        <v>0.18</v>
      </c>
      <c r="AA12" s="107">
        <v>0.18</v>
      </c>
      <c r="AB12" s="107">
        <v>0.2</v>
      </c>
      <c r="AC12" s="107">
        <v>0.2</v>
      </c>
      <c r="AD12" s="107">
        <v>0.2</v>
      </c>
      <c r="AE12" s="107">
        <f t="shared" ref="AE12:AT13" si="13">AD12</f>
        <v>0.2</v>
      </c>
      <c r="AF12" s="107">
        <f t="shared" si="13"/>
        <v>0.2</v>
      </c>
      <c r="AG12" s="107">
        <f t="shared" si="13"/>
        <v>0.2</v>
      </c>
      <c r="AH12" s="107">
        <f>AG12</f>
        <v>0.2</v>
      </c>
      <c r="AI12" s="107">
        <f t="shared" si="13"/>
        <v>0.2</v>
      </c>
      <c r="AJ12" s="107">
        <f>AI12</f>
        <v>0.2</v>
      </c>
      <c r="AK12" s="107">
        <f t="shared" si="13"/>
        <v>0.2</v>
      </c>
      <c r="AL12" s="107">
        <f t="shared" si="13"/>
        <v>0.2</v>
      </c>
      <c r="AM12" s="107">
        <f t="shared" si="13"/>
        <v>0.2</v>
      </c>
      <c r="AN12" s="107">
        <f t="shared" si="13"/>
        <v>0.2</v>
      </c>
      <c r="AO12" s="107">
        <f t="shared" si="13"/>
        <v>0.2</v>
      </c>
      <c r="AP12" s="107">
        <f t="shared" si="13"/>
        <v>0.2</v>
      </c>
      <c r="AQ12" s="107">
        <f t="shared" si="13"/>
        <v>0.2</v>
      </c>
      <c r="AR12" s="107">
        <f t="shared" si="13"/>
        <v>0.2</v>
      </c>
      <c r="AS12" s="107">
        <f t="shared" si="13"/>
        <v>0.2</v>
      </c>
      <c r="AT12" s="107">
        <f t="shared" si="13"/>
        <v>0.2</v>
      </c>
      <c r="AU12" s="107">
        <f t="shared" ref="AU12:BG13" si="14">AT12</f>
        <v>0.2</v>
      </c>
      <c r="AV12" s="107">
        <f t="shared" si="14"/>
        <v>0.2</v>
      </c>
      <c r="AW12" s="107">
        <f t="shared" si="14"/>
        <v>0.2</v>
      </c>
      <c r="AX12" s="107">
        <f t="shared" si="14"/>
        <v>0.2</v>
      </c>
      <c r="AY12" s="107">
        <f t="shared" si="14"/>
        <v>0.2</v>
      </c>
      <c r="AZ12" s="107">
        <f t="shared" si="14"/>
        <v>0.2</v>
      </c>
      <c r="BA12" s="107">
        <f t="shared" si="14"/>
        <v>0.2</v>
      </c>
      <c r="BB12" s="107">
        <f t="shared" si="14"/>
        <v>0.2</v>
      </c>
      <c r="BC12" s="107">
        <f t="shared" si="14"/>
        <v>0.2</v>
      </c>
      <c r="BD12" s="107">
        <f t="shared" si="14"/>
        <v>0.2</v>
      </c>
      <c r="BE12" s="107">
        <f t="shared" si="14"/>
        <v>0.2</v>
      </c>
      <c r="BF12" s="107">
        <f t="shared" si="14"/>
        <v>0.2</v>
      </c>
      <c r="BG12" s="107">
        <f t="shared" si="14"/>
        <v>0.2</v>
      </c>
    </row>
    <row r="13" spans="1:59" ht="13.75" customHeight="1">
      <c r="A13" s="141" t="s">
        <v>86</v>
      </c>
      <c r="B13" s="170"/>
      <c r="C13" s="170"/>
      <c r="D13" s="170" t="s">
        <v>110</v>
      </c>
      <c r="E13" s="168"/>
      <c r="F13" s="168" t="s">
        <v>113</v>
      </c>
      <c r="G13" s="168" t="s">
        <v>3</v>
      </c>
      <c r="H13" s="168"/>
      <c r="I13" s="168" t="s">
        <v>112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7">
        <v>0.13</v>
      </c>
      <c r="V13" s="107">
        <v>0.13</v>
      </c>
      <c r="W13" s="107">
        <v>0.13</v>
      </c>
      <c r="X13" s="107">
        <v>0.13</v>
      </c>
      <c r="Y13" s="107">
        <v>0.13</v>
      </c>
      <c r="Z13" s="107">
        <v>0.13</v>
      </c>
      <c r="AA13" s="107">
        <v>0.13</v>
      </c>
      <c r="AB13" s="107">
        <v>0.13</v>
      </c>
      <c r="AC13" s="107">
        <v>0.13</v>
      </c>
      <c r="AD13" s="107">
        <v>0.13</v>
      </c>
      <c r="AE13" s="107">
        <f t="shared" si="13"/>
        <v>0.13</v>
      </c>
      <c r="AF13" s="107">
        <f t="shared" si="13"/>
        <v>0.13</v>
      </c>
      <c r="AG13" s="107">
        <f t="shared" si="13"/>
        <v>0.13</v>
      </c>
      <c r="AH13" s="107">
        <f>AG13</f>
        <v>0.13</v>
      </c>
      <c r="AI13" s="107">
        <f t="shared" si="13"/>
        <v>0.13</v>
      </c>
      <c r="AJ13" s="107">
        <f>AI13</f>
        <v>0.13</v>
      </c>
      <c r="AK13" s="107">
        <f t="shared" si="13"/>
        <v>0.13</v>
      </c>
      <c r="AL13" s="107">
        <f t="shared" si="13"/>
        <v>0.13</v>
      </c>
      <c r="AM13" s="107">
        <f t="shared" si="13"/>
        <v>0.13</v>
      </c>
      <c r="AN13" s="107">
        <f t="shared" si="13"/>
        <v>0.13</v>
      </c>
      <c r="AO13" s="107">
        <f t="shared" si="13"/>
        <v>0.13</v>
      </c>
      <c r="AP13" s="107">
        <f t="shared" si="13"/>
        <v>0.13</v>
      </c>
      <c r="AQ13" s="107">
        <f t="shared" si="13"/>
        <v>0.13</v>
      </c>
      <c r="AR13" s="107">
        <f t="shared" si="13"/>
        <v>0.13</v>
      </c>
      <c r="AS13" s="107">
        <f t="shared" si="13"/>
        <v>0.13</v>
      </c>
      <c r="AT13" s="107">
        <f t="shared" si="13"/>
        <v>0.13</v>
      </c>
      <c r="AU13" s="107">
        <f t="shared" si="14"/>
        <v>0.13</v>
      </c>
      <c r="AV13" s="107">
        <f t="shared" si="14"/>
        <v>0.13</v>
      </c>
      <c r="AW13" s="107">
        <f t="shared" si="14"/>
        <v>0.13</v>
      </c>
      <c r="AX13" s="107">
        <f t="shared" si="14"/>
        <v>0.13</v>
      </c>
      <c r="AY13" s="107">
        <f t="shared" si="14"/>
        <v>0.13</v>
      </c>
      <c r="AZ13" s="107">
        <f t="shared" si="14"/>
        <v>0.13</v>
      </c>
      <c r="BA13" s="107">
        <f t="shared" si="14"/>
        <v>0.13</v>
      </c>
      <c r="BB13" s="107">
        <f t="shared" si="14"/>
        <v>0.13</v>
      </c>
      <c r="BC13" s="107">
        <f t="shared" si="14"/>
        <v>0.13</v>
      </c>
      <c r="BD13" s="107">
        <f t="shared" si="14"/>
        <v>0.13</v>
      </c>
      <c r="BE13" s="107">
        <f t="shared" si="14"/>
        <v>0.13</v>
      </c>
      <c r="BF13" s="107">
        <f t="shared" si="14"/>
        <v>0.13</v>
      </c>
      <c r="BG13" s="107">
        <f t="shared" si="14"/>
        <v>0.13</v>
      </c>
    </row>
    <row r="14" spans="1:59" ht="13.75" customHeight="1">
      <c r="A14" s="141" t="s">
        <v>86</v>
      </c>
      <c r="B14" s="170"/>
      <c r="D14" s="142" t="s">
        <v>87</v>
      </c>
      <c r="F14" s="168" t="s">
        <v>114</v>
      </c>
      <c r="G14" s="168" t="s">
        <v>100</v>
      </c>
      <c r="I14" s="168" t="s">
        <v>90</v>
      </c>
      <c r="J14" s="147">
        <v>29.17</v>
      </c>
      <c r="K14" s="147">
        <v>31.35</v>
      </c>
      <c r="L14" s="147">
        <v>30.68</v>
      </c>
      <c r="M14" s="147">
        <v>28.81</v>
      </c>
      <c r="N14" s="147">
        <v>28.7</v>
      </c>
      <c r="O14" s="147">
        <v>27.18</v>
      </c>
      <c r="P14" s="147">
        <v>25.57</v>
      </c>
      <c r="Q14" s="147">
        <v>24.81</v>
      </c>
      <c r="R14" s="147">
        <v>31.68</v>
      </c>
      <c r="S14" s="147">
        <v>30.36</v>
      </c>
      <c r="T14" s="147">
        <v>29.35</v>
      </c>
      <c r="U14" s="111">
        <v>31.07</v>
      </c>
      <c r="V14" s="111">
        <v>31.82</v>
      </c>
      <c r="W14" s="111">
        <v>38.380000000000003</v>
      </c>
      <c r="X14" s="111">
        <v>60.94</v>
      </c>
      <c r="Y14" s="111">
        <v>67.05</v>
      </c>
      <c r="Z14" s="111">
        <v>58.298184615384642</v>
      </c>
      <c r="AA14" s="111">
        <v>62.926389473684253</v>
      </c>
      <c r="AB14" s="111">
        <v>64.618432113821143</v>
      </c>
      <c r="AC14" s="111">
        <v>72.323002057613166</v>
      </c>
      <c r="AD14" s="111">
        <v>73.654349999999994</v>
      </c>
      <c r="AE14" s="111">
        <v>68.485225</v>
      </c>
      <c r="AF14" s="111">
        <v>85.046666666666653</v>
      </c>
      <c r="AG14" s="111">
        <v>78.75</v>
      </c>
      <c r="AH14" s="111">
        <v>85.050000000000026</v>
      </c>
      <c r="AI14" s="111">
        <v>89.88</v>
      </c>
      <c r="AJ14" s="111">
        <f>AI14*(1+AJ3-AJ4-1%)</f>
        <v>90.725606768500541</v>
      </c>
      <c r="AK14" s="111">
        <f t="shared" ref="AK14:BB14" si="15">AJ14*(1+AK3-AK4-1%)</f>
        <v>91.579169153455624</v>
      </c>
      <c r="AL14" s="111">
        <f t="shared" si="15"/>
        <v>92.440762002697028</v>
      </c>
      <c r="AM14" s="111">
        <f t="shared" si="15"/>
        <v>93.310460868238067</v>
      </c>
      <c r="AN14" s="111">
        <f t="shared" si="15"/>
        <v>94.188342012898573</v>
      </c>
      <c r="AO14" s="111">
        <f t="shared" si="15"/>
        <v>95.074482416992367</v>
      </c>
      <c r="AP14" s="111">
        <f t="shared" si="15"/>
        <v>95.96895978507753</v>
      </c>
      <c r="AQ14" s="111">
        <f t="shared" si="15"/>
        <v>96.871852552770207</v>
      </c>
      <c r="AR14" s="111">
        <f t="shared" si="15"/>
        <v>97.78323989362255</v>
      </c>
      <c r="AS14" s="111">
        <f t="shared" si="15"/>
        <v>98.703201726065359</v>
      </c>
      <c r="AT14" s="111">
        <f t="shared" si="15"/>
        <v>99.631818720415993</v>
      </c>
      <c r="AU14" s="111">
        <f t="shared" si="15"/>
        <v>100.56917230595229</v>
      </c>
      <c r="AV14" s="111">
        <f t="shared" si="15"/>
        <v>101.51534467805298</v>
      </c>
      <c r="AW14" s="111">
        <f t="shared" si="15"/>
        <v>102.4704188054053</v>
      </c>
      <c r="AX14" s="111">
        <f t="shared" si="15"/>
        <v>103.43447843728042</v>
      </c>
      <c r="AY14" s="111">
        <f t="shared" si="15"/>
        <v>104.46882322165322</v>
      </c>
      <c r="AZ14" s="111">
        <f t="shared" si="15"/>
        <v>105.51351145386975</v>
      </c>
      <c r="BA14" s="111">
        <f t="shared" si="15"/>
        <v>106.56864656840845</v>
      </c>
      <c r="BB14" s="111">
        <f t="shared" si="15"/>
        <v>107.63433303409253</v>
      </c>
      <c r="BC14" s="111">
        <f t="shared" ref="BC14:BG14" si="16">BB14*(1+BC3-BC4)</f>
        <v>109.78701969477439</v>
      </c>
      <c r="BD14" s="111">
        <f t="shared" si="16"/>
        <v>111.98276008866988</v>
      </c>
      <c r="BE14" s="111">
        <f t="shared" si="16"/>
        <v>114.22241529044328</v>
      </c>
      <c r="BF14" s="111">
        <f t="shared" si="16"/>
        <v>116.50686359625215</v>
      </c>
      <c r="BG14" s="111">
        <f t="shared" si="16"/>
        <v>118.83700086817718</v>
      </c>
    </row>
    <row r="15" spans="1:59" ht="13.75" customHeight="1">
      <c r="A15" s="141" t="s">
        <v>86</v>
      </c>
      <c r="B15" s="170"/>
      <c r="D15" s="142" t="s">
        <v>87</v>
      </c>
      <c r="E15" s="168"/>
      <c r="F15" s="168" t="s">
        <v>115</v>
      </c>
      <c r="G15" s="168" t="s">
        <v>103</v>
      </c>
      <c r="H15" s="168"/>
      <c r="I15" s="168" t="s">
        <v>116</v>
      </c>
      <c r="J15" s="147">
        <v>26.13</v>
      </c>
      <c r="K15" s="147">
        <v>29.65</v>
      </c>
      <c r="L15" s="147">
        <v>34.69</v>
      </c>
      <c r="M15" s="147">
        <v>35.81</v>
      </c>
      <c r="N15" s="147">
        <v>34.17</v>
      </c>
      <c r="O15" s="147">
        <v>34.11</v>
      </c>
      <c r="P15" s="147">
        <v>35.01</v>
      </c>
      <c r="Q15" s="147">
        <v>36.409999999999997</v>
      </c>
      <c r="R15" s="147">
        <v>44.13</v>
      </c>
      <c r="S15" s="147">
        <v>40.270000000000003</v>
      </c>
      <c r="T15" s="147">
        <v>40.869999999999997</v>
      </c>
      <c r="U15" s="111">
        <v>39.937520491803269</v>
      </c>
      <c r="V15" s="111">
        <v>42.38285477178421</v>
      </c>
      <c r="W15" s="111">
        <v>51.002878099173586</v>
      </c>
      <c r="X15" s="111">
        <v>67.977302469135793</v>
      </c>
      <c r="Y15" s="111">
        <v>73.992421774193559</v>
      </c>
      <c r="Z15" s="111">
        <v>66.030461943319835</v>
      </c>
      <c r="AA15" s="111">
        <v>74.132998785425059</v>
      </c>
      <c r="AB15" s="111">
        <v>72.318717479674788</v>
      </c>
      <c r="AC15" s="111">
        <v>82.835824279835293</v>
      </c>
      <c r="AD15" s="111">
        <v>87.086124596774255</v>
      </c>
      <c r="AE15" s="111">
        <f t="shared" ref="AE15" si="17">AE14*AE35</f>
        <v>72.02233850310796</v>
      </c>
      <c r="AF15" s="111">
        <f>AF14*AF35</f>
        <v>91.686149287112158</v>
      </c>
      <c r="AG15" s="111">
        <f t="shared" ref="AG15:AX15" si="18">AG14*AG35</f>
        <v>87.15000000000002</v>
      </c>
      <c r="AH15" s="111">
        <f>AH14*AH35</f>
        <v>94.405500000000032</v>
      </c>
      <c r="AI15" s="111">
        <f t="shared" si="18"/>
        <v>99.766800000000003</v>
      </c>
      <c r="AJ15" s="111">
        <f>AJ14*AJ35</f>
        <v>100.70542351303561</v>
      </c>
      <c r="AK15" s="111">
        <f t="shared" si="18"/>
        <v>101.65287776033576</v>
      </c>
      <c r="AL15" s="111">
        <f t="shared" si="18"/>
        <v>102.60924582299371</v>
      </c>
      <c r="AM15" s="111">
        <f t="shared" si="18"/>
        <v>103.57461156374427</v>
      </c>
      <c r="AN15" s="111">
        <f t="shared" si="18"/>
        <v>104.54905963431743</v>
      </c>
      <c r="AO15" s="111">
        <f t="shared" si="18"/>
        <v>105.53267548286153</v>
      </c>
      <c r="AP15" s="111">
        <f t="shared" si="18"/>
        <v>106.52554536143607</v>
      </c>
      <c r="AQ15" s="111">
        <f t="shared" si="18"/>
        <v>107.52775633357494</v>
      </c>
      <c r="AR15" s="111">
        <f t="shared" si="18"/>
        <v>108.53939628192104</v>
      </c>
      <c r="AS15" s="111">
        <f t="shared" si="18"/>
        <v>109.56055391593256</v>
      </c>
      <c r="AT15" s="111">
        <f t="shared" si="18"/>
        <v>110.59131877966176</v>
      </c>
      <c r="AU15" s="111">
        <f t="shared" si="18"/>
        <v>111.63178125960705</v>
      </c>
      <c r="AV15" s="111">
        <f t="shared" si="18"/>
        <v>112.68203259263882</v>
      </c>
      <c r="AW15" s="111">
        <f t="shared" si="18"/>
        <v>113.7421648739999</v>
      </c>
      <c r="AX15" s="111">
        <f t="shared" si="18"/>
        <v>114.81227106538128</v>
      </c>
      <c r="AY15" s="111">
        <f>AY14*AY35</f>
        <v>115.96039377603509</v>
      </c>
      <c r="AZ15" s="111">
        <f>AZ14*AZ35</f>
        <v>117.11999771379544</v>
      </c>
      <c r="BA15" s="111">
        <f>BA14*BA35</f>
        <v>118.29119769093339</v>
      </c>
      <c r="BB15" s="111">
        <f>BB14*BB35</f>
        <v>119.47410966784273</v>
      </c>
      <c r="BC15" s="111">
        <f t="shared" ref="BC15" si="19">BC14*BC35</f>
        <v>121.86359186119958</v>
      </c>
      <c r="BD15" s="111">
        <f>BD14*BD35</f>
        <v>124.30086369842357</v>
      </c>
      <c r="BE15" s="111">
        <f>BE14*BE35</f>
        <v>126.78688097239205</v>
      </c>
      <c r="BF15" s="111">
        <f>BF14*BF35</f>
        <v>129.3226185918399</v>
      </c>
      <c r="BG15" s="111">
        <f>BG14*BG35</f>
        <v>131.9090709636767</v>
      </c>
    </row>
    <row r="16" spans="1:59" ht="13.75" customHeight="1">
      <c r="A16" s="141" t="s">
        <v>86</v>
      </c>
      <c r="B16" s="170"/>
      <c r="C16" s="170"/>
      <c r="D16" s="170" t="s">
        <v>110</v>
      </c>
      <c r="E16" s="168"/>
      <c r="F16" s="168" t="s">
        <v>117</v>
      </c>
      <c r="G16" s="168" t="s">
        <v>3</v>
      </c>
      <c r="H16" s="168"/>
      <c r="I16" s="168" t="s">
        <v>118</v>
      </c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7">
        <v>2.1999999999999999E-2</v>
      </c>
      <c r="V16" s="107">
        <v>2.1999999999999999E-2</v>
      </c>
      <c r="W16" s="107">
        <v>2.1999999999999999E-2</v>
      </c>
      <c r="X16" s="107">
        <v>2.1999999999999999E-2</v>
      </c>
      <c r="Y16" s="107">
        <v>2.1999999999999999E-2</v>
      </c>
      <c r="Z16" s="107">
        <v>2.1999999999999999E-2</v>
      </c>
      <c r="AA16" s="107">
        <v>2.1999999999999999E-2</v>
      </c>
      <c r="AB16" s="107">
        <v>2.1999999999999999E-2</v>
      </c>
      <c r="AC16" s="107">
        <v>2.1999999999999999E-2</v>
      </c>
      <c r="AD16" s="107">
        <v>2.1999999999999999E-2</v>
      </c>
      <c r="AE16" s="107">
        <f t="shared" ref="AE16:BG18" si="20">AD16</f>
        <v>2.1999999999999999E-2</v>
      </c>
      <c r="AF16" s="107">
        <f t="shared" si="20"/>
        <v>2.1999999999999999E-2</v>
      </c>
      <c r="AG16" s="107">
        <f t="shared" si="20"/>
        <v>2.1999999999999999E-2</v>
      </c>
      <c r="AH16" s="107">
        <f>AG16</f>
        <v>2.1999999999999999E-2</v>
      </c>
      <c r="AI16" s="107">
        <f t="shared" si="20"/>
        <v>2.1999999999999999E-2</v>
      </c>
      <c r="AJ16" s="107">
        <f>AI16</f>
        <v>2.1999999999999999E-2</v>
      </c>
      <c r="AK16" s="107">
        <f t="shared" si="20"/>
        <v>2.1999999999999999E-2</v>
      </c>
      <c r="AL16" s="107">
        <f t="shared" si="20"/>
        <v>2.1999999999999999E-2</v>
      </c>
      <c r="AM16" s="107">
        <f t="shared" si="20"/>
        <v>2.1999999999999999E-2</v>
      </c>
      <c r="AN16" s="107">
        <f t="shared" si="20"/>
        <v>2.1999999999999999E-2</v>
      </c>
      <c r="AO16" s="107">
        <f t="shared" si="20"/>
        <v>2.1999999999999999E-2</v>
      </c>
      <c r="AP16" s="107">
        <f t="shared" si="20"/>
        <v>2.1999999999999999E-2</v>
      </c>
      <c r="AQ16" s="107">
        <f t="shared" si="20"/>
        <v>2.1999999999999999E-2</v>
      </c>
      <c r="AR16" s="107">
        <f t="shared" si="20"/>
        <v>2.1999999999999999E-2</v>
      </c>
      <c r="AS16" s="107">
        <f t="shared" si="20"/>
        <v>2.1999999999999999E-2</v>
      </c>
      <c r="AT16" s="107">
        <f t="shared" si="20"/>
        <v>2.1999999999999999E-2</v>
      </c>
      <c r="AU16" s="107">
        <f t="shared" si="20"/>
        <v>2.1999999999999999E-2</v>
      </c>
      <c r="AV16" s="107">
        <f t="shared" si="20"/>
        <v>2.1999999999999999E-2</v>
      </c>
      <c r="AW16" s="107">
        <f t="shared" si="20"/>
        <v>2.1999999999999999E-2</v>
      </c>
      <c r="AX16" s="107">
        <f t="shared" si="20"/>
        <v>2.1999999999999999E-2</v>
      </c>
      <c r="AY16" s="107">
        <f t="shared" si="20"/>
        <v>2.1999999999999999E-2</v>
      </c>
      <c r="AZ16" s="107">
        <f t="shared" si="20"/>
        <v>2.1999999999999999E-2</v>
      </c>
      <c r="BA16" s="107">
        <f t="shared" si="20"/>
        <v>2.1999999999999999E-2</v>
      </c>
      <c r="BB16" s="107">
        <f t="shared" si="20"/>
        <v>2.1999999999999999E-2</v>
      </c>
      <c r="BC16" s="107">
        <f t="shared" si="20"/>
        <v>2.1999999999999999E-2</v>
      </c>
      <c r="BD16" s="107">
        <f t="shared" si="20"/>
        <v>2.1999999999999999E-2</v>
      </c>
      <c r="BE16" s="107">
        <f t="shared" si="20"/>
        <v>2.1999999999999999E-2</v>
      </c>
      <c r="BF16" s="107">
        <f t="shared" si="20"/>
        <v>2.1999999999999999E-2</v>
      </c>
      <c r="BG16" s="107">
        <f t="shared" si="20"/>
        <v>2.1999999999999999E-2</v>
      </c>
    </row>
    <row r="17" spans="1:59" ht="13.75" customHeight="1">
      <c r="A17" s="141" t="s">
        <v>86</v>
      </c>
      <c r="B17" s="170"/>
      <c r="C17" s="170"/>
      <c r="D17" s="170" t="s">
        <v>110</v>
      </c>
      <c r="E17" s="168"/>
      <c r="F17" s="168" t="s">
        <v>119</v>
      </c>
      <c r="G17" s="168" t="s">
        <v>3</v>
      </c>
      <c r="H17" s="168"/>
      <c r="I17" s="168" t="s">
        <v>118</v>
      </c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7">
        <v>8.9999999999999993E-3</v>
      </c>
      <c r="X17" s="107">
        <v>1.2E-2</v>
      </c>
      <c r="Y17" s="107">
        <v>1.2999999999999999E-2</v>
      </c>
      <c r="Z17" s="107">
        <v>1.4E-2</v>
      </c>
      <c r="AA17" s="107">
        <v>1.4999999999999999E-2</v>
      </c>
      <c r="AB17" s="107">
        <v>1.6E-2</v>
      </c>
      <c r="AC17" s="107">
        <v>1.7000000000000001E-2</v>
      </c>
      <c r="AD17" s="107">
        <v>1.8000000000000002E-2</v>
      </c>
      <c r="AE17" s="107">
        <f>AD17+0.1%</f>
        <v>1.9000000000000003E-2</v>
      </c>
      <c r="AF17" s="107">
        <f>AE17+0.1%</f>
        <v>2.0000000000000004E-2</v>
      </c>
      <c r="AG17" s="107">
        <f t="shared" si="20"/>
        <v>2.0000000000000004E-2</v>
      </c>
      <c r="AH17" s="107">
        <f t="shared" si="20"/>
        <v>2.0000000000000004E-2</v>
      </c>
      <c r="AI17" s="107">
        <f t="shared" si="20"/>
        <v>2.0000000000000004E-2</v>
      </c>
      <c r="AJ17" s="107">
        <f t="shared" si="20"/>
        <v>2.0000000000000004E-2</v>
      </c>
      <c r="AK17" s="107">
        <f t="shared" si="20"/>
        <v>2.0000000000000004E-2</v>
      </c>
      <c r="AL17" s="107">
        <f t="shared" si="20"/>
        <v>2.0000000000000004E-2</v>
      </c>
      <c r="AM17" s="107">
        <f t="shared" si="20"/>
        <v>2.0000000000000004E-2</v>
      </c>
      <c r="AN17" s="107">
        <f t="shared" si="20"/>
        <v>2.0000000000000004E-2</v>
      </c>
      <c r="AO17" s="107">
        <f t="shared" si="20"/>
        <v>2.0000000000000004E-2</v>
      </c>
      <c r="AP17" s="107">
        <f t="shared" si="20"/>
        <v>2.0000000000000004E-2</v>
      </c>
      <c r="AQ17" s="107">
        <f t="shared" si="20"/>
        <v>2.0000000000000004E-2</v>
      </c>
      <c r="AR17" s="107">
        <f t="shared" si="20"/>
        <v>2.0000000000000004E-2</v>
      </c>
      <c r="AS17" s="107">
        <f t="shared" si="20"/>
        <v>2.0000000000000004E-2</v>
      </c>
      <c r="AT17" s="107">
        <f t="shared" si="20"/>
        <v>2.0000000000000004E-2</v>
      </c>
      <c r="AU17" s="107">
        <f t="shared" si="20"/>
        <v>2.0000000000000004E-2</v>
      </c>
      <c r="AV17" s="107">
        <f t="shared" si="20"/>
        <v>2.0000000000000004E-2</v>
      </c>
      <c r="AW17" s="107">
        <f t="shared" si="20"/>
        <v>2.0000000000000004E-2</v>
      </c>
      <c r="AX17" s="107">
        <f t="shared" si="20"/>
        <v>2.0000000000000004E-2</v>
      </c>
      <c r="AY17" s="107">
        <f t="shared" si="20"/>
        <v>2.0000000000000004E-2</v>
      </c>
      <c r="AZ17" s="107">
        <f t="shared" si="20"/>
        <v>2.0000000000000004E-2</v>
      </c>
      <c r="BA17" s="107">
        <f t="shared" si="20"/>
        <v>2.0000000000000004E-2</v>
      </c>
      <c r="BB17" s="107">
        <f t="shared" si="20"/>
        <v>2.0000000000000004E-2</v>
      </c>
      <c r="BC17" s="107">
        <f t="shared" si="20"/>
        <v>2.0000000000000004E-2</v>
      </c>
      <c r="BD17" s="107">
        <f t="shared" si="20"/>
        <v>2.0000000000000004E-2</v>
      </c>
      <c r="BE17" s="107">
        <f t="shared" si="20"/>
        <v>2.0000000000000004E-2</v>
      </c>
      <c r="BF17" s="107">
        <f t="shared" si="20"/>
        <v>2.0000000000000004E-2</v>
      </c>
      <c r="BG17" s="107">
        <f t="shared" si="20"/>
        <v>2.0000000000000004E-2</v>
      </c>
    </row>
    <row r="18" spans="1:59" ht="13.75" customHeight="1">
      <c r="A18" s="141" t="s">
        <v>86</v>
      </c>
      <c r="B18" s="170"/>
      <c r="C18" s="170"/>
      <c r="D18" s="170" t="s">
        <v>110</v>
      </c>
      <c r="E18" s="168"/>
      <c r="F18" s="168" t="s">
        <v>120</v>
      </c>
      <c r="G18" s="168" t="s">
        <v>3</v>
      </c>
      <c r="H18" s="168"/>
      <c r="I18" s="168" t="s">
        <v>118</v>
      </c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7">
        <v>0.01</v>
      </c>
      <c r="X18" s="107">
        <v>1.4999999999999999E-2</v>
      </c>
      <c r="Y18" s="107">
        <v>0.02</v>
      </c>
      <c r="Z18" s="107">
        <v>0.02</v>
      </c>
      <c r="AA18" s="107">
        <v>0.02</v>
      </c>
      <c r="AB18" s="107">
        <v>0.02</v>
      </c>
      <c r="AC18" s="107">
        <v>0.02</v>
      </c>
      <c r="AD18" s="107">
        <v>0.02</v>
      </c>
      <c r="AE18" s="107">
        <f t="shared" ref="AE18:AF18" si="21">AD18</f>
        <v>0.02</v>
      </c>
      <c r="AF18" s="107">
        <f t="shared" si="21"/>
        <v>0.02</v>
      </c>
      <c r="AG18" s="107">
        <f t="shared" si="20"/>
        <v>0.02</v>
      </c>
      <c r="AH18" s="107">
        <f t="shared" si="20"/>
        <v>0.02</v>
      </c>
      <c r="AI18" s="107">
        <f t="shared" si="20"/>
        <v>0.02</v>
      </c>
      <c r="AJ18" s="107">
        <f t="shared" si="20"/>
        <v>0.02</v>
      </c>
      <c r="AK18" s="107">
        <f t="shared" si="20"/>
        <v>0.02</v>
      </c>
      <c r="AL18" s="107">
        <f t="shared" si="20"/>
        <v>0.02</v>
      </c>
      <c r="AM18" s="107">
        <f t="shared" si="20"/>
        <v>0.02</v>
      </c>
      <c r="AN18" s="107">
        <f t="shared" si="20"/>
        <v>0.02</v>
      </c>
      <c r="AO18" s="107">
        <f t="shared" si="20"/>
        <v>0.02</v>
      </c>
      <c r="AP18" s="107">
        <f t="shared" si="20"/>
        <v>0.02</v>
      </c>
      <c r="AQ18" s="107">
        <f t="shared" si="20"/>
        <v>0.02</v>
      </c>
      <c r="AR18" s="107">
        <f t="shared" si="20"/>
        <v>0.02</v>
      </c>
      <c r="AS18" s="107">
        <f t="shared" si="20"/>
        <v>0.02</v>
      </c>
      <c r="AT18" s="107">
        <f t="shared" si="20"/>
        <v>0.02</v>
      </c>
      <c r="AU18" s="107">
        <f t="shared" si="20"/>
        <v>0.02</v>
      </c>
      <c r="AV18" s="107">
        <f t="shared" si="20"/>
        <v>0.02</v>
      </c>
      <c r="AW18" s="107">
        <f t="shared" si="20"/>
        <v>0.02</v>
      </c>
      <c r="AX18" s="107">
        <f t="shared" si="20"/>
        <v>0.02</v>
      </c>
      <c r="AY18" s="107">
        <f t="shared" si="20"/>
        <v>0.02</v>
      </c>
      <c r="AZ18" s="107">
        <f t="shared" si="20"/>
        <v>0.02</v>
      </c>
      <c r="BA18" s="107">
        <f t="shared" si="20"/>
        <v>0.02</v>
      </c>
      <c r="BB18" s="107">
        <f t="shared" si="20"/>
        <v>0.02</v>
      </c>
      <c r="BC18" s="107">
        <f t="shared" si="20"/>
        <v>0.02</v>
      </c>
      <c r="BD18" s="107">
        <f t="shared" si="20"/>
        <v>0.02</v>
      </c>
      <c r="BE18" s="107">
        <f t="shared" si="20"/>
        <v>0.02</v>
      </c>
      <c r="BF18" s="107">
        <f t="shared" si="20"/>
        <v>0.02</v>
      </c>
      <c r="BG18" s="107">
        <f t="shared" si="20"/>
        <v>0.02</v>
      </c>
    </row>
    <row r="19" spans="1:59" ht="13.75" customHeight="1">
      <c r="A19" s="141" t="s">
        <v>86</v>
      </c>
      <c r="B19" s="170"/>
      <c r="C19" s="170"/>
      <c r="D19" s="142" t="s">
        <v>87</v>
      </c>
      <c r="E19" s="168"/>
      <c r="F19" s="168" t="s">
        <v>121</v>
      </c>
      <c r="G19" s="168" t="s">
        <v>3</v>
      </c>
      <c r="H19" s="168"/>
      <c r="I19" s="168" t="s">
        <v>122</v>
      </c>
      <c r="J19" s="123">
        <v>0.45699999999999991</v>
      </c>
      <c r="K19" s="123">
        <v>0.34599999999999992</v>
      </c>
      <c r="L19" s="123">
        <v>0.26099999999999995</v>
      </c>
      <c r="M19" s="123">
        <v>0.22599999999999995</v>
      </c>
      <c r="N19" s="123">
        <v>0.26900000000000007</v>
      </c>
      <c r="O19" s="123">
        <v>0.24299999999999997</v>
      </c>
      <c r="P19" s="123">
        <v>0.27799999999999997</v>
      </c>
      <c r="Q19" s="123">
        <v>0.27200000000000002</v>
      </c>
      <c r="R19" s="123">
        <v>7.7999999999999972E-2</v>
      </c>
      <c r="S19" s="123">
        <v>0.12400000000000005</v>
      </c>
      <c r="T19" s="123">
        <v>0.115</v>
      </c>
      <c r="U19" s="107">
        <v>0.13900000000000001</v>
      </c>
      <c r="V19" s="107">
        <v>0.11899999999999999</v>
      </c>
      <c r="W19" s="107">
        <v>9.0999999999999998E-2</v>
      </c>
      <c r="X19" s="107">
        <v>5.0999999999999997E-2</v>
      </c>
      <c r="Y19" s="107">
        <v>7.9000000000000001E-2</v>
      </c>
      <c r="Z19" s="107">
        <v>6.7000000000000004E-2</v>
      </c>
      <c r="AA19" s="107">
        <v>0.10965864120305359</v>
      </c>
      <c r="AB19" s="107">
        <v>9.1798582669918569E-2</v>
      </c>
      <c r="AC19" s="107">
        <v>7.6035130421954866E-2</v>
      </c>
      <c r="AD19" s="107">
        <v>0.10656959085515826</v>
      </c>
      <c r="AE19" s="107">
        <v>0.13434235871235711</v>
      </c>
      <c r="AF19" s="107">
        <v>0.12369822870537896</v>
      </c>
      <c r="AG19" s="107">
        <v>7.8897343466276082E-2</v>
      </c>
      <c r="AH19" s="107">
        <v>6.0803903861604391E-2</v>
      </c>
      <c r="AI19" s="107">
        <v>5.3672444779629513E-2</v>
      </c>
      <c r="AJ19" s="107">
        <f>AJ3+AJ9</f>
        <v>5.2255913486399609E-2</v>
      </c>
      <c r="AK19" s="107">
        <f>AK3+AK9</f>
        <v>5.2255913486399609E-2</v>
      </c>
      <c r="AL19" s="107">
        <f t="shared" ref="AL19:BB19" si="22">AL3+AL9</f>
        <v>5.2255913486399609E-2</v>
      </c>
      <c r="AM19" s="107">
        <f t="shared" si="22"/>
        <v>5.2255913486399609E-2</v>
      </c>
      <c r="AN19" s="107">
        <f t="shared" si="22"/>
        <v>5.2255913486399609E-2</v>
      </c>
      <c r="AO19" s="107">
        <f t="shared" si="22"/>
        <v>5.2255913486399609E-2</v>
      </c>
      <c r="AP19" s="107">
        <f t="shared" si="22"/>
        <v>5.2255913486399609E-2</v>
      </c>
      <c r="AQ19" s="107">
        <f t="shared" si="22"/>
        <v>5.2255913486399609E-2</v>
      </c>
      <c r="AR19" s="107">
        <f t="shared" si="22"/>
        <v>5.2255913486399609E-2</v>
      </c>
      <c r="AS19" s="107">
        <f t="shared" si="22"/>
        <v>5.2255913486399609E-2</v>
      </c>
      <c r="AT19" s="107">
        <f t="shared" si="22"/>
        <v>5.2255913486399609E-2</v>
      </c>
      <c r="AU19" s="107">
        <f t="shared" si="22"/>
        <v>5.2255913486399609E-2</v>
      </c>
      <c r="AV19" s="107">
        <f t="shared" si="22"/>
        <v>5.2255913486399609E-2</v>
      </c>
      <c r="AW19" s="107">
        <f t="shared" si="22"/>
        <v>5.2255913486399609E-2</v>
      </c>
      <c r="AX19" s="107">
        <f t="shared" si="22"/>
        <v>5.2255913486399609E-2</v>
      </c>
      <c r="AY19" s="107">
        <f t="shared" si="22"/>
        <v>5.2255913486399609E-2</v>
      </c>
      <c r="AZ19" s="107">
        <f t="shared" si="22"/>
        <v>5.2255913486399609E-2</v>
      </c>
      <c r="BA19" s="107">
        <f t="shared" si="22"/>
        <v>5.2255913486399609E-2</v>
      </c>
      <c r="BB19" s="107">
        <f t="shared" si="22"/>
        <v>5.2255913486399609E-2</v>
      </c>
      <c r="BC19" s="107">
        <f>BC3+BC9</f>
        <v>5.2255913486399609E-2</v>
      </c>
      <c r="BD19" s="107">
        <f>BD3+BD9</f>
        <v>5.2255913486399609E-2</v>
      </c>
      <c r="BE19" s="107">
        <f>BE3+BE9</f>
        <v>5.2255913486399609E-2</v>
      </c>
      <c r="BF19" s="107">
        <f>BF3+BF9</f>
        <v>5.2255913486399609E-2</v>
      </c>
      <c r="BG19" s="107">
        <f>BG3+BG9</f>
        <v>5.2255913486399609E-2</v>
      </c>
    </row>
    <row r="20" spans="1:59" ht="13.75" customHeight="1">
      <c r="A20" s="141" t="s">
        <v>86</v>
      </c>
      <c r="B20" s="170"/>
      <c r="C20" s="170"/>
      <c r="D20" s="142" t="s">
        <v>87</v>
      </c>
      <c r="E20" s="168"/>
      <c r="F20" s="168" t="s">
        <v>123</v>
      </c>
      <c r="G20" s="168" t="s">
        <v>3</v>
      </c>
      <c r="H20" s="168"/>
      <c r="I20" s="168" t="s">
        <v>124</v>
      </c>
      <c r="J20" s="123">
        <v>3.2939999999999997E-2</v>
      </c>
      <c r="K20" s="123">
        <v>2.8650000000000002E-2</v>
      </c>
      <c r="L20" s="123">
        <v>2.1240000000000002E-2</v>
      </c>
      <c r="M20" s="123">
        <v>2.155E-2</v>
      </c>
      <c r="N20" s="123">
        <v>2.4879999999999999E-2</v>
      </c>
      <c r="O20" s="123">
        <v>3.7249999999999998E-2</v>
      </c>
      <c r="P20" s="123">
        <v>4.684E-2</v>
      </c>
      <c r="Q20" s="123">
        <v>2.8919999999999998E-2</v>
      </c>
      <c r="R20" s="123">
        <v>6.9999999999999993E-3</v>
      </c>
      <c r="S20" s="123">
        <v>1.0059999999999999E-2</v>
      </c>
      <c r="T20" s="114">
        <v>1.3559999999999999E-2</v>
      </c>
      <c r="U20" s="107">
        <v>4.9081058365758696E-3</v>
      </c>
      <c r="V20" s="107">
        <v>1.52185019762846E-3</v>
      </c>
      <c r="W20" s="107">
        <v>1.79734743083004E-3</v>
      </c>
      <c r="X20" s="107">
        <v>-1.2786E-3</v>
      </c>
      <c r="Y20" s="110">
        <v>-3.1900000000000001E-3</v>
      </c>
      <c r="Z20" s="110">
        <v>-3.2789999999999998E-3</v>
      </c>
      <c r="AA20" s="110">
        <v>-3.0899999999999999E-3</v>
      </c>
      <c r="AB20" s="110">
        <v>-3.8300000000000001E-3</v>
      </c>
      <c r="AC20" s="110">
        <v>-5.45E-3</v>
      </c>
      <c r="AD20" s="110">
        <v>-5.7199999999999994E-3</v>
      </c>
      <c r="AE20" s="110">
        <v>2.1320000000000002E-2</v>
      </c>
      <c r="AF20" s="110">
        <v>3.9E-2</v>
      </c>
      <c r="AG20" s="110">
        <v>2.1000000000000001E-2</v>
      </c>
      <c r="AH20" s="110">
        <v>1.3999999999999999E-2</v>
      </c>
      <c r="AI20" s="110">
        <v>9.4999999999999998E-3</v>
      </c>
      <c r="AJ20" s="110">
        <v>1.3000000000000001E-2</v>
      </c>
      <c r="AK20" s="110">
        <f t="shared" ref="AK20:BB20" si="23">AJ20</f>
        <v>1.3000000000000001E-2</v>
      </c>
      <c r="AL20" s="110">
        <f t="shared" si="23"/>
        <v>1.3000000000000001E-2</v>
      </c>
      <c r="AM20" s="110">
        <f t="shared" si="23"/>
        <v>1.3000000000000001E-2</v>
      </c>
      <c r="AN20" s="110">
        <f t="shared" si="23"/>
        <v>1.3000000000000001E-2</v>
      </c>
      <c r="AO20" s="110">
        <f t="shared" si="23"/>
        <v>1.3000000000000001E-2</v>
      </c>
      <c r="AP20" s="110">
        <f t="shared" si="23"/>
        <v>1.3000000000000001E-2</v>
      </c>
      <c r="AQ20" s="110">
        <f t="shared" si="23"/>
        <v>1.3000000000000001E-2</v>
      </c>
      <c r="AR20" s="110">
        <f t="shared" si="23"/>
        <v>1.3000000000000001E-2</v>
      </c>
      <c r="AS20" s="110">
        <f t="shared" si="23"/>
        <v>1.3000000000000001E-2</v>
      </c>
      <c r="AT20" s="110">
        <f t="shared" si="23"/>
        <v>1.3000000000000001E-2</v>
      </c>
      <c r="AU20" s="110">
        <f t="shared" si="23"/>
        <v>1.3000000000000001E-2</v>
      </c>
      <c r="AV20" s="110">
        <f t="shared" si="23"/>
        <v>1.3000000000000001E-2</v>
      </c>
      <c r="AW20" s="110">
        <f t="shared" si="23"/>
        <v>1.3000000000000001E-2</v>
      </c>
      <c r="AX20" s="110">
        <f t="shared" si="23"/>
        <v>1.3000000000000001E-2</v>
      </c>
      <c r="AY20" s="110">
        <f t="shared" si="23"/>
        <v>1.3000000000000001E-2</v>
      </c>
      <c r="AZ20" s="110">
        <f t="shared" si="23"/>
        <v>1.3000000000000001E-2</v>
      </c>
      <c r="BA20" s="110">
        <f t="shared" si="23"/>
        <v>1.3000000000000001E-2</v>
      </c>
      <c r="BB20" s="110">
        <f t="shared" si="23"/>
        <v>1.3000000000000001E-2</v>
      </c>
      <c r="BC20" s="110">
        <f>BB20</f>
        <v>1.3000000000000001E-2</v>
      </c>
      <c r="BD20" s="110">
        <f>BC20</f>
        <v>1.3000000000000001E-2</v>
      </c>
      <c r="BE20" s="110">
        <f>BD20</f>
        <v>1.3000000000000001E-2</v>
      </c>
      <c r="BF20" s="110">
        <f>BE20</f>
        <v>1.3000000000000001E-2</v>
      </c>
      <c r="BG20" s="110">
        <f>BF20</f>
        <v>1.3000000000000001E-2</v>
      </c>
    </row>
    <row r="21" spans="1:59" ht="13.75" customHeight="1">
      <c r="A21" s="141" t="s">
        <v>86</v>
      </c>
      <c r="B21" s="170"/>
      <c r="C21" s="170"/>
      <c r="D21" s="170" t="s">
        <v>87</v>
      </c>
      <c r="E21" s="168"/>
      <c r="F21" s="168" t="s">
        <v>125</v>
      </c>
      <c r="G21" s="168" t="s">
        <v>3</v>
      </c>
      <c r="H21" s="168"/>
      <c r="I21" s="168" t="s">
        <v>109</v>
      </c>
      <c r="J21" s="123"/>
      <c r="K21" s="123"/>
      <c r="L21" s="123"/>
      <c r="M21" s="123"/>
      <c r="N21" s="123"/>
      <c r="O21" s="123">
        <v>5.7800000000000004E-2</v>
      </c>
      <c r="P21" s="123">
        <v>5.6799999999999996E-2</v>
      </c>
      <c r="Q21" s="123">
        <v>0.1575</v>
      </c>
      <c r="R21" s="123">
        <v>7.3200000000000001E-2</v>
      </c>
      <c r="S21" s="123">
        <v>5.3350000000000002E-2</v>
      </c>
      <c r="T21" s="123">
        <v>7.2099999999999997E-2</v>
      </c>
      <c r="U21" s="107">
        <v>7.3222593869731775E-2</v>
      </c>
      <c r="V21" s="107">
        <v>6.9354528735632331E-2</v>
      </c>
      <c r="W21" s="107">
        <v>0.10586615708812261</v>
      </c>
      <c r="X21" s="107">
        <v>0.11599999999999999</v>
      </c>
      <c r="Y21" s="110">
        <v>0.10465000000000001</v>
      </c>
      <c r="Z21" s="110">
        <v>7.8E-2</v>
      </c>
      <c r="AA21" s="110">
        <v>9.5700000000000007E-2</v>
      </c>
      <c r="AB21" s="110">
        <v>6.4600000000000005E-2</v>
      </c>
      <c r="AC21" s="110">
        <v>5.04E-2</v>
      </c>
      <c r="AD21" s="114">
        <v>0.10220000000000001</v>
      </c>
      <c r="AE21" s="110">
        <v>8.8000000000000009E-2</v>
      </c>
      <c r="AF21" s="110">
        <v>0.14000000000000001</v>
      </c>
      <c r="AG21" s="110">
        <v>7.7499999999999999E-2</v>
      </c>
      <c r="AH21" s="110">
        <v>6.2E-2</v>
      </c>
      <c r="AI21" s="110">
        <v>6.2E-2</v>
      </c>
      <c r="AJ21" s="110">
        <v>7.2000000000000008E-2</v>
      </c>
      <c r="AK21" s="110">
        <f t="shared" ref="AK21:AZ25" si="24">AJ21+(AK$39-AJ$39)</f>
        <v>7.2000000000000008E-2</v>
      </c>
      <c r="AL21" s="110">
        <f t="shared" si="24"/>
        <v>7.2000000000000008E-2</v>
      </c>
      <c r="AM21" s="110">
        <f t="shared" si="24"/>
        <v>7.2000000000000008E-2</v>
      </c>
      <c r="AN21" s="110">
        <f t="shared" si="24"/>
        <v>7.2000000000000008E-2</v>
      </c>
      <c r="AO21" s="110">
        <f t="shared" si="24"/>
        <v>7.2000000000000008E-2</v>
      </c>
      <c r="AP21" s="110">
        <f t="shared" si="24"/>
        <v>7.2000000000000008E-2</v>
      </c>
      <c r="AQ21" s="110">
        <f t="shared" si="24"/>
        <v>7.2000000000000008E-2</v>
      </c>
      <c r="AR21" s="110">
        <f t="shared" si="24"/>
        <v>7.2000000000000008E-2</v>
      </c>
      <c r="AS21" s="110">
        <f t="shared" si="24"/>
        <v>7.2000000000000008E-2</v>
      </c>
      <c r="AT21" s="110">
        <f t="shared" si="24"/>
        <v>7.2000000000000008E-2</v>
      </c>
      <c r="AU21" s="110">
        <f t="shared" si="24"/>
        <v>7.2000000000000008E-2</v>
      </c>
      <c r="AV21" s="110">
        <f t="shared" si="24"/>
        <v>7.2000000000000008E-2</v>
      </c>
      <c r="AW21" s="110">
        <f t="shared" si="24"/>
        <v>7.2000000000000008E-2</v>
      </c>
      <c r="AX21" s="110">
        <f t="shared" si="24"/>
        <v>7.2000000000000008E-2</v>
      </c>
      <c r="AY21" s="110">
        <f t="shared" si="24"/>
        <v>7.2000000000000008E-2</v>
      </c>
      <c r="AZ21" s="110">
        <f t="shared" si="24"/>
        <v>7.2000000000000008E-2</v>
      </c>
      <c r="BA21" s="110">
        <f t="shared" ref="AX21:BG25" si="25">AZ21+(BA$39-AZ$39)</f>
        <v>7.2000000000000008E-2</v>
      </c>
      <c r="BB21" s="110">
        <f t="shared" si="25"/>
        <v>7.2000000000000008E-2</v>
      </c>
      <c r="BC21" s="110">
        <f t="shared" si="25"/>
        <v>7.2000000000000008E-2</v>
      </c>
      <c r="BD21" s="110">
        <f t="shared" si="25"/>
        <v>7.2000000000000008E-2</v>
      </c>
      <c r="BE21" s="110">
        <f t="shared" si="25"/>
        <v>7.2000000000000008E-2</v>
      </c>
      <c r="BF21" s="110">
        <f t="shared" si="25"/>
        <v>7.2000000000000008E-2</v>
      </c>
      <c r="BG21" s="110">
        <f t="shared" si="25"/>
        <v>7.2000000000000008E-2</v>
      </c>
    </row>
    <row r="22" spans="1:59" ht="13.75" customHeight="1">
      <c r="A22" s="141" t="s">
        <v>86</v>
      </c>
      <c r="B22" s="170"/>
      <c r="C22" s="170"/>
      <c r="D22" s="170" t="s">
        <v>87</v>
      </c>
      <c r="E22" s="168"/>
      <c r="F22" s="168" t="s">
        <v>126</v>
      </c>
      <c r="G22" s="168" t="s">
        <v>3</v>
      </c>
      <c r="H22" s="168"/>
      <c r="I22" s="168" t="s">
        <v>109</v>
      </c>
      <c r="J22" s="123"/>
      <c r="K22" s="123"/>
      <c r="L22" s="123"/>
      <c r="M22" s="123"/>
      <c r="N22" s="123"/>
      <c r="O22" s="123">
        <v>6.1500000000000006E-2</v>
      </c>
      <c r="P22" s="123">
        <v>6.6699999999999995E-2</v>
      </c>
      <c r="Q22" s="123">
        <v>0.16</v>
      </c>
      <c r="R22" s="123">
        <v>7.5999999999999998E-2</v>
      </c>
      <c r="S22" s="123">
        <v>6.7500000000000004E-2</v>
      </c>
      <c r="T22" s="123">
        <v>7.4200000000000002E-2</v>
      </c>
      <c r="U22" s="107">
        <v>7.5070977011494247E-2</v>
      </c>
      <c r="V22" s="107">
        <v>6.9934961685823707E-2</v>
      </c>
      <c r="W22" s="107">
        <v>9.8913639846743243E-2</v>
      </c>
      <c r="X22" s="107">
        <v>0.1079</v>
      </c>
      <c r="Y22" s="110">
        <v>9.5299999999999996E-2</v>
      </c>
      <c r="Z22" s="110">
        <v>7.5899999999999995E-2</v>
      </c>
      <c r="AA22" s="110">
        <v>9.6799999999999997E-2</v>
      </c>
      <c r="AB22" s="110">
        <v>6.3399999999999998E-2</v>
      </c>
      <c r="AC22" s="110">
        <v>5.5399999999999998E-2</v>
      </c>
      <c r="AD22" s="114">
        <v>9.35E-2</v>
      </c>
      <c r="AE22" s="110">
        <v>9.6999999999999989E-2</v>
      </c>
      <c r="AF22" s="110">
        <v>0.13</v>
      </c>
      <c r="AG22" s="110">
        <v>7.7499999999999999E-2</v>
      </c>
      <c r="AH22" s="110">
        <v>6.4000000000000001E-2</v>
      </c>
      <c r="AI22" s="110">
        <v>6.4000000000000001E-2</v>
      </c>
      <c r="AJ22" s="110">
        <v>7.7499999999999999E-2</v>
      </c>
      <c r="AK22" s="110">
        <f t="shared" si="24"/>
        <v>7.7499999999999999E-2</v>
      </c>
      <c r="AL22" s="110">
        <f t="shared" si="24"/>
        <v>7.7499999999999999E-2</v>
      </c>
      <c r="AM22" s="110">
        <f t="shared" si="24"/>
        <v>7.7499999999999999E-2</v>
      </c>
      <c r="AN22" s="110">
        <f t="shared" si="24"/>
        <v>7.7499999999999999E-2</v>
      </c>
      <c r="AO22" s="110">
        <f t="shared" si="24"/>
        <v>7.7499999999999999E-2</v>
      </c>
      <c r="AP22" s="110">
        <f t="shared" si="24"/>
        <v>7.7499999999999999E-2</v>
      </c>
      <c r="AQ22" s="110">
        <f t="shared" si="24"/>
        <v>7.7499999999999999E-2</v>
      </c>
      <c r="AR22" s="110">
        <f t="shared" si="24"/>
        <v>7.7499999999999999E-2</v>
      </c>
      <c r="AS22" s="110">
        <f t="shared" si="24"/>
        <v>7.7499999999999999E-2</v>
      </c>
      <c r="AT22" s="110">
        <f t="shared" si="24"/>
        <v>7.7499999999999999E-2</v>
      </c>
      <c r="AU22" s="110">
        <f t="shared" si="24"/>
        <v>7.7499999999999999E-2</v>
      </c>
      <c r="AV22" s="110">
        <f t="shared" si="24"/>
        <v>7.7499999999999999E-2</v>
      </c>
      <c r="AW22" s="110">
        <f t="shared" si="24"/>
        <v>7.7499999999999999E-2</v>
      </c>
      <c r="AX22" s="110">
        <f t="shared" si="25"/>
        <v>7.7499999999999999E-2</v>
      </c>
      <c r="AY22" s="110">
        <f t="shared" si="25"/>
        <v>7.7499999999999999E-2</v>
      </c>
      <c r="AZ22" s="110">
        <f t="shared" si="25"/>
        <v>7.7499999999999999E-2</v>
      </c>
      <c r="BA22" s="110">
        <f t="shared" si="25"/>
        <v>7.7499999999999999E-2</v>
      </c>
      <c r="BB22" s="110">
        <f t="shared" si="25"/>
        <v>7.7499999999999999E-2</v>
      </c>
      <c r="BC22" s="110">
        <f t="shared" si="25"/>
        <v>7.7499999999999999E-2</v>
      </c>
      <c r="BD22" s="110">
        <f t="shared" si="25"/>
        <v>7.7499999999999999E-2</v>
      </c>
      <c r="BE22" s="110">
        <f t="shared" si="25"/>
        <v>7.7499999999999999E-2</v>
      </c>
      <c r="BF22" s="110">
        <f t="shared" si="25"/>
        <v>7.7499999999999999E-2</v>
      </c>
      <c r="BG22" s="110">
        <f t="shared" si="25"/>
        <v>7.7499999999999999E-2</v>
      </c>
    </row>
    <row r="23" spans="1:59" ht="13.75" customHeight="1">
      <c r="A23" s="141" t="s">
        <v>86</v>
      </c>
      <c r="B23" s="170"/>
      <c r="C23" s="170"/>
      <c r="D23" s="170" t="s">
        <v>87</v>
      </c>
      <c r="E23" s="168"/>
      <c r="F23" s="168" t="s">
        <v>127</v>
      </c>
      <c r="G23" s="168" t="s">
        <v>3</v>
      </c>
      <c r="H23" s="168"/>
      <c r="I23" s="168" t="s">
        <v>109</v>
      </c>
      <c r="J23" s="123"/>
      <c r="K23" s="123"/>
      <c r="L23" s="123"/>
      <c r="M23" s="123"/>
      <c r="N23" s="123"/>
      <c r="O23" s="123">
        <v>6.4000000000000001E-2</v>
      </c>
      <c r="P23" s="123">
        <v>7.1800000000000003E-2</v>
      </c>
      <c r="Q23" s="123">
        <v>0.16500000000000001</v>
      </c>
      <c r="R23" s="123">
        <v>7.85E-2</v>
      </c>
      <c r="S23" s="123">
        <v>7.3499999999999996E-2</v>
      </c>
      <c r="T23" s="123">
        <v>7.5399999999999995E-2</v>
      </c>
      <c r="U23" s="107">
        <v>7.6751555555555559E-2</v>
      </c>
      <c r="V23" s="107">
        <v>7.1434632183908123E-2</v>
      </c>
      <c r="W23" s="107">
        <v>9.633078544061302E-2</v>
      </c>
      <c r="X23" s="107">
        <v>0.10619999999999999</v>
      </c>
      <c r="Y23" s="110">
        <v>9.1799999999999993E-2</v>
      </c>
      <c r="Z23" s="110">
        <v>7.5499999999999998E-2</v>
      </c>
      <c r="AA23" s="110">
        <v>9.5600000000000004E-2</v>
      </c>
      <c r="AB23" s="110">
        <v>6.4600000000000005E-2</v>
      </c>
      <c r="AC23" s="110">
        <v>5.8799999999999998E-2</v>
      </c>
      <c r="AD23" s="114">
        <v>8.9399999999999993E-2</v>
      </c>
      <c r="AE23" s="110">
        <v>0.10199999999999999</v>
      </c>
      <c r="AF23" s="110">
        <v>0.12299999999999998</v>
      </c>
      <c r="AG23" s="110">
        <v>7.9000000000000001E-2</v>
      </c>
      <c r="AH23" s="110">
        <v>6.9500000000000006E-2</v>
      </c>
      <c r="AI23" s="110">
        <v>6.9500000000000006E-2</v>
      </c>
      <c r="AJ23" s="110">
        <v>8.3000000000000004E-2</v>
      </c>
      <c r="AK23" s="110">
        <f t="shared" si="24"/>
        <v>8.3000000000000004E-2</v>
      </c>
      <c r="AL23" s="110">
        <f t="shared" si="24"/>
        <v>8.3000000000000004E-2</v>
      </c>
      <c r="AM23" s="110">
        <f t="shared" si="24"/>
        <v>8.3000000000000004E-2</v>
      </c>
      <c r="AN23" s="110">
        <f t="shared" si="24"/>
        <v>8.3000000000000004E-2</v>
      </c>
      <c r="AO23" s="110">
        <f t="shared" si="24"/>
        <v>8.3000000000000004E-2</v>
      </c>
      <c r="AP23" s="110">
        <f t="shared" si="24"/>
        <v>8.3000000000000004E-2</v>
      </c>
      <c r="AQ23" s="110">
        <f t="shared" si="24"/>
        <v>8.3000000000000004E-2</v>
      </c>
      <c r="AR23" s="110">
        <f t="shared" si="24"/>
        <v>8.3000000000000004E-2</v>
      </c>
      <c r="AS23" s="110">
        <f t="shared" si="24"/>
        <v>8.3000000000000004E-2</v>
      </c>
      <c r="AT23" s="110">
        <f t="shared" si="24"/>
        <v>8.3000000000000004E-2</v>
      </c>
      <c r="AU23" s="110">
        <f t="shared" si="24"/>
        <v>8.3000000000000004E-2</v>
      </c>
      <c r="AV23" s="110">
        <f t="shared" si="24"/>
        <v>8.3000000000000004E-2</v>
      </c>
      <c r="AW23" s="110">
        <f t="shared" si="24"/>
        <v>8.3000000000000004E-2</v>
      </c>
      <c r="AX23" s="110">
        <f t="shared" si="25"/>
        <v>8.3000000000000004E-2</v>
      </c>
      <c r="AY23" s="110">
        <f>AX23+(AY$39-AX$39)</f>
        <v>8.3000000000000004E-2</v>
      </c>
      <c r="AZ23" s="110">
        <f t="shared" si="25"/>
        <v>8.3000000000000004E-2</v>
      </c>
      <c r="BA23" s="110">
        <f t="shared" si="25"/>
        <v>8.3000000000000004E-2</v>
      </c>
      <c r="BB23" s="110">
        <f t="shared" si="25"/>
        <v>8.3000000000000004E-2</v>
      </c>
      <c r="BC23" s="110">
        <f t="shared" si="25"/>
        <v>8.3000000000000004E-2</v>
      </c>
      <c r="BD23" s="110">
        <f t="shared" si="25"/>
        <v>8.3000000000000004E-2</v>
      </c>
      <c r="BE23" s="110">
        <f t="shared" si="25"/>
        <v>8.3000000000000004E-2</v>
      </c>
      <c r="BF23" s="110">
        <f t="shared" si="25"/>
        <v>8.3000000000000004E-2</v>
      </c>
      <c r="BG23" s="110">
        <f t="shared" si="25"/>
        <v>8.3000000000000004E-2</v>
      </c>
    </row>
    <row r="24" spans="1:59" ht="13.75" customHeight="1">
      <c r="A24" s="141" t="s">
        <v>86</v>
      </c>
      <c r="B24" s="170"/>
      <c r="C24" s="170"/>
      <c r="D24" s="170" t="s">
        <v>87</v>
      </c>
      <c r="E24" s="168"/>
      <c r="F24" s="168" t="s">
        <v>128</v>
      </c>
      <c r="G24" s="168" t="s">
        <v>3</v>
      </c>
      <c r="H24" s="168"/>
      <c r="I24" s="168" t="s">
        <v>109</v>
      </c>
      <c r="J24" s="123"/>
      <c r="K24" s="123"/>
      <c r="L24" s="123"/>
      <c r="M24" s="123"/>
      <c r="N24" s="123"/>
      <c r="O24" s="123">
        <v>6.4600000000000005E-2</v>
      </c>
      <c r="P24" s="123">
        <v>7.3700000000000002E-2</v>
      </c>
      <c r="Q24" s="123">
        <v>0.16500000000000001</v>
      </c>
      <c r="R24" s="123">
        <v>8.1500000000000003E-2</v>
      </c>
      <c r="S24" s="123">
        <v>7.6509999999999995E-2</v>
      </c>
      <c r="T24" s="123">
        <v>7.7100000000000002E-2</v>
      </c>
      <c r="U24" s="107">
        <v>7.8596911877394732E-2</v>
      </c>
      <c r="V24" s="107">
        <v>7.3566593869731592E-2</v>
      </c>
      <c r="W24" s="107">
        <v>9.5379850574712641E-2</v>
      </c>
      <c r="X24" s="110">
        <v>0.10539999999999999</v>
      </c>
      <c r="Y24" s="110">
        <v>8.9600000000000013E-2</v>
      </c>
      <c r="Z24" s="110">
        <v>7.5300000000000006E-2</v>
      </c>
      <c r="AA24" s="110">
        <v>9.4499999999999987E-2</v>
      </c>
      <c r="AB24" s="110">
        <v>6.8199999999999997E-2</v>
      </c>
      <c r="AC24" s="110">
        <v>6.13E-2</v>
      </c>
      <c r="AD24" s="110">
        <v>8.7899999999999992E-2</v>
      </c>
      <c r="AE24" s="110">
        <f t="shared" ref="AE24:AF24" si="26">AE23+(AE25-AE23)*2/5</f>
        <v>0.10479999999999999</v>
      </c>
      <c r="AF24" s="110">
        <f t="shared" si="26"/>
        <v>0.12039999999999999</v>
      </c>
      <c r="AG24" s="110">
        <f>AG23+(AG25-AG23)*2/5</f>
        <v>7.9200000000000007E-2</v>
      </c>
      <c r="AH24" s="110">
        <f t="shared" ref="AH24:BG24" si="27">AH23+(AH25-AH23)*2/5</f>
        <v>7.1900000000000006E-2</v>
      </c>
      <c r="AI24" s="110">
        <f t="shared" si="27"/>
        <v>7.1900000000000006E-2</v>
      </c>
      <c r="AJ24" s="110">
        <f t="shared" si="27"/>
        <v>8.4200000000000011E-2</v>
      </c>
      <c r="AK24" s="110">
        <f t="shared" si="27"/>
        <v>8.4200000000000011E-2</v>
      </c>
      <c r="AL24" s="110">
        <f t="shared" si="27"/>
        <v>8.4200000000000011E-2</v>
      </c>
      <c r="AM24" s="110">
        <f t="shared" si="27"/>
        <v>8.4200000000000011E-2</v>
      </c>
      <c r="AN24" s="110">
        <f t="shared" si="27"/>
        <v>8.4200000000000011E-2</v>
      </c>
      <c r="AO24" s="110">
        <f t="shared" si="27"/>
        <v>8.4200000000000011E-2</v>
      </c>
      <c r="AP24" s="110">
        <f t="shared" si="27"/>
        <v>8.4200000000000011E-2</v>
      </c>
      <c r="AQ24" s="110">
        <f t="shared" si="27"/>
        <v>8.4200000000000011E-2</v>
      </c>
      <c r="AR24" s="110">
        <f t="shared" si="27"/>
        <v>8.4200000000000011E-2</v>
      </c>
      <c r="AS24" s="110">
        <f t="shared" si="27"/>
        <v>8.4200000000000011E-2</v>
      </c>
      <c r="AT24" s="110">
        <f t="shared" si="27"/>
        <v>8.4200000000000011E-2</v>
      </c>
      <c r="AU24" s="110">
        <f t="shared" si="27"/>
        <v>8.4200000000000011E-2</v>
      </c>
      <c r="AV24" s="110">
        <f t="shared" si="27"/>
        <v>8.4200000000000011E-2</v>
      </c>
      <c r="AW24" s="110">
        <f t="shared" si="27"/>
        <v>8.4200000000000011E-2</v>
      </c>
      <c r="AX24" s="110">
        <f t="shared" si="27"/>
        <v>8.4200000000000011E-2</v>
      </c>
      <c r="AY24" s="110">
        <f t="shared" si="27"/>
        <v>8.4200000000000011E-2</v>
      </c>
      <c r="AZ24" s="110">
        <f t="shared" si="27"/>
        <v>8.4200000000000011E-2</v>
      </c>
      <c r="BA24" s="110">
        <f t="shared" si="27"/>
        <v>8.4200000000000011E-2</v>
      </c>
      <c r="BB24" s="110">
        <f t="shared" si="27"/>
        <v>8.4200000000000011E-2</v>
      </c>
      <c r="BC24" s="110">
        <f t="shared" si="27"/>
        <v>8.4200000000000011E-2</v>
      </c>
      <c r="BD24" s="110">
        <f t="shared" si="27"/>
        <v>8.4200000000000011E-2</v>
      </c>
      <c r="BE24" s="110">
        <f t="shared" si="27"/>
        <v>8.4200000000000011E-2</v>
      </c>
      <c r="BF24" s="110">
        <f t="shared" si="27"/>
        <v>8.4200000000000011E-2</v>
      </c>
      <c r="BG24" s="110">
        <f t="shared" si="27"/>
        <v>8.4200000000000011E-2</v>
      </c>
    </row>
    <row r="25" spans="1:59" ht="13.75" customHeight="1">
      <c r="A25" s="141" t="s">
        <v>86</v>
      </c>
      <c r="B25" s="170"/>
      <c r="C25" s="170"/>
      <c r="D25" s="170" t="s">
        <v>87</v>
      </c>
      <c r="E25" s="168"/>
      <c r="F25" s="168" t="s">
        <v>129</v>
      </c>
      <c r="G25" s="168" t="s">
        <v>3</v>
      </c>
      <c r="H25" s="168"/>
      <c r="I25" s="168" t="s">
        <v>109</v>
      </c>
      <c r="J25" s="123"/>
      <c r="K25" s="123"/>
      <c r="L25" s="123"/>
      <c r="M25" s="123"/>
      <c r="N25" s="123"/>
      <c r="O25" s="123">
        <v>6.5099999999999991E-2</v>
      </c>
      <c r="P25" s="123">
        <v>7.6600000000000001E-2</v>
      </c>
      <c r="Q25" s="123">
        <v>0.16500000000000001</v>
      </c>
      <c r="R25" s="123">
        <v>8.199999999999999E-2</v>
      </c>
      <c r="S25" s="123">
        <v>7.9509999999999997E-2</v>
      </c>
      <c r="T25" s="123">
        <v>7.8899999999999998E-2</v>
      </c>
      <c r="U25" s="107">
        <v>8.1269616858237512E-2</v>
      </c>
      <c r="V25" s="107">
        <v>7.6304413793103459E-2</v>
      </c>
      <c r="W25" s="107">
        <v>9.5675601532567031E-2</v>
      </c>
      <c r="X25" s="107">
        <v>0.10390000000000001</v>
      </c>
      <c r="Y25" s="110">
        <v>8.7300000000000003E-2</v>
      </c>
      <c r="Z25" s="110">
        <v>7.5300000000000006E-2</v>
      </c>
      <c r="AA25" s="110">
        <v>9.3200000000000005E-2</v>
      </c>
      <c r="AB25" s="110">
        <v>6.8400000000000002E-2</v>
      </c>
      <c r="AC25" s="110">
        <v>6.4600000000000005E-2</v>
      </c>
      <c r="AD25" s="110">
        <v>8.77E-2</v>
      </c>
      <c r="AE25" s="110">
        <v>0.109</v>
      </c>
      <c r="AF25" s="110">
        <v>0.11650000000000001</v>
      </c>
      <c r="AG25" s="110">
        <v>7.9500000000000015E-2</v>
      </c>
      <c r="AH25" s="110">
        <v>7.5500000000000012E-2</v>
      </c>
      <c r="AI25" s="110">
        <v>7.5500000000000012E-2</v>
      </c>
      <c r="AJ25" s="110">
        <v>8.6000000000000021E-2</v>
      </c>
      <c r="AK25" s="110">
        <f t="shared" si="24"/>
        <v>8.6000000000000021E-2</v>
      </c>
      <c r="AL25" s="110">
        <f t="shared" si="24"/>
        <v>8.6000000000000021E-2</v>
      </c>
      <c r="AM25" s="110">
        <f t="shared" si="24"/>
        <v>8.6000000000000021E-2</v>
      </c>
      <c r="AN25" s="110">
        <f t="shared" si="24"/>
        <v>8.6000000000000021E-2</v>
      </c>
      <c r="AO25" s="110">
        <f t="shared" si="24"/>
        <v>8.6000000000000021E-2</v>
      </c>
      <c r="AP25" s="110">
        <f t="shared" si="24"/>
        <v>8.6000000000000021E-2</v>
      </c>
      <c r="AQ25" s="110">
        <f t="shared" si="24"/>
        <v>8.6000000000000021E-2</v>
      </c>
      <c r="AR25" s="110">
        <f t="shared" si="24"/>
        <v>8.6000000000000021E-2</v>
      </c>
      <c r="AS25" s="110">
        <f t="shared" si="24"/>
        <v>8.6000000000000021E-2</v>
      </c>
      <c r="AT25" s="110">
        <f t="shared" si="24"/>
        <v>8.6000000000000021E-2</v>
      </c>
      <c r="AU25" s="110">
        <f t="shared" si="24"/>
        <v>8.6000000000000021E-2</v>
      </c>
      <c r="AV25" s="110">
        <f t="shared" si="24"/>
        <v>8.6000000000000021E-2</v>
      </c>
      <c r="AW25" s="110">
        <f t="shared" si="24"/>
        <v>8.6000000000000021E-2</v>
      </c>
      <c r="AX25" s="110">
        <f t="shared" si="25"/>
        <v>8.6000000000000021E-2</v>
      </c>
      <c r="AY25" s="110">
        <f t="shared" si="25"/>
        <v>8.6000000000000021E-2</v>
      </c>
      <c r="AZ25" s="110">
        <f t="shared" si="25"/>
        <v>8.6000000000000021E-2</v>
      </c>
      <c r="BA25" s="110">
        <f t="shared" si="25"/>
        <v>8.6000000000000021E-2</v>
      </c>
      <c r="BB25" s="110">
        <f t="shared" si="25"/>
        <v>8.6000000000000021E-2</v>
      </c>
      <c r="BC25" s="110">
        <f t="shared" si="25"/>
        <v>8.6000000000000021E-2</v>
      </c>
      <c r="BD25" s="110">
        <f t="shared" si="25"/>
        <v>8.6000000000000021E-2</v>
      </c>
      <c r="BE25" s="110">
        <f t="shared" si="25"/>
        <v>8.6000000000000021E-2</v>
      </c>
      <c r="BF25" s="110">
        <f t="shared" si="25"/>
        <v>8.6000000000000021E-2</v>
      </c>
      <c r="BG25" s="110">
        <f t="shared" si="25"/>
        <v>8.6000000000000021E-2</v>
      </c>
    </row>
    <row r="26" spans="1:59" ht="13.75" customHeight="1">
      <c r="A26" s="141" t="s">
        <v>86</v>
      </c>
      <c r="B26" s="170"/>
      <c r="C26" s="170"/>
      <c r="D26" s="170" t="s">
        <v>98</v>
      </c>
      <c r="E26" s="168"/>
      <c r="F26" s="168" t="s">
        <v>130</v>
      </c>
      <c r="G26" s="168" t="s">
        <v>131</v>
      </c>
      <c r="I26" s="168" t="s">
        <v>116</v>
      </c>
      <c r="J26" s="147">
        <v>17.318563380281692</v>
      </c>
      <c r="K26" s="147">
        <v>20.225351549295755</v>
      </c>
      <c r="L26" s="147">
        <v>22.797648048048025</v>
      </c>
      <c r="M26" s="147">
        <v>23.200051311953345</v>
      </c>
      <c r="N26" s="147">
        <v>22.72658742857142</v>
      </c>
      <c r="O26" s="147">
        <v>21.674498290598287</v>
      </c>
      <c r="P26" s="147">
        <v>21.310417415730349</v>
      </c>
      <c r="Q26" s="147">
        <v>22.925360076045614</v>
      </c>
      <c r="R26" s="147">
        <v>29.245193532338298</v>
      </c>
      <c r="S26" s="147">
        <v>29.492689383561622</v>
      </c>
      <c r="T26" s="147">
        <v>33.218057458563564</v>
      </c>
      <c r="U26" s="112">
        <v>33.114757028112443</v>
      </c>
      <c r="V26" s="112">
        <v>34.428351219512201</v>
      </c>
      <c r="W26" s="112">
        <v>42.014607692307678</v>
      </c>
      <c r="X26" s="107">
        <v>63.87710916334661</v>
      </c>
      <c r="Y26" s="112">
        <v>67.848924193548427</v>
      </c>
      <c r="Z26" s="111">
        <v>59.296312550607276</v>
      </c>
      <c r="AA26" s="112">
        <v>64.271352631578935</v>
      </c>
      <c r="AB26" s="112">
        <v>65.038546341463416</v>
      </c>
      <c r="AC26" s="112">
        <v>77.342137448559583</v>
      </c>
      <c r="AD26" s="112">
        <v>80.517745967741888</v>
      </c>
      <c r="AE26" s="112">
        <f>AE14/AE41</f>
        <v>74.698218263941129</v>
      </c>
      <c r="AF26" s="112">
        <f t="shared" ref="AF26:AX26" si="28">AF14/AF41</f>
        <v>93.212740046838391</v>
      </c>
      <c r="AG26" s="112">
        <f t="shared" si="28"/>
        <v>86.660958904109606</v>
      </c>
      <c r="AH26" s="112">
        <f>AH14/AH41</f>
        <v>93.593835616438398</v>
      </c>
      <c r="AI26" s="112">
        <f t="shared" si="28"/>
        <v>98.909041095890416</v>
      </c>
      <c r="AJ26" s="112">
        <f>AJ14/AJ41</f>
        <v>99.83959466305312</v>
      </c>
      <c r="AK26" s="112">
        <f t="shared" si="28"/>
        <v>100.77890304101739</v>
      </c>
      <c r="AL26" s="112">
        <f t="shared" si="28"/>
        <v>101.72704859657529</v>
      </c>
      <c r="AM26" s="112">
        <f t="shared" si="28"/>
        <v>102.68411447144008</v>
      </c>
      <c r="AN26" s="112">
        <f t="shared" si="28"/>
        <v>103.65018458953681</v>
      </c>
      <c r="AO26" s="112">
        <f t="shared" si="28"/>
        <v>104.62534366436148</v>
      </c>
      <c r="AP26" s="112">
        <f t="shared" si="28"/>
        <v>105.60967720640953</v>
      </c>
      <c r="AQ26" s="112">
        <f t="shared" si="28"/>
        <v>106.60327153067408</v>
      </c>
      <c r="AR26" s="112">
        <f t="shared" si="28"/>
        <v>107.60621376421479</v>
      </c>
      <c r="AS26" s="112">
        <f t="shared" si="28"/>
        <v>108.61859185379797</v>
      </c>
      <c r="AT26" s="112">
        <f t="shared" si="28"/>
        <v>109.64049457360848</v>
      </c>
      <c r="AU26" s="112">
        <f t="shared" si="28"/>
        <v>110.67201153303428</v>
      </c>
      <c r="AV26" s="112">
        <f t="shared" si="28"/>
        <v>111.71323318452407</v>
      </c>
      <c r="AW26" s="112">
        <f t="shared" si="28"/>
        <v>112.76425083151909</v>
      </c>
      <c r="AX26" s="112">
        <f t="shared" si="28"/>
        <v>113.82515663645928</v>
      </c>
      <c r="AY26" s="112">
        <f>AY14/AY41</f>
        <v>114.96340820282389</v>
      </c>
      <c r="AZ26" s="112">
        <f>AZ14/AZ41</f>
        <v>116.11304228485211</v>
      </c>
      <c r="BA26" s="112">
        <f t="shared" ref="BA26:BG26" si="29">BA14/BA41</f>
        <v>117.27417270770064</v>
      </c>
      <c r="BB26" s="112">
        <f t="shared" si="29"/>
        <v>118.44691443477764</v>
      </c>
      <c r="BC26" s="112">
        <f t="shared" si="29"/>
        <v>120.8158527234732</v>
      </c>
      <c r="BD26" s="112">
        <f t="shared" si="29"/>
        <v>123.23216977794267</v>
      </c>
      <c r="BE26" s="112">
        <f t="shared" si="29"/>
        <v>125.69681317350152</v>
      </c>
      <c r="BF26" s="112">
        <f t="shared" si="29"/>
        <v>128.21074943697155</v>
      </c>
      <c r="BG26" s="112">
        <f t="shared" si="29"/>
        <v>130.77496442571098</v>
      </c>
    </row>
    <row r="27" spans="1:59" ht="13.75" customHeight="1">
      <c r="A27" s="141" t="s">
        <v>86</v>
      </c>
      <c r="B27" s="170"/>
      <c r="C27" s="170"/>
      <c r="D27" s="170" t="s">
        <v>98</v>
      </c>
      <c r="E27" s="168"/>
      <c r="F27" s="168" t="s">
        <v>132</v>
      </c>
      <c r="G27" s="168" t="s">
        <v>131</v>
      </c>
      <c r="I27" s="168" t="s">
        <v>116</v>
      </c>
      <c r="J27" s="147">
        <v>17.86</v>
      </c>
      <c r="K27" s="147">
        <v>22.777999999999999</v>
      </c>
      <c r="L27" s="147">
        <v>23.599499999999999</v>
      </c>
      <c r="M27" s="147">
        <v>24.482700000000001</v>
      </c>
      <c r="N27" s="147">
        <v>21.956299999999999</v>
      </c>
      <c r="O27" s="147">
        <v>21.597000000000001</v>
      </c>
      <c r="P27" s="147">
        <v>21.7879</v>
      </c>
      <c r="Q27" s="147">
        <v>27.832899999999999</v>
      </c>
      <c r="R27" s="147">
        <v>29.137</v>
      </c>
      <c r="S27" s="147">
        <v>32.4084</v>
      </c>
      <c r="T27" s="147">
        <v>34.236600000000003</v>
      </c>
      <c r="U27" s="112">
        <v>33.288800000000002</v>
      </c>
      <c r="V27" s="112">
        <v>36.695999999999998</v>
      </c>
      <c r="W27" s="112">
        <v>56.976300000000002</v>
      </c>
      <c r="X27" s="107">
        <v>73.611526999999995</v>
      </c>
      <c r="Y27" s="112">
        <v>59.415100000000002</v>
      </c>
      <c r="Z27" s="111">
        <v>58.974299999999999</v>
      </c>
      <c r="AA27" s="112">
        <v>70.578699999999998</v>
      </c>
      <c r="AB27" s="112">
        <v>63.603900000000003</v>
      </c>
      <c r="AC27" s="112">
        <v>83.513099999999994</v>
      </c>
      <c r="AD27" s="112">
        <v>80.937600000000003</v>
      </c>
      <c r="AE27" s="112">
        <f>AE7/AE40</f>
        <v>77.272183098591555</v>
      </c>
      <c r="AF27" s="112">
        <f t="shared" ref="AF27:AX27" si="30">AF7/AF40</f>
        <v>99.075471698113205</v>
      </c>
      <c r="AG27" s="112">
        <f t="shared" si="30"/>
        <v>97.085377358490589</v>
      </c>
      <c r="AH27" s="112">
        <f>AH7/AH40</f>
        <v>98.909041095890416</v>
      </c>
      <c r="AI27" s="112">
        <f t="shared" si="30"/>
        <v>99.83959466305312</v>
      </c>
      <c r="AJ27" s="112">
        <f>AJ7/AJ40</f>
        <v>100.77890304101739</v>
      </c>
      <c r="AK27" s="112">
        <f t="shared" si="30"/>
        <v>101.72704859657529</v>
      </c>
      <c r="AL27" s="112">
        <f t="shared" si="30"/>
        <v>102.68411447144008</v>
      </c>
      <c r="AM27" s="112">
        <f t="shared" si="30"/>
        <v>103.65018458953681</v>
      </c>
      <c r="AN27" s="112">
        <f t="shared" si="30"/>
        <v>104.62534366436148</v>
      </c>
      <c r="AO27" s="112">
        <f t="shared" si="30"/>
        <v>105.60967720640953</v>
      </c>
      <c r="AP27" s="112">
        <f t="shared" si="30"/>
        <v>106.60327153067408</v>
      </c>
      <c r="AQ27" s="112">
        <f t="shared" si="30"/>
        <v>107.60621376421479</v>
      </c>
      <c r="AR27" s="112">
        <f t="shared" si="30"/>
        <v>108.61859185379797</v>
      </c>
      <c r="AS27" s="112">
        <f t="shared" si="30"/>
        <v>109.64049457360848</v>
      </c>
      <c r="AT27" s="112">
        <f t="shared" si="30"/>
        <v>110.67201153303428</v>
      </c>
      <c r="AU27" s="112">
        <f t="shared" si="30"/>
        <v>111.71323318452407</v>
      </c>
      <c r="AV27" s="112">
        <f t="shared" si="30"/>
        <v>112.76425083151909</v>
      </c>
      <c r="AW27" s="112">
        <f t="shared" si="30"/>
        <v>113.82515663645928</v>
      </c>
      <c r="AX27" s="112">
        <f t="shared" si="30"/>
        <v>114.96340820282389</v>
      </c>
      <c r="AY27" s="112">
        <f>AY7/AY40</f>
        <v>114.96340820282389</v>
      </c>
      <c r="AZ27" s="112">
        <f t="shared" ref="AZ27:BG27" si="31">AZ7/AZ40</f>
        <v>116.11304228485211</v>
      </c>
      <c r="BA27" s="112">
        <f t="shared" si="31"/>
        <v>117.27417270770064</v>
      </c>
      <c r="BB27" s="112">
        <f t="shared" si="31"/>
        <v>118.44691443477764</v>
      </c>
      <c r="BC27" s="112">
        <f t="shared" si="31"/>
        <v>120.8158527234732</v>
      </c>
      <c r="BD27" s="112">
        <f t="shared" si="31"/>
        <v>123.23216977794267</v>
      </c>
      <c r="BE27" s="112">
        <f t="shared" si="31"/>
        <v>125.69681317350152</v>
      </c>
      <c r="BF27" s="112">
        <f t="shared" si="31"/>
        <v>128.21074943697155</v>
      </c>
      <c r="BG27" s="112">
        <f t="shared" si="31"/>
        <v>130.77496442571098</v>
      </c>
    </row>
    <row r="28" spans="1:59" ht="13.75" customHeight="1">
      <c r="A28" s="141" t="s">
        <v>86</v>
      </c>
      <c r="B28" s="170"/>
      <c r="C28" s="170"/>
      <c r="D28" s="170" t="s">
        <v>92</v>
      </c>
      <c r="E28" s="168"/>
      <c r="F28" s="168" t="s">
        <v>133</v>
      </c>
      <c r="G28" s="168" t="s">
        <v>3</v>
      </c>
      <c r="I28" s="168" t="s">
        <v>134</v>
      </c>
      <c r="J28" s="123">
        <v>-1.6E-2</v>
      </c>
      <c r="K28" s="123">
        <v>1.2E-2</v>
      </c>
      <c r="L28" s="123">
        <v>0.04</v>
      </c>
      <c r="M28" s="123">
        <v>4.2000000000000003E-2</v>
      </c>
      <c r="N28" s="123">
        <v>5.4000000000000006E-2</v>
      </c>
      <c r="O28" s="123">
        <v>1.1000000000000001E-2</v>
      </c>
      <c r="P28" s="123">
        <v>6.2E-2</v>
      </c>
      <c r="Q28" s="123">
        <v>-9.0000000000000011E-3</v>
      </c>
      <c r="R28" s="123">
        <v>4.2999999999999997E-2</v>
      </c>
      <c r="S28" s="123">
        <v>3.7999999999999999E-2</v>
      </c>
      <c r="T28" s="123">
        <v>4.7E-2</v>
      </c>
      <c r="U28" s="107">
        <v>2.1000000000000001E-2</v>
      </c>
      <c r="V28" s="107">
        <v>4.0000000000000001E-3</v>
      </c>
      <c r="W28" s="107">
        <v>8.0000000000000002E-3</v>
      </c>
      <c r="X28" s="107">
        <v>-5.0999999999999997E-2</v>
      </c>
      <c r="Y28" s="107">
        <v>-1.9E-2</v>
      </c>
      <c r="Z28" s="107">
        <v>3.2000000000000001E-2</v>
      </c>
      <c r="AA28" s="107">
        <v>1.3000000000000001E-2</v>
      </c>
      <c r="AB28" s="107">
        <v>1.7000000000000001E-2</v>
      </c>
      <c r="AC28" s="107">
        <v>-8.0000000000000002E-3</v>
      </c>
      <c r="AD28" s="107">
        <v>0.122</v>
      </c>
      <c r="AE28" s="107">
        <f t="shared" ref="AE28:AX28" si="32">AE4</f>
        <v>6.5000000000000002E-2</v>
      </c>
      <c r="AF28" s="107">
        <f t="shared" si="32"/>
        <v>3.1843454310135098E-2</v>
      </c>
      <c r="AG28" s="107">
        <f t="shared" si="32"/>
        <v>1.5707299426945126E-2</v>
      </c>
      <c r="AH28" s="107">
        <f t="shared" si="32"/>
        <v>2.0591825005557212E-2</v>
      </c>
      <c r="AI28" s="107">
        <f t="shared" si="32"/>
        <v>0.02</v>
      </c>
      <c r="AJ28" s="107">
        <f t="shared" si="32"/>
        <v>2.059182500555707E-2</v>
      </c>
      <c r="AK28" s="107">
        <f t="shared" si="32"/>
        <v>2.059182500555707E-2</v>
      </c>
      <c r="AL28" s="107">
        <f t="shared" si="32"/>
        <v>2.059182500555707E-2</v>
      </c>
      <c r="AM28" s="107">
        <f t="shared" si="32"/>
        <v>2.059182500555707E-2</v>
      </c>
      <c r="AN28" s="107">
        <f t="shared" si="32"/>
        <v>2.059182500555707E-2</v>
      </c>
      <c r="AO28" s="107">
        <f t="shared" si="32"/>
        <v>2.059182500555707E-2</v>
      </c>
      <c r="AP28" s="107">
        <f t="shared" si="32"/>
        <v>2.059182500555707E-2</v>
      </c>
      <c r="AQ28" s="107">
        <f t="shared" si="32"/>
        <v>2.059182500555707E-2</v>
      </c>
      <c r="AR28" s="107">
        <f t="shared" si="32"/>
        <v>2.059182500555707E-2</v>
      </c>
      <c r="AS28" s="107">
        <f t="shared" si="32"/>
        <v>2.059182500555707E-2</v>
      </c>
      <c r="AT28" s="107">
        <f t="shared" si="32"/>
        <v>2.059182500555707E-2</v>
      </c>
      <c r="AU28" s="107">
        <f t="shared" si="32"/>
        <v>2.059182500555707E-2</v>
      </c>
      <c r="AV28" s="107">
        <f t="shared" si="32"/>
        <v>2.059182500555707E-2</v>
      </c>
      <c r="AW28" s="107">
        <f t="shared" si="32"/>
        <v>2.059182500555707E-2</v>
      </c>
      <c r="AX28" s="107">
        <f t="shared" si="32"/>
        <v>2.059182500555707E-2</v>
      </c>
      <c r="AY28" s="107">
        <f>AY4</f>
        <v>0.02</v>
      </c>
      <c r="AZ28" s="107">
        <f>AZ4</f>
        <v>0.02</v>
      </c>
      <c r="BA28" s="107">
        <f>BA4</f>
        <v>0.02</v>
      </c>
      <c r="BB28" s="107">
        <f>BB4</f>
        <v>0.02</v>
      </c>
      <c r="BC28" s="107">
        <f t="shared" ref="BC28:BG28" si="33">BC4</f>
        <v>0.02</v>
      </c>
      <c r="BD28" s="107">
        <f t="shared" si="33"/>
        <v>0.02</v>
      </c>
      <c r="BE28" s="107">
        <f t="shared" si="33"/>
        <v>0.02</v>
      </c>
      <c r="BF28" s="107">
        <f t="shared" si="33"/>
        <v>0.02</v>
      </c>
      <c r="BG28" s="107">
        <f t="shared" si="33"/>
        <v>0.02</v>
      </c>
    </row>
    <row r="29" spans="1:59" ht="13.75" customHeight="1">
      <c r="A29" s="141" t="s">
        <v>86</v>
      </c>
      <c r="B29" s="170"/>
      <c r="C29" s="170"/>
      <c r="D29" s="170" t="s">
        <v>92</v>
      </c>
      <c r="E29" s="168"/>
      <c r="F29" s="168" t="s">
        <v>135</v>
      </c>
      <c r="G29" s="168" t="s">
        <v>3</v>
      </c>
      <c r="I29" s="168" t="s">
        <v>136</v>
      </c>
      <c r="J29" s="123">
        <v>2.1000000000000001E-2</v>
      </c>
      <c r="K29" s="123">
        <v>2.3E-2</v>
      </c>
      <c r="L29" s="123">
        <v>0.02</v>
      </c>
      <c r="M29" s="123">
        <v>2.3E-2</v>
      </c>
      <c r="N29" s="123">
        <v>2.3E-2</v>
      </c>
      <c r="O29" s="123">
        <v>1.9E-2</v>
      </c>
      <c r="P29" s="123">
        <v>3.1E-2</v>
      </c>
      <c r="Q29" s="123">
        <v>1.6E-2</v>
      </c>
      <c r="R29" s="123">
        <v>9.0000000000000011E-3</v>
      </c>
      <c r="S29" s="123">
        <v>2.2000000000000002E-2</v>
      </c>
      <c r="T29" s="123">
        <v>2.7999999999999997E-2</v>
      </c>
      <c r="U29" s="107">
        <v>2.2212505465675658E-2</v>
      </c>
      <c r="V29" s="107">
        <v>8.4695012404825132E-3</v>
      </c>
      <c r="W29" s="107">
        <v>-1.6118086189345071E-3</v>
      </c>
      <c r="X29" s="107">
        <v>2E-3</v>
      </c>
      <c r="Y29" s="107">
        <v>1.1000000000000001E-2</v>
      </c>
      <c r="Z29" s="107">
        <v>1.3000000000000001E-2</v>
      </c>
      <c r="AA29" s="107">
        <v>1.4999999999999999E-2</v>
      </c>
      <c r="AB29" s="107">
        <v>1.3000000000000001E-2</v>
      </c>
      <c r="AC29" s="107">
        <v>-3.0000000000000001E-3</v>
      </c>
      <c r="AD29" s="107">
        <v>0.05</v>
      </c>
      <c r="AE29" s="107">
        <v>9.1999999999999998E-2</v>
      </c>
      <c r="AF29" s="107">
        <v>4.1286924900720598E-2</v>
      </c>
      <c r="AG29" s="107">
        <v>1.3579380964055475E-2</v>
      </c>
      <c r="AH29" s="107">
        <v>2.0591825005557639E-2</v>
      </c>
      <c r="AI29" s="107">
        <f>AH29</f>
        <v>2.0591825005557639E-2</v>
      </c>
      <c r="AJ29" s="107">
        <v>2.0591825005557673E-2</v>
      </c>
      <c r="AK29" s="107">
        <f t="shared" ref="AK29:BG29" si="34">AJ29</f>
        <v>2.0591825005557673E-2</v>
      </c>
      <c r="AL29" s="107">
        <f t="shared" si="34"/>
        <v>2.0591825005557673E-2</v>
      </c>
      <c r="AM29" s="107">
        <f t="shared" si="34"/>
        <v>2.0591825005557673E-2</v>
      </c>
      <c r="AN29" s="107">
        <f t="shared" si="34"/>
        <v>2.0591825005557673E-2</v>
      </c>
      <c r="AO29" s="107">
        <f t="shared" si="34"/>
        <v>2.0591825005557673E-2</v>
      </c>
      <c r="AP29" s="107">
        <f t="shared" si="34"/>
        <v>2.0591825005557673E-2</v>
      </c>
      <c r="AQ29" s="107">
        <f t="shared" si="34"/>
        <v>2.0591825005557673E-2</v>
      </c>
      <c r="AR29" s="107">
        <f t="shared" si="34"/>
        <v>2.0591825005557673E-2</v>
      </c>
      <c r="AS29" s="107">
        <f t="shared" si="34"/>
        <v>2.0591825005557673E-2</v>
      </c>
      <c r="AT29" s="107">
        <f t="shared" si="34"/>
        <v>2.0591825005557673E-2</v>
      </c>
      <c r="AU29" s="107">
        <f t="shared" si="34"/>
        <v>2.0591825005557673E-2</v>
      </c>
      <c r="AV29" s="107">
        <f t="shared" si="34"/>
        <v>2.0591825005557673E-2</v>
      </c>
      <c r="AW29" s="107">
        <f t="shared" si="34"/>
        <v>2.0591825005557673E-2</v>
      </c>
      <c r="AX29" s="107">
        <f t="shared" si="34"/>
        <v>2.0591825005557673E-2</v>
      </c>
      <c r="AY29" s="107">
        <f t="shared" si="34"/>
        <v>2.0591825005557673E-2</v>
      </c>
      <c r="AZ29" s="107">
        <f t="shared" si="34"/>
        <v>2.0591825005557673E-2</v>
      </c>
      <c r="BA29" s="107">
        <f t="shared" si="34"/>
        <v>2.0591825005557673E-2</v>
      </c>
      <c r="BB29" s="107">
        <f t="shared" si="34"/>
        <v>2.0591825005557673E-2</v>
      </c>
      <c r="BC29" s="107">
        <f t="shared" si="34"/>
        <v>2.0591825005557673E-2</v>
      </c>
      <c r="BD29" s="107">
        <f t="shared" si="34"/>
        <v>2.0591825005557673E-2</v>
      </c>
      <c r="BE29" s="107">
        <f t="shared" si="34"/>
        <v>2.0591825005557673E-2</v>
      </c>
      <c r="BF29" s="107">
        <f t="shared" si="34"/>
        <v>2.0591825005557673E-2</v>
      </c>
      <c r="BG29" s="107">
        <f t="shared" si="34"/>
        <v>2.0591825005557673E-2</v>
      </c>
    </row>
    <row r="30" spans="1:59" ht="13.75" customHeight="1">
      <c r="A30" s="141" t="s">
        <v>86</v>
      </c>
      <c r="B30" s="170"/>
      <c r="C30" s="170"/>
      <c r="D30" s="170" t="s">
        <v>92</v>
      </c>
      <c r="E30" s="168"/>
      <c r="F30" s="168" t="s">
        <v>137</v>
      </c>
      <c r="G30" s="168" t="s">
        <v>3</v>
      </c>
      <c r="I30" s="168" t="s">
        <v>134</v>
      </c>
      <c r="J30" s="123">
        <v>-5.0000000000000001E-3</v>
      </c>
      <c r="K30" s="123">
        <v>1.4999999999999999E-2</v>
      </c>
      <c r="L30" s="123">
        <v>0.01</v>
      </c>
      <c r="M30" s="123">
        <v>3.7000000000000005E-2</v>
      </c>
      <c r="N30" s="123">
        <v>4.4999999999999998E-2</v>
      </c>
      <c r="O30" s="123">
        <v>3.7999999999999999E-2</v>
      </c>
      <c r="P30" s="123">
        <v>4.4000000000000004E-2</v>
      </c>
      <c r="Q30" s="123">
        <v>1.4999999999999999E-2</v>
      </c>
      <c r="R30" s="123">
        <v>-0.03</v>
      </c>
      <c r="S30" s="123">
        <v>0.05</v>
      </c>
      <c r="T30" s="123">
        <v>4.4000000000000004E-2</v>
      </c>
      <c r="U30" s="107">
        <v>2.4E-2</v>
      </c>
      <c r="V30" s="107">
        <v>-1E-3</v>
      </c>
      <c r="W30" s="107">
        <v>-1.2999999999999999E-2</v>
      </c>
      <c r="X30" s="107">
        <v>-1.9E-2</v>
      </c>
      <c r="Y30" s="107">
        <v>-1.0999999999999999E-2</v>
      </c>
      <c r="Z30" s="107">
        <v>2.2000000000000002E-2</v>
      </c>
      <c r="AA30" s="107">
        <v>3.1E-2</v>
      </c>
      <c r="AB30" s="107">
        <v>-6.9999999999999993E-3</v>
      </c>
      <c r="AC30" s="107">
        <v>-1.1000000000000001E-2</v>
      </c>
      <c r="AD30" s="107">
        <v>0.23699999999999999</v>
      </c>
      <c r="AE30" s="107">
        <f>AE29</f>
        <v>9.1999999999999998E-2</v>
      </c>
      <c r="AF30" s="107">
        <f t="shared" ref="AF30" si="35">AF29</f>
        <v>4.1286924900720598E-2</v>
      </c>
      <c r="AG30" s="107">
        <f>AG29</f>
        <v>1.3579380964055475E-2</v>
      </c>
      <c r="AH30" s="107">
        <f t="shared" ref="AH30:BG30" si="36">AH29</f>
        <v>2.0591825005557639E-2</v>
      </c>
      <c r="AI30" s="107">
        <f t="shared" si="36"/>
        <v>2.0591825005557639E-2</v>
      </c>
      <c r="AJ30" s="107">
        <f t="shared" si="36"/>
        <v>2.0591825005557673E-2</v>
      </c>
      <c r="AK30" s="107">
        <f t="shared" si="36"/>
        <v>2.0591825005557673E-2</v>
      </c>
      <c r="AL30" s="107">
        <f t="shared" si="36"/>
        <v>2.0591825005557673E-2</v>
      </c>
      <c r="AM30" s="107">
        <f t="shared" si="36"/>
        <v>2.0591825005557673E-2</v>
      </c>
      <c r="AN30" s="107">
        <f t="shared" si="36"/>
        <v>2.0591825005557673E-2</v>
      </c>
      <c r="AO30" s="107">
        <f t="shared" si="36"/>
        <v>2.0591825005557673E-2</v>
      </c>
      <c r="AP30" s="107">
        <f t="shared" si="36"/>
        <v>2.0591825005557673E-2</v>
      </c>
      <c r="AQ30" s="107">
        <f t="shared" si="36"/>
        <v>2.0591825005557673E-2</v>
      </c>
      <c r="AR30" s="107">
        <f t="shared" si="36"/>
        <v>2.0591825005557673E-2</v>
      </c>
      <c r="AS30" s="107">
        <f t="shared" si="36"/>
        <v>2.0591825005557673E-2</v>
      </c>
      <c r="AT30" s="107">
        <f t="shared" si="36"/>
        <v>2.0591825005557673E-2</v>
      </c>
      <c r="AU30" s="107">
        <f t="shared" si="36"/>
        <v>2.0591825005557673E-2</v>
      </c>
      <c r="AV30" s="107">
        <f t="shared" si="36"/>
        <v>2.0591825005557673E-2</v>
      </c>
      <c r="AW30" s="107">
        <f t="shared" si="36"/>
        <v>2.0591825005557673E-2</v>
      </c>
      <c r="AX30" s="107">
        <f t="shared" si="36"/>
        <v>2.0591825005557673E-2</v>
      </c>
      <c r="AY30" s="107">
        <f t="shared" si="36"/>
        <v>2.0591825005557673E-2</v>
      </c>
      <c r="AZ30" s="107">
        <f t="shared" si="36"/>
        <v>2.0591825005557673E-2</v>
      </c>
      <c r="BA30" s="107">
        <f t="shared" si="36"/>
        <v>2.0591825005557673E-2</v>
      </c>
      <c r="BB30" s="107">
        <f t="shared" si="36"/>
        <v>2.0591825005557673E-2</v>
      </c>
      <c r="BC30" s="107">
        <f t="shared" si="36"/>
        <v>2.0591825005557673E-2</v>
      </c>
      <c r="BD30" s="107">
        <f t="shared" si="36"/>
        <v>2.0591825005557673E-2</v>
      </c>
      <c r="BE30" s="107">
        <f t="shared" si="36"/>
        <v>2.0591825005557673E-2</v>
      </c>
      <c r="BF30" s="107">
        <f t="shared" si="36"/>
        <v>2.0591825005557673E-2</v>
      </c>
      <c r="BG30" s="107">
        <f t="shared" si="36"/>
        <v>2.0591825005557673E-2</v>
      </c>
    </row>
    <row r="31" spans="1:59" ht="13.75" customHeight="1">
      <c r="A31" s="141" t="s">
        <v>86</v>
      </c>
      <c r="B31" s="170"/>
      <c r="C31" s="170"/>
      <c r="D31" s="170" t="s">
        <v>110</v>
      </c>
      <c r="E31" s="168"/>
      <c r="F31" s="168" t="s">
        <v>138</v>
      </c>
      <c r="G31" s="168" t="s">
        <v>3</v>
      </c>
      <c r="H31" s="168"/>
      <c r="I31" s="168" t="s">
        <v>139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7">
        <v>5.0999999999999997E-2</v>
      </c>
      <c r="V31" s="107">
        <v>5.0999999999999997E-2</v>
      </c>
      <c r="W31" s="107">
        <v>5.0999999999999997E-2</v>
      </c>
      <c r="X31" s="108">
        <v>5.0999999999999997E-2</v>
      </c>
      <c r="Y31" s="107">
        <v>5.0999999999999997E-2</v>
      </c>
      <c r="Z31" s="107">
        <v>5.0999999999999997E-2</v>
      </c>
      <c r="AA31" s="107">
        <v>5.0999999999999997E-2</v>
      </c>
      <c r="AB31" s="107">
        <v>5.0999999999999997E-2</v>
      </c>
      <c r="AC31" s="107">
        <v>5.0999999999999997E-2</v>
      </c>
      <c r="AD31" s="107">
        <v>5.0999999999999997E-2</v>
      </c>
      <c r="AE31" s="107">
        <f t="shared" ref="AE31:AT37" si="37">AD31</f>
        <v>5.0999999999999997E-2</v>
      </c>
      <c r="AF31" s="107">
        <f t="shared" si="37"/>
        <v>5.0999999999999997E-2</v>
      </c>
      <c r="AG31" s="107">
        <f t="shared" si="37"/>
        <v>5.0999999999999997E-2</v>
      </c>
      <c r="AH31" s="107">
        <f t="shared" si="37"/>
        <v>5.0999999999999997E-2</v>
      </c>
      <c r="AI31" s="107">
        <f t="shared" si="37"/>
        <v>5.0999999999999997E-2</v>
      </c>
      <c r="AJ31" s="107">
        <f t="shared" si="37"/>
        <v>5.0999999999999997E-2</v>
      </c>
      <c r="AK31" s="107">
        <f t="shared" si="37"/>
        <v>5.0999999999999997E-2</v>
      </c>
      <c r="AL31" s="107">
        <f t="shared" si="37"/>
        <v>5.0999999999999997E-2</v>
      </c>
      <c r="AM31" s="107">
        <f t="shared" si="37"/>
        <v>5.0999999999999997E-2</v>
      </c>
      <c r="AN31" s="107">
        <f t="shared" si="37"/>
        <v>5.0999999999999997E-2</v>
      </c>
      <c r="AO31" s="107">
        <f t="shared" si="37"/>
        <v>5.0999999999999997E-2</v>
      </c>
      <c r="AP31" s="107">
        <f t="shared" si="37"/>
        <v>5.0999999999999997E-2</v>
      </c>
      <c r="AQ31" s="107">
        <f t="shared" si="37"/>
        <v>5.0999999999999997E-2</v>
      </c>
      <c r="AR31" s="107">
        <f t="shared" si="37"/>
        <v>5.0999999999999997E-2</v>
      </c>
      <c r="AS31" s="107">
        <f t="shared" si="37"/>
        <v>5.0999999999999997E-2</v>
      </c>
      <c r="AT31" s="107">
        <f t="shared" si="37"/>
        <v>5.0999999999999997E-2</v>
      </c>
      <c r="AU31" s="107">
        <f t="shared" ref="AU31:BG37" si="38">AT31</f>
        <v>5.0999999999999997E-2</v>
      </c>
      <c r="AV31" s="107">
        <f t="shared" si="38"/>
        <v>5.0999999999999997E-2</v>
      </c>
      <c r="AW31" s="107">
        <f t="shared" si="38"/>
        <v>5.0999999999999997E-2</v>
      </c>
      <c r="AX31" s="107">
        <f t="shared" si="38"/>
        <v>5.0999999999999997E-2</v>
      </c>
      <c r="AY31" s="107">
        <f t="shared" si="38"/>
        <v>5.0999999999999997E-2</v>
      </c>
      <c r="AZ31" s="107">
        <f t="shared" si="38"/>
        <v>5.0999999999999997E-2</v>
      </c>
      <c r="BA31" s="107">
        <f t="shared" si="38"/>
        <v>5.0999999999999997E-2</v>
      </c>
      <c r="BB31" s="107">
        <f t="shared" si="38"/>
        <v>5.0999999999999997E-2</v>
      </c>
      <c r="BC31" s="107">
        <f t="shared" si="38"/>
        <v>5.0999999999999997E-2</v>
      </c>
      <c r="BD31" s="107">
        <f t="shared" si="38"/>
        <v>5.0999999999999997E-2</v>
      </c>
      <c r="BE31" s="107">
        <f t="shared" si="38"/>
        <v>5.0999999999999997E-2</v>
      </c>
      <c r="BF31" s="107">
        <f t="shared" si="38"/>
        <v>5.0999999999999997E-2</v>
      </c>
      <c r="BG31" s="107">
        <f t="shared" si="38"/>
        <v>5.0999999999999997E-2</v>
      </c>
    </row>
    <row r="32" spans="1:59" ht="13.75" customHeight="1">
      <c r="A32" s="141" t="s">
        <v>86</v>
      </c>
      <c r="B32" s="170"/>
      <c r="C32" s="170"/>
      <c r="D32" s="170" t="s">
        <v>110</v>
      </c>
      <c r="E32" s="168"/>
      <c r="F32" s="168" t="s">
        <v>140</v>
      </c>
      <c r="G32" s="168" t="s">
        <v>3</v>
      </c>
      <c r="H32" s="168"/>
      <c r="I32" s="168" t="s">
        <v>139</v>
      </c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7">
        <v>2.9000000000000001E-2</v>
      </c>
      <c r="V32" s="107">
        <v>2.9000000000000001E-2</v>
      </c>
      <c r="W32" s="107">
        <v>2.9000000000000001E-2</v>
      </c>
      <c r="X32" s="108">
        <v>2.9000000000000001E-2</v>
      </c>
      <c r="Y32" s="107">
        <v>2.9000000000000001E-2</v>
      </c>
      <c r="Z32" s="107">
        <v>2.9000000000000001E-2</v>
      </c>
      <c r="AA32" s="107">
        <v>2.9000000000000001E-2</v>
      </c>
      <c r="AB32" s="107">
        <v>2.9000000000000001E-2</v>
      </c>
      <c r="AC32" s="107">
        <v>2.9000000000000001E-2</v>
      </c>
      <c r="AD32" s="107">
        <v>2.9000000000000001E-2</v>
      </c>
      <c r="AE32" s="107">
        <f t="shared" si="37"/>
        <v>2.9000000000000001E-2</v>
      </c>
      <c r="AF32" s="107">
        <f t="shared" si="37"/>
        <v>2.9000000000000001E-2</v>
      </c>
      <c r="AG32" s="107">
        <f t="shared" si="37"/>
        <v>2.9000000000000001E-2</v>
      </c>
      <c r="AH32" s="107">
        <f t="shared" si="37"/>
        <v>2.9000000000000001E-2</v>
      </c>
      <c r="AI32" s="107">
        <f t="shared" si="37"/>
        <v>2.9000000000000001E-2</v>
      </c>
      <c r="AJ32" s="107">
        <f t="shared" si="37"/>
        <v>2.9000000000000001E-2</v>
      </c>
      <c r="AK32" s="107">
        <f t="shared" si="37"/>
        <v>2.9000000000000001E-2</v>
      </c>
      <c r="AL32" s="107">
        <f t="shared" si="37"/>
        <v>2.9000000000000001E-2</v>
      </c>
      <c r="AM32" s="107">
        <f t="shared" si="37"/>
        <v>2.9000000000000001E-2</v>
      </c>
      <c r="AN32" s="107">
        <f t="shared" si="37"/>
        <v>2.9000000000000001E-2</v>
      </c>
      <c r="AO32" s="107">
        <f t="shared" si="37"/>
        <v>2.9000000000000001E-2</v>
      </c>
      <c r="AP32" s="107">
        <f t="shared" si="37"/>
        <v>2.9000000000000001E-2</v>
      </c>
      <c r="AQ32" s="107">
        <f t="shared" si="37"/>
        <v>2.9000000000000001E-2</v>
      </c>
      <c r="AR32" s="107">
        <f t="shared" si="37"/>
        <v>2.9000000000000001E-2</v>
      </c>
      <c r="AS32" s="107">
        <f t="shared" si="37"/>
        <v>2.9000000000000001E-2</v>
      </c>
      <c r="AT32" s="107">
        <f t="shared" si="37"/>
        <v>2.9000000000000001E-2</v>
      </c>
      <c r="AU32" s="107">
        <f t="shared" si="38"/>
        <v>2.9000000000000001E-2</v>
      </c>
      <c r="AV32" s="107">
        <f t="shared" si="38"/>
        <v>2.9000000000000001E-2</v>
      </c>
      <c r="AW32" s="107">
        <f t="shared" si="38"/>
        <v>2.9000000000000001E-2</v>
      </c>
      <c r="AX32" s="107">
        <f t="shared" si="38"/>
        <v>2.9000000000000001E-2</v>
      </c>
      <c r="AY32" s="107">
        <f t="shared" si="38"/>
        <v>2.9000000000000001E-2</v>
      </c>
      <c r="AZ32" s="107">
        <f t="shared" si="38"/>
        <v>2.9000000000000001E-2</v>
      </c>
      <c r="BA32" s="107">
        <f t="shared" si="38"/>
        <v>2.9000000000000001E-2</v>
      </c>
      <c r="BB32" s="107">
        <f t="shared" si="38"/>
        <v>2.9000000000000001E-2</v>
      </c>
      <c r="BC32" s="107">
        <f t="shared" si="38"/>
        <v>2.9000000000000001E-2</v>
      </c>
      <c r="BD32" s="107">
        <f t="shared" si="38"/>
        <v>2.9000000000000001E-2</v>
      </c>
      <c r="BE32" s="107">
        <f t="shared" si="38"/>
        <v>2.9000000000000001E-2</v>
      </c>
      <c r="BF32" s="107">
        <f t="shared" si="38"/>
        <v>2.9000000000000001E-2</v>
      </c>
      <c r="BG32" s="107">
        <f t="shared" si="38"/>
        <v>2.9000000000000001E-2</v>
      </c>
    </row>
    <row r="33" spans="1:59" ht="13.75" customHeight="1">
      <c r="A33" s="141" t="s">
        <v>86</v>
      </c>
      <c r="B33" s="170"/>
      <c r="C33" s="170"/>
      <c r="D33" s="170" t="s">
        <v>110</v>
      </c>
      <c r="E33" s="168"/>
      <c r="F33" s="168" t="s">
        <v>141</v>
      </c>
      <c r="G33" s="168" t="s">
        <v>3</v>
      </c>
      <c r="H33" s="168"/>
      <c r="I33" s="168" t="s">
        <v>139</v>
      </c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7">
        <v>0.22</v>
      </c>
      <c r="V33" s="107">
        <v>0.22</v>
      </c>
      <c r="W33" s="107">
        <v>0.22</v>
      </c>
      <c r="X33" s="108">
        <v>0.22</v>
      </c>
      <c r="Y33" s="107">
        <v>0.22</v>
      </c>
      <c r="Z33" s="107">
        <v>0.22</v>
      </c>
      <c r="AA33" s="107">
        <v>0.22</v>
      </c>
      <c r="AB33" s="107">
        <v>0.22</v>
      </c>
      <c r="AC33" s="107">
        <v>0.22</v>
      </c>
      <c r="AD33" s="107">
        <v>0.22</v>
      </c>
      <c r="AE33" s="107">
        <f t="shared" si="37"/>
        <v>0.22</v>
      </c>
      <c r="AF33" s="107">
        <f t="shared" si="37"/>
        <v>0.22</v>
      </c>
      <c r="AG33" s="107">
        <f t="shared" si="37"/>
        <v>0.22</v>
      </c>
      <c r="AH33" s="107">
        <f t="shared" si="37"/>
        <v>0.22</v>
      </c>
      <c r="AI33" s="107">
        <f t="shared" si="37"/>
        <v>0.22</v>
      </c>
      <c r="AJ33" s="107">
        <f t="shared" si="37"/>
        <v>0.22</v>
      </c>
      <c r="AK33" s="107">
        <f t="shared" si="37"/>
        <v>0.22</v>
      </c>
      <c r="AL33" s="107">
        <f t="shared" si="37"/>
        <v>0.22</v>
      </c>
      <c r="AM33" s="107">
        <f t="shared" si="37"/>
        <v>0.22</v>
      </c>
      <c r="AN33" s="107">
        <f t="shared" si="37"/>
        <v>0.22</v>
      </c>
      <c r="AO33" s="107">
        <f t="shared" si="37"/>
        <v>0.22</v>
      </c>
      <c r="AP33" s="107">
        <f t="shared" si="37"/>
        <v>0.22</v>
      </c>
      <c r="AQ33" s="107">
        <f t="shared" si="37"/>
        <v>0.22</v>
      </c>
      <c r="AR33" s="107">
        <f t="shared" si="37"/>
        <v>0.22</v>
      </c>
      <c r="AS33" s="107">
        <f t="shared" si="37"/>
        <v>0.22</v>
      </c>
      <c r="AT33" s="107">
        <f t="shared" si="37"/>
        <v>0.22</v>
      </c>
      <c r="AU33" s="107">
        <f t="shared" si="38"/>
        <v>0.22</v>
      </c>
      <c r="AV33" s="107">
        <f t="shared" si="38"/>
        <v>0.22</v>
      </c>
      <c r="AW33" s="107">
        <f t="shared" si="38"/>
        <v>0.22</v>
      </c>
      <c r="AX33" s="107">
        <f t="shared" si="38"/>
        <v>0.22</v>
      </c>
      <c r="AY33" s="107">
        <f t="shared" si="38"/>
        <v>0.22</v>
      </c>
      <c r="AZ33" s="107">
        <f t="shared" si="38"/>
        <v>0.22</v>
      </c>
      <c r="BA33" s="107">
        <f t="shared" si="38"/>
        <v>0.22</v>
      </c>
      <c r="BB33" s="107">
        <f t="shared" si="38"/>
        <v>0.22</v>
      </c>
      <c r="BC33" s="107">
        <f t="shared" si="38"/>
        <v>0.22</v>
      </c>
      <c r="BD33" s="107">
        <f t="shared" si="38"/>
        <v>0.22</v>
      </c>
      <c r="BE33" s="107">
        <f t="shared" si="38"/>
        <v>0.22</v>
      </c>
      <c r="BF33" s="107">
        <f t="shared" si="38"/>
        <v>0.22</v>
      </c>
      <c r="BG33" s="107">
        <f t="shared" si="38"/>
        <v>0.22</v>
      </c>
    </row>
    <row r="34" spans="1:59" ht="13.75" customHeight="1">
      <c r="A34" s="141" t="s">
        <v>86</v>
      </c>
      <c r="B34" s="170"/>
      <c r="C34" s="170"/>
      <c r="D34" s="170" t="s">
        <v>110</v>
      </c>
      <c r="E34" s="168"/>
      <c r="F34" s="168" t="s">
        <v>142</v>
      </c>
      <c r="G34" s="168" t="s">
        <v>3</v>
      </c>
      <c r="H34" s="168"/>
      <c r="I34" s="168" t="s">
        <v>139</v>
      </c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7">
        <v>0.2</v>
      </c>
      <c r="V34" s="107">
        <v>0.2</v>
      </c>
      <c r="W34" s="107">
        <v>0.2</v>
      </c>
      <c r="X34" s="108">
        <v>0.2</v>
      </c>
      <c r="Y34" s="107">
        <v>0.2</v>
      </c>
      <c r="Z34" s="107">
        <v>0.2</v>
      </c>
      <c r="AA34" s="107">
        <v>0.2</v>
      </c>
      <c r="AB34" s="107">
        <v>0.2</v>
      </c>
      <c r="AC34" s="107">
        <v>0.2</v>
      </c>
      <c r="AD34" s="107">
        <v>0.2</v>
      </c>
      <c r="AE34" s="107">
        <f t="shared" si="37"/>
        <v>0.2</v>
      </c>
      <c r="AF34" s="107">
        <f t="shared" si="37"/>
        <v>0.2</v>
      </c>
      <c r="AG34" s="107">
        <f t="shared" si="37"/>
        <v>0.2</v>
      </c>
      <c r="AH34" s="107">
        <f t="shared" si="37"/>
        <v>0.2</v>
      </c>
      <c r="AI34" s="107">
        <f t="shared" si="37"/>
        <v>0.2</v>
      </c>
      <c r="AJ34" s="107">
        <f t="shared" si="37"/>
        <v>0.2</v>
      </c>
      <c r="AK34" s="107">
        <f t="shared" si="37"/>
        <v>0.2</v>
      </c>
      <c r="AL34" s="107">
        <f t="shared" si="37"/>
        <v>0.2</v>
      </c>
      <c r="AM34" s="107">
        <f t="shared" si="37"/>
        <v>0.2</v>
      </c>
      <c r="AN34" s="107">
        <f t="shared" si="37"/>
        <v>0.2</v>
      </c>
      <c r="AO34" s="107">
        <f t="shared" si="37"/>
        <v>0.2</v>
      </c>
      <c r="AP34" s="107">
        <f t="shared" si="37"/>
        <v>0.2</v>
      </c>
      <c r="AQ34" s="107">
        <f t="shared" si="37"/>
        <v>0.2</v>
      </c>
      <c r="AR34" s="107">
        <f t="shared" si="37"/>
        <v>0.2</v>
      </c>
      <c r="AS34" s="107">
        <f t="shared" si="37"/>
        <v>0.2</v>
      </c>
      <c r="AT34" s="107">
        <f t="shared" si="37"/>
        <v>0.2</v>
      </c>
      <c r="AU34" s="107">
        <f t="shared" si="38"/>
        <v>0.2</v>
      </c>
      <c r="AV34" s="107">
        <f t="shared" si="38"/>
        <v>0.2</v>
      </c>
      <c r="AW34" s="107">
        <f t="shared" si="38"/>
        <v>0.2</v>
      </c>
      <c r="AX34" s="107">
        <f t="shared" si="38"/>
        <v>0.2</v>
      </c>
      <c r="AY34" s="107">
        <f t="shared" si="38"/>
        <v>0.2</v>
      </c>
      <c r="AZ34" s="107">
        <f t="shared" si="38"/>
        <v>0.2</v>
      </c>
      <c r="BA34" s="107">
        <f t="shared" si="38"/>
        <v>0.2</v>
      </c>
      <c r="BB34" s="107">
        <f t="shared" si="38"/>
        <v>0.2</v>
      </c>
      <c r="BC34" s="107">
        <f t="shared" si="38"/>
        <v>0.2</v>
      </c>
      <c r="BD34" s="107">
        <f t="shared" si="38"/>
        <v>0.2</v>
      </c>
      <c r="BE34" s="107">
        <f t="shared" si="38"/>
        <v>0.2</v>
      </c>
      <c r="BF34" s="107">
        <f t="shared" si="38"/>
        <v>0.2</v>
      </c>
      <c r="BG34" s="107">
        <f t="shared" si="38"/>
        <v>0.2</v>
      </c>
    </row>
    <row r="35" spans="1:59" ht="13.75" customHeight="1">
      <c r="A35" s="141" t="s">
        <v>86</v>
      </c>
      <c r="B35" s="170"/>
      <c r="C35" s="170"/>
      <c r="D35" s="170" t="s">
        <v>87</v>
      </c>
      <c r="E35" s="168"/>
      <c r="F35" s="168" t="s">
        <v>143</v>
      </c>
      <c r="G35" s="168" t="s">
        <v>144</v>
      </c>
      <c r="H35" s="168"/>
      <c r="I35" s="168" t="s">
        <v>145</v>
      </c>
      <c r="J35" s="147">
        <v>0.89559999999999995</v>
      </c>
      <c r="K35" s="147">
        <v>0.9456</v>
      </c>
      <c r="L35" s="147">
        <v>1.1312</v>
      </c>
      <c r="M35" s="147">
        <v>1.2439</v>
      </c>
      <c r="N35" s="147">
        <v>1.2441</v>
      </c>
      <c r="O35" s="147">
        <v>1.2556</v>
      </c>
      <c r="P35" s="147">
        <v>1.3705000000000001</v>
      </c>
      <c r="Q35" s="147">
        <v>1.4708000000000001</v>
      </c>
      <c r="R35" s="147">
        <v>1.3948</v>
      </c>
      <c r="S35" s="147">
        <v>1.3257000000000001</v>
      </c>
      <c r="T35" s="147">
        <v>1.3919999999999999</v>
      </c>
      <c r="U35" s="112"/>
      <c r="V35" s="112"/>
      <c r="W35" s="111">
        <v>1.32</v>
      </c>
      <c r="X35" s="111">
        <v>1.109844890109889</v>
      </c>
      <c r="Y35" s="111">
        <v>1.1075316927665921</v>
      </c>
      <c r="Z35" s="113">
        <v>1.1301777562326867</v>
      </c>
      <c r="AA35" s="113">
        <v>1.1806945454545457</v>
      </c>
      <c r="AB35" s="113">
        <v>1.1073</v>
      </c>
      <c r="AC35" s="113">
        <v>1.1411540665294917</v>
      </c>
      <c r="AD35" s="113">
        <v>1.1837660361966427</v>
      </c>
      <c r="AE35" s="113">
        <v>1.0516478335744384</v>
      </c>
      <c r="AF35" s="113">
        <v>1.0780686989940289</v>
      </c>
      <c r="AG35" s="113">
        <v>1.1066666666666669</v>
      </c>
      <c r="AH35" s="113">
        <v>1.1100000000000001</v>
      </c>
      <c r="AI35" s="113">
        <v>1.1100000000000001</v>
      </c>
      <c r="AJ35" s="113">
        <f>AI35</f>
        <v>1.1100000000000001</v>
      </c>
      <c r="AK35" s="113">
        <f t="shared" si="37"/>
        <v>1.1100000000000001</v>
      </c>
      <c r="AL35" s="113">
        <f t="shared" si="37"/>
        <v>1.1100000000000001</v>
      </c>
      <c r="AM35" s="113">
        <f t="shared" si="37"/>
        <v>1.1100000000000001</v>
      </c>
      <c r="AN35" s="113">
        <f t="shared" si="37"/>
        <v>1.1100000000000001</v>
      </c>
      <c r="AO35" s="113">
        <f t="shared" si="37"/>
        <v>1.1100000000000001</v>
      </c>
      <c r="AP35" s="113">
        <f t="shared" si="37"/>
        <v>1.1100000000000001</v>
      </c>
      <c r="AQ35" s="113">
        <f t="shared" si="37"/>
        <v>1.1100000000000001</v>
      </c>
      <c r="AR35" s="113">
        <f t="shared" si="37"/>
        <v>1.1100000000000001</v>
      </c>
      <c r="AS35" s="113">
        <f t="shared" si="37"/>
        <v>1.1100000000000001</v>
      </c>
      <c r="AT35" s="113">
        <f t="shared" si="37"/>
        <v>1.1100000000000001</v>
      </c>
      <c r="AU35" s="113">
        <f t="shared" si="38"/>
        <v>1.1100000000000001</v>
      </c>
      <c r="AV35" s="113">
        <f t="shared" si="38"/>
        <v>1.1100000000000001</v>
      </c>
      <c r="AW35" s="113">
        <f t="shared" si="38"/>
        <v>1.1100000000000001</v>
      </c>
      <c r="AX35" s="113">
        <f t="shared" si="38"/>
        <v>1.1100000000000001</v>
      </c>
      <c r="AY35" s="113">
        <f t="shared" si="38"/>
        <v>1.1100000000000001</v>
      </c>
      <c r="AZ35" s="113">
        <f t="shared" si="38"/>
        <v>1.1100000000000001</v>
      </c>
      <c r="BA35" s="113">
        <f t="shared" si="38"/>
        <v>1.1100000000000001</v>
      </c>
      <c r="BB35" s="113">
        <f t="shared" si="38"/>
        <v>1.1100000000000001</v>
      </c>
      <c r="BC35" s="113">
        <f t="shared" si="38"/>
        <v>1.1100000000000001</v>
      </c>
      <c r="BD35" s="113">
        <f t="shared" si="38"/>
        <v>1.1100000000000001</v>
      </c>
      <c r="BE35" s="113">
        <f t="shared" si="38"/>
        <v>1.1100000000000001</v>
      </c>
      <c r="BF35" s="113">
        <f t="shared" si="38"/>
        <v>1.1100000000000001</v>
      </c>
      <c r="BG35" s="113">
        <f t="shared" si="38"/>
        <v>1.1100000000000001</v>
      </c>
    </row>
    <row r="36" spans="1:59" ht="13.75" customHeight="1">
      <c r="A36" s="141" t="s">
        <v>86</v>
      </c>
      <c r="B36" s="170"/>
      <c r="C36" s="170"/>
      <c r="D36" s="170" t="s">
        <v>98</v>
      </c>
      <c r="E36" s="168"/>
      <c r="F36" s="168" t="s">
        <v>146</v>
      </c>
      <c r="G36" s="168" t="s">
        <v>144</v>
      </c>
      <c r="H36" s="168"/>
      <c r="I36" s="168"/>
      <c r="J36" s="147">
        <v>0.88129999999999997</v>
      </c>
      <c r="K36" s="147">
        <v>1.0487</v>
      </c>
      <c r="L36" s="147">
        <v>1.2629999999999999</v>
      </c>
      <c r="M36" s="147">
        <v>1.3621000000000001</v>
      </c>
      <c r="N36" s="147">
        <v>1.1797</v>
      </c>
      <c r="O36" s="147">
        <v>1.3169999999999999</v>
      </c>
      <c r="P36" s="147">
        <v>1.4721</v>
      </c>
      <c r="Q36" s="147">
        <v>1.3916999999999999</v>
      </c>
      <c r="R36" s="147">
        <v>1.4406000000000001</v>
      </c>
      <c r="S36" s="147">
        <v>1.3362000000000001</v>
      </c>
      <c r="T36" s="147">
        <v>1.2939000000000001</v>
      </c>
      <c r="U36" s="111">
        <v>1.3193999999999999</v>
      </c>
      <c r="V36" s="111">
        <v>1.3791</v>
      </c>
      <c r="W36" s="111">
        <v>1.2141</v>
      </c>
      <c r="X36" s="111">
        <v>1.0865499999999999</v>
      </c>
      <c r="Y36" s="111">
        <v>1.0516000000000001</v>
      </c>
      <c r="Z36" s="113">
        <v>1.1994</v>
      </c>
      <c r="AA36" s="113">
        <v>1.1456</v>
      </c>
      <c r="AB36" s="113">
        <v>1.1214</v>
      </c>
      <c r="AC36" s="113">
        <v>1.2217</v>
      </c>
      <c r="AD36" s="113">
        <v>1.137</v>
      </c>
      <c r="AE36" s="113">
        <f>AE35</f>
        <v>1.0516478335744384</v>
      </c>
      <c r="AF36" s="113">
        <f>AF35</f>
        <v>1.0780686989940289</v>
      </c>
      <c r="AG36" s="113">
        <f t="shared" ref="AG36" si="39">AG35</f>
        <v>1.1066666666666669</v>
      </c>
      <c r="AH36" s="113">
        <f>AG36</f>
        <v>1.1066666666666669</v>
      </c>
      <c r="AI36" s="113">
        <f t="shared" si="37"/>
        <v>1.1066666666666669</v>
      </c>
      <c r="AJ36" s="113">
        <f>AI36</f>
        <v>1.1066666666666669</v>
      </c>
      <c r="AK36" s="113">
        <f t="shared" si="37"/>
        <v>1.1066666666666669</v>
      </c>
      <c r="AL36" s="113">
        <f t="shared" si="37"/>
        <v>1.1066666666666669</v>
      </c>
      <c r="AM36" s="113">
        <f t="shared" si="37"/>
        <v>1.1066666666666669</v>
      </c>
      <c r="AN36" s="113">
        <f t="shared" si="37"/>
        <v>1.1066666666666669</v>
      </c>
      <c r="AO36" s="113">
        <f t="shared" si="37"/>
        <v>1.1066666666666669</v>
      </c>
      <c r="AP36" s="113">
        <f t="shared" si="37"/>
        <v>1.1066666666666669</v>
      </c>
      <c r="AQ36" s="113">
        <f t="shared" si="37"/>
        <v>1.1066666666666669</v>
      </c>
      <c r="AR36" s="113">
        <f t="shared" si="37"/>
        <v>1.1066666666666669</v>
      </c>
      <c r="AS36" s="113">
        <f t="shared" si="37"/>
        <v>1.1066666666666669</v>
      </c>
      <c r="AT36" s="113">
        <f t="shared" si="37"/>
        <v>1.1066666666666669</v>
      </c>
      <c r="AU36" s="113">
        <f t="shared" si="38"/>
        <v>1.1066666666666669</v>
      </c>
      <c r="AV36" s="113">
        <f t="shared" si="38"/>
        <v>1.1066666666666669</v>
      </c>
      <c r="AW36" s="113">
        <f t="shared" si="38"/>
        <v>1.1066666666666669</v>
      </c>
      <c r="AX36" s="113">
        <f t="shared" si="38"/>
        <v>1.1066666666666669</v>
      </c>
      <c r="AY36" s="113">
        <f t="shared" ref="AY36" si="40">AY35</f>
        <v>1.1100000000000001</v>
      </c>
      <c r="AZ36" s="113">
        <f>AZ35</f>
        <v>1.1100000000000001</v>
      </c>
      <c r="BA36" s="113">
        <f>BA35</f>
        <v>1.1100000000000001</v>
      </c>
      <c r="BB36" s="113">
        <f>BB35</f>
        <v>1.1100000000000001</v>
      </c>
      <c r="BC36" s="113">
        <f t="shared" ref="BC36:BG36" si="41">BC35</f>
        <v>1.1100000000000001</v>
      </c>
      <c r="BD36" s="113">
        <f t="shared" si="41"/>
        <v>1.1100000000000001</v>
      </c>
      <c r="BE36" s="113">
        <f t="shared" si="41"/>
        <v>1.1100000000000001</v>
      </c>
      <c r="BF36" s="113">
        <f t="shared" si="41"/>
        <v>1.1100000000000001</v>
      </c>
      <c r="BG36" s="113">
        <f t="shared" si="41"/>
        <v>1.1100000000000001</v>
      </c>
    </row>
    <row r="37" spans="1:59" ht="13.75" customHeight="1">
      <c r="A37" s="141" t="s">
        <v>86</v>
      </c>
      <c r="B37" s="170"/>
      <c r="C37" s="170"/>
      <c r="D37" s="170" t="s">
        <v>87</v>
      </c>
      <c r="E37" s="168"/>
      <c r="F37" s="168" t="s">
        <v>147</v>
      </c>
      <c r="G37" s="168" t="s">
        <v>3</v>
      </c>
      <c r="H37" s="168"/>
      <c r="I37" s="168" t="s">
        <v>124</v>
      </c>
      <c r="J37" s="114">
        <v>3.2500000000000001E-2</v>
      </c>
      <c r="K37" s="114">
        <v>2.75E-2</v>
      </c>
      <c r="L37" s="114">
        <v>0.02</v>
      </c>
      <c r="M37" s="114">
        <v>0.02</v>
      </c>
      <c r="N37" s="114">
        <v>2.2499999999999999E-2</v>
      </c>
      <c r="O37" s="114">
        <v>3.5000000000000003E-2</v>
      </c>
      <c r="P37" s="114">
        <v>0.04</v>
      </c>
      <c r="Q37" s="114">
        <v>2.5000000000000001E-2</v>
      </c>
      <c r="R37" s="114">
        <v>0.01</v>
      </c>
      <c r="S37" s="114">
        <v>0.01</v>
      </c>
      <c r="T37" s="114">
        <v>0.01</v>
      </c>
      <c r="U37" s="148">
        <v>7.4999999999999997E-3</v>
      </c>
      <c r="V37" s="148">
        <v>2.5000000000000001E-3</v>
      </c>
      <c r="W37" s="148">
        <v>5.0000000000000001E-4</v>
      </c>
      <c r="X37" s="110">
        <v>5.0000000000000001E-4</v>
      </c>
      <c r="Y37" s="110">
        <v>0</v>
      </c>
      <c r="Z37" s="110">
        <v>0</v>
      </c>
      <c r="AA37" s="110">
        <v>0</v>
      </c>
      <c r="AB37" s="110">
        <v>0</v>
      </c>
      <c r="AC37" s="110">
        <v>0</v>
      </c>
      <c r="AD37" s="110">
        <v>0</v>
      </c>
      <c r="AE37" s="110">
        <v>2.5000000000000001E-2</v>
      </c>
      <c r="AF37" s="110">
        <v>4.4999999999999998E-2</v>
      </c>
      <c r="AG37" s="110">
        <v>2.75E-2</v>
      </c>
      <c r="AH37" s="110">
        <v>0.02</v>
      </c>
      <c r="AI37" s="110">
        <v>1.4999999999999999E-2</v>
      </c>
      <c r="AJ37" s="110">
        <v>0.02</v>
      </c>
      <c r="AK37" s="110">
        <f t="shared" si="37"/>
        <v>0.02</v>
      </c>
      <c r="AL37" s="110">
        <f t="shared" si="37"/>
        <v>0.02</v>
      </c>
      <c r="AM37" s="110">
        <f t="shared" si="37"/>
        <v>0.02</v>
      </c>
      <c r="AN37" s="110">
        <f t="shared" si="37"/>
        <v>0.02</v>
      </c>
      <c r="AO37" s="110">
        <f t="shared" si="37"/>
        <v>0.02</v>
      </c>
      <c r="AP37" s="110">
        <f t="shared" si="37"/>
        <v>0.02</v>
      </c>
      <c r="AQ37" s="110">
        <f t="shared" si="37"/>
        <v>0.02</v>
      </c>
      <c r="AR37" s="110">
        <f t="shared" si="37"/>
        <v>0.02</v>
      </c>
      <c r="AS37" s="110">
        <f t="shared" si="37"/>
        <v>0.02</v>
      </c>
      <c r="AT37" s="110">
        <f t="shared" si="37"/>
        <v>0.02</v>
      </c>
      <c r="AU37" s="110">
        <f t="shared" si="38"/>
        <v>0.02</v>
      </c>
      <c r="AV37" s="110">
        <f t="shared" si="38"/>
        <v>0.02</v>
      </c>
      <c r="AW37" s="110">
        <f t="shared" si="38"/>
        <v>0.02</v>
      </c>
      <c r="AX37" s="110">
        <f t="shared" si="38"/>
        <v>0.02</v>
      </c>
      <c r="AY37" s="110">
        <f t="shared" si="38"/>
        <v>0.02</v>
      </c>
      <c r="AZ37" s="110">
        <f t="shared" si="38"/>
        <v>0.02</v>
      </c>
      <c r="BA37" s="110">
        <f t="shared" si="38"/>
        <v>0.02</v>
      </c>
      <c r="BB37" s="110">
        <f t="shared" si="38"/>
        <v>0.02</v>
      </c>
      <c r="BC37" s="110">
        <f t="shared" si="38"/>
        <v>0.02</v>
      </c>
      <c r="BD37" s="110">
        <f t="shared" si="38"/>
        <v>0.02</v>
      </c>
      <c r="BE37" s="110">
        <f t="shared" si="38"/>
        <v>0.02</v>
      </c>
      <c r="BF37" s="110">
        <f t="shared" si="38"/>
        <v>0.02</v>
      </c>
      <c r="BG37" s="110">
        <f t="shared" si="38"/>
        <v>0.02</v>
      </c>
    </row>
    <row r="38" spans="1:59" ht="13.75" customHeight="1">
      <c r="A38" s="141" t="s">
        <v>86</v>
      </c>
      <c r="B38" s="170"/>
      <c r="C38" s="170"/>
      <c r="D38" s="170" t="s">
        <v>98</v>
      </c>
      <c r="E38" s="168"/>
      <c r="F38" s="168" t="s">
        <v>148</v>
      </c>
      <c r="G38" s="168" t="s">
        <v>149</v>
      </c>
      <c r="H38" s="168"/>
      <c r="I38" s="168" t="s">
        <v>116</v>
      </c>
      <c r="J38" s="147">
        <v>1.4777</v>
      </c>
      <c r="K38" s="147">
        <v>1.4514</v>
      </c>
      <c r="L38" s="147">
        <v>1.5604499999999999</v>
      </c>
      <c r="M38" s="147">
        <v>1.546</v>
      </c>
      <c r="N38" s="147">
        <v>1.5561500000000001</v>
      </c>
      <c r="O38" s="147">
        <v>1.6091</v>
      </c>
      <c r="P38" s="147">
        <v>1.6536</v>
      </c>
      <c r="Q38" s="147">
        <v>1.4935800000000001</v>
      </c>
      <c r="R38" s="147">
        <v>1.4836499999999999</v>
      </c>
      <c r="S38" s="147">
        <v>1.2516099999999999</v>
      </c>
      <c r="T38" s="147">
        <v>1.21689</v>
      </c>
      <c r="U38" s="112">
        <v>1.2072000000000001</v>
      </c>
      <c r="V38" s="112">
        <v>1.2276</v>
      </c>
      <c r="W38" s="112">
        <v>1.2023999999999999</v>
      </c>
      <c r="X38" s="111">
        <v>1.0887316276537833</v>
      </c>
      <c r="Y38" s="111">
        <v>1.0740000000000001</v>
      </c>
      <c r="Z38" s="111">
        <v>1.17</v>
      </c>
      <c r="AA38" s="111">
        <v>1.127</v>
      </c>
      <c r="AB38" s="111">
        <v>1.0853999999999999</v>
      </c>
      <c r="AC38" s="111">
        <v>1.0809642200843153</v>
      </c>
      <c r="AD38" s="111">
        <v>1.0373443983402491</v>
      </c>
      <c r="AE38" s="111">
        <v>1.0649999999999999</v>
      </c>
      <c r="AF38" s="111">
        <v>1.06</v>
      </c>
      <c r="AG38" s="111">
        <v>1.06</v>
      </c>
      <c r="AH38" s="111">
        <f t="shared" ref="AH38:AX38" si="42">AH40*AH36</f>
        <v>1.005643153526971</v>
      </c>
      <c r="AI38" s="111">
        <f t="shared" si="42"/>
        <v>1.005643153526971</v>
      </c>
      <c r="AJ38" s="111">
        <f t="shared" si="42"/>
        <v>1.005643153526971</v>
      </c>
      <c r="AK38" s="111">
        <f t="shared" si="42"/>
        <v>1.005643153526971</v>
      </c>
      <c r="AL38" s="111">
        <f t="shared" si="42"/>
        <v>1.005643153526971</v>
      </c>
      <c r="AM38" s="111">
        <f t="shared" si="42"/>
        <v>1.005643153526971</v>
      </c>
      <c r="AN38" s="111">
        <f t="shared" si="42"/>
        <v>1.005643153526971</v>
      </c>
      <c r="AO38" s="111">
        <f t="shared" si="42"/>
        <v>1.005643153526971</v>
      </c>
      <c r="AP38" s="111">
        <f t="shared" si="42"/>
        <v>1.005643153526971</v>
      </c>
      <c r="AQ38" s="111">
        <f t="shared" si="42"/>
        <v>1.005643153526971</v>
      </c>
      <c r="AR38" s="111">
        <f t="shared" si="42"/>
        <v>1.005643153526971</v>
      </c>
      <c r="AS38" s="111">
        <f t="shared" si="42"/>
        <v>1.005643153526971</v>
      </c>
      <c r="AT38" s="111">
        <f t="shared" si="42"/>
        <v>1.005643153526971</v>
      </c>
      <c r="AU38" s="111">
        <f t="shared" si="42"/>
        <v>1.005643153526971</v>
      </c>
      <c r="AV38" s="111">
        <f t="shared" si="42"/>
        <v>1.005643153526971</v>
      </c>
      <c r="AW38" s="111">
        <f t="shared" si="42"/>
        <v>1.005643153526971</v>
      </c>
      <c r="AX38" s="111">
        <f t="shared" si="42"/>
        <v>1.005643153526971</v>
      </c>
      <c r="AY38" s="111">
        <f t="shared" ref="AY38:BA38" si="43">AY36*AY40</f>
        <v>1.0086721991701244</v>
      </c>
      <c r="AZ38" s="111">
        <f t="shared" si="43"/>
        <v>1.0086721991701244</v>
      </c>
      <c r="BA38" s="111">
        <f t="shared" si="43"/>
        <v>1.0086721991701244</v>
      </c>
      <c r="BB38" s="111">
        <f>BB36*BB40</f>
        <v>1.0086721991701244</v>
      </c>
      <c r="BC38" s="111">
        <f t="shared" ref="BC38:BG38" si="44">BC36*BC40</f>
        <v>1.0086721991701244</v>
      </c>
      <c r="BD38" s="111">
        <f t="shared" si="44"/>
        <v>1.0086721991701244</v>
      </c>
      <c r="BE38" s="111">
        <f t="shared" si="44"/>
        <v>1.0086721991701244</v>
      </c>
      <c r="BF38" s="111">
        <f t="shared" si="44"/>
        <v>1.0086721991701244</v>
      </c>
      <c r="BG38" s="111">
        <f t="shared" si="44"/>
        <v>1.0086721991701244</v>
      </c>
    </row>
    <row r="39" spans="1:59" ht="13.75" customHeight="1">
      <c r="A39" s="141" t="s">
        <v>86</v>
      </c>
      <c r="B39" s="170"/>
      <c r="C39" s="170"/>
      <c r="D39" s="170" t="s">
        <v>87</v>
      </c>
      <c r="E39" s="168"/>
      <c r="F39" s="168" t="s">
        <v>150</v>
      </c>
      <c r="G39" s="168" t="s">
        <v>3</v>
      </c>
      <c r="H39" s="168"/>
      <c r="I39" s="168" t="s">
        <v>151</v>
      </c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14">
        <v>5.2499999999999998E-2</v>
      </c>
      <c r="U39" s="109"/>
      <c r="V39" s="109"/>
      <c r="W39" s="131">
        <v>0.17</v>
      </c>
      <c r="X39" s="107">
        <v>0.11</v>
      </c>
      <c r="Y39" s="107">
        <v>0.1</v>
      </c>
      <c r="Z39" s="110">
        <v>7.7499999999999999E-2</v>
      </c>
      <c r="AA39" s="110">
        <v>7.7499999999999999E-2</v>
      </c>
      <c r="AB39" s="110">
        <v>6.25E-2</v>
      </c>
      <c r="AC39" s="110">
        <v>4.2500000000000003E-2</v>
      </c>
      <c r="AD39" s="110">
        <v>8.5000000000000006E-2</v>
      </c>
      <c r="AE39" s="110">
        <v>7.4999999999999997E-2</v>
      </c>
      <c r="AF39" s="110">
        <v>0.14000000000000001</v>
      </c>
      <c r="AG39" s="110">
        <v>0.08</v>
      </c>
      <c r="AH39" s="110">
        <v>0.06</v>
      </c>
      <c r="AI39" s="110">
        <v>0.06</v>
      </c>
      <c r="AJ39" s="110">
        <f t="shared" ref="AJ39:BG39" si="45">AI39</f>
        <v>0.06</v>
      </c>
      <c r="AK39" s="110">
        <f t="shared" si="45"/>
        <v>0.06</v>
      </c>
      <c r="AL39" s="110">
        <f t="shared" si="45"/>
        <v>0.06</v>
      </c>
      <c r="AM39" s="110">
        <f t="shared" si="45"/>
        <v>0.06</v>
      </c>
      <c r="AN39" s="110">
        <f t="shared" si="45"/>
        <v>0.06</v>
      </c>
      <c r="AO39" s="110">
        <f t="shared" si="45"/>
        <v>0.06</v>
      </c>
      <c r="AP39" s="110">
        <f t="shared" si="45"/>
        <v>0.06</v>
      </c>
      <c r="AQ39" s="110">
        <f t="shared" si="45"/>
        <v>0.06</v>
      </c>
      <c r="AR39" s="110">
        <f t="shared" si="45"/>
        <v>0.06</v>
      </c>
      <c r="AS39" s="110">
        <f t="shared" si="45"/>
        <v>0.06</v>
      </c>
      <c r="AT39" s="110">
        <f t="shared" si="45"/>
        <v>0.06</v>
      </c>
      <c r="AU39" s="110">
        <f t="shared" si="45"/>
        <v>0.06</v>
      </c>
      <c r="AV39" s="110">
        <f t="shared" si="45"/>
        <v>0.06</v>
      </c>
      <c r="AW39" s="110">
        <f t="shared" si="45"/>
        <v>0.06</v>
      </c>
      <c r="AX39" s="110">
        <f t="shared" si="45"/>
        <v>0.06</v>
      </c>
      <c r="AY39" s="110">
        <f t="shared" si="45"/>
        <v>0.06</v>
      </c>
      <c r="AZ39" s="110">
        <f t="shared" si="45"/>
        <v>0.06</v>
      </c>
      <c r="BA39" s="110">
        <f t="shared" si="45"/>
        <v>0.06</v>
      </c>
      <c r="BB39" s="110">
        <f t="shared" si="45"/>
        <v>0.06</v>
      </c>
      <c r="BC39" s="110">
        <f t="shared" si="45"/>
        <v>0.06</v>
      </c>
      <c r="BD39" s="110">
        <f t="shared" si="45"/>
        <v>0.06</v>
      </c>
      <c r="BE39" s="110">
        <f t="shared" si="45"/>
        <v>0.06</v>
      </c>
      <c r="BF39" s="110">
        <f t="shared" si="45"/>
        <v>0.06</v>
      </c>
      <c r="BG39" s="110">
        <f t="shared" si="45"/>
        <v>0.06</v>
      </c>
    </row>
    <row r="40" spans="1:59" ht="13.75" customHeight="1" outlineLevel="1">
      <c r="A40" s="141" t="s">
        <v>86</v>
      </c>
      <c r="B40" s="170"/>
      <c r="C40" s="170"/>
      <c r="D40" s="170" t="s">
        <v>98</v>
      </c>
      <c r="E40" s="168"/>
      <c r="F40" s="168" t="s">
        <v>152</v>
      </c>
      <c r="G40" s="168" t="s">
        <v>153</v>
      </c>
      <c r="H40" s="168"/>
      <c r="I40" s="168"/>
      <c r="J40" s="149">
        <v>1.6602999999999999</v>
      </c>
      <c r="K40" s="149">
        <v>1.3835999999999999</v>
      </c>
      <c r="L40" s="149">
        <v>1.2391000000000001</v>
      </c>
      <c r="M40" s="149">
        <v>1.1404000000000001</v>
      </c>
      <c r="N40" s="149">
        <v>1.3134000000000001</v>
      </c>
      <c r="O40" s="149">
        <v>1.2201</v>
      </c>
      <c r="P40" s="149">
        <v>1.1335</v>
      </c>
      <c r="Q40" s="149">
        <v>1.0687</v>
      </c>
      <c r="R40" s="149">
        <v>1.0351999999999999</v>
      </c>
      <c r="S40" s="149">
        <v>0.93520000000000003</v>
      </c>
      <c r="T40" s="149">
        <v>0.93810000000000004</v>
      </c>
      <c r="U40" s="109"/>
      <c r="V40" s="109"/>
      <c r="X40" s="111">
        <v>1.01</v>
      </c>
      <c r="Y40" s="111">
        <v>1.016</v>
      </c>
      <c r="Z40" s="111">
        <v>0.97399999999999998</v>
      </c>
      <c r="AA40" s="111">
        <v>0.98299999999999998</v>
      </c>
      <c r="AB40" s="111">
        <v>0.96760000000000002</v>
      </c>
      <c r="AC40" s="111">
        <v>0.88519999999999999</v>
      </c>
      <c r="AD40" s="111">
        <v>0.91290000000000004</v>
      </c>
      <c r="AE40" s="111">
        <v>0.91025641025641024</v>
      </c>
      <c r="AF40" s="111">
        <v>0.89830508474576276</v>
      </c>
      <c r="AG40" s="111">
        <v>0.87603305785123975</v>
      </c>
      <c r="AH40" s="111">
        <f t="shared" ref="AH40:AJ40" si="46">AI41</f>
        <v>0.90871369294605797</v>
      </c>
      <c r="AI40" s="111">
        <f>AJ41</f>
        <v>0.90871369294605797</v>
      </c>
      <c r="AJ40" s="111">
        <f t="shared" si="46"/>
        <v>0.90871369294605797</v>
      </c>
      <c r="AK40" s="111">
        <f>AL41</f>
        <v>0.90871369294605797</v>
      </c>
      <c r="AL40" s="111">
        <f>AM41</f>
        <v>0.90871369294605797</v>
      </c>
      <c r="AM40" s="111">
        <f>AM41</f>
        <v>0.90871369294605797</v>
      </c>
      <c r="AN40" s="111">
        <f t="shared" ref="AN40:AW40" si="47">AN41</f>
        <v>0.90871369294605797</v>
      </c>
      <c r="AO40" s="111">
        <f t="shared" si="47"/>
        <v>0.90871369294605797</v>
      </c>
      <c r="AP40" s="111">
        <f t="shared" si="47"/>
        <v>0.90871369294605797</v>
      </c>
      <c r="AQ40" s="111">
        <f t="shared" si="47"/>
        <v>0.90871369294605797</v>
      </c>
      <c r="AR40" s="111">
        <f t="shared" si="47"/>
        <v>0.90871369294605797</v>
      </c>
      <c r="AS40" s="111">
        <f t="shared" si="47"/>
        <v>0.90871369294605797</v>
      </c>
      <c r="AT40" s="111">
        <f t="shared" si="47"/>
        <v>0.90871369294605797</v>
      </c>
      <c r="AU40" s="111">
        <f t="shared" si="47"/>
        <v>0.90871369294605797</v>
      </c>
      <c r="AV40" s="111">
        <f t="shared" si="47"/>
        <v>0.90871369294605797</v>
      </c>
      <c r="AW40" s="111">
        <f t="shared" si="47"/>
        <v>0.90871369294605797</v>
      </c>
      <c r="AX40" s="111">
        <f>AX41</f>
        <v>0.90871369294605797</v>
      </c>
      <c r="AY40" s="111">
        <f t="shared" ref="AY40:BA40" si="48">AZ41</f>
        <v>0.90871369294605797</v>
      </c>
      <c r="AZ40" s="111">
        <f t="shared" si="48"/>
        <v>0.90871369294605797</v>
      </c>
      <c r="BA40" s="111">
        <f t="shared" si="48"/>
        <v>0.90871369294605797</v>
      </c>
      <c r="BB40" s="111">
        <f>BB41</f>
        <v>0.90871369294605797</v>
      </c>
      <c r="BC40" s="111">
        <f t="shared" ref="BC40:BG40" si="49">BC41</f>
        <v>0.90871369294605797</v>
      </c>
      <c r="BD40" s="111">
        <f t="shared" si="49"/>
        <v>0.90871369294605797</v>
      </c>
      <c r="BE40" s="111">
        <f t="shared" si="49"/>
        <v>0.90871369294605797</v>
      </c>
      <c r="BF40" s="111">
        <f t="shared" si="49"/>
        <v>0.90871369294605797</v>
      </c>
      <c r="BG40" s="111">
        <f t="shared" si="49"/>
        <v>0.90871369294605797</v>
      </c>
    </row>
    <row r="41" spans="1:59" ht="13.75" customHeight="1" outlineLevel="1">
      <c r="A41" s="141" t="s">
        <v>86</v>
      </c>
      <c r="B41" s="170"/>
      <c r="C41" s="170"/>
      <c r="D41" s="170" t="s">
        <v>87</v>
      </c>
      <c r="E41" s="168"/>
      <c r="F41" s="168" t="s">
        <v>154</v>
      </c>
      <c r="G41" s="168" t="s">
        <v>153</v>
      </c>
      <c r="H41" s="168"/>
      <c r="I41" s="168" t="s">
        <v>116</v>
      </c>
      <c r="J41" s="147">
        <v>1.6871386973180078</v>
      </c>
      <c r="K41" s="147">
        <v>1.5552532567049817</v>
      </c>
      <c r="L41" s="147">
        <v>1.3443716475095775</v>
      </c>
      <c r="M41" s="147">
        <v>1.2421034351145044</v>
      </c>
      <c r="N41" s="147">
        <v>1.2463265384615383</v>
      </c>
      <c r="O41" s="147">
        <v>1.2528880769230768</v>
      </c>
      <c r="P41" s="147">
        <v>1.2000164750957858</v>
      </c>
      <c r="Q41" s="147">
        <v>1.0823534351145039</v>
      </c>
      <c r="R41" s="147">
        <v>1.0849888888888892</v>
      </c>
      <c r="S41" s="147">
        <v>1.0423498084291187</v>
      </c>
      <c r="T41" s="147">
        <v>0.88658192307692352</v>
      </c>
      <c r="U41" s="109"/>
      <c r="V41" s="109"/>
      <c r="X41" s="111"/>
      <c r="Y41" s="113">
        <v>0.98173704755070879</v>
      </c>
      <c r="Z41" s="111">
        <v>0.98499999999999999</v>
      </c>
      <c r="AA41" s="111">
        <v>0.98499999999999999</v>
      </c>
      <c r="AB41" s="111">
        <v>0.99382499999999996</v>
      </c>
      <c r="AC41" s="111">
        <v>0.93884999999999996</v>
      </c>
      <c r="AD41" s="111">
        <v>0.91415000000000002</v>
      </c>
      <c r="AE41" s="111">
        <v>0.91682541554086427</v>
      </c>
      <c r="AF41" s="111">
        <v>0.91239316239316237</v>
      </c>
      <c r="AG41" s="111">
        <v>0.90871369294605797</v>
      </c>
      <c r="AH41" s="111">
        <f t="shared" ref="AH41:AM44" si="50">AG41</f>
        <v>0.90871369294605797</v>
      </c>
      <c r="AI41" s="111">
        <f t="shared" si="50"/>
        <v>0.90871369294605797</v>
      </c>
      <c r="AJ41" s="111">
        <f t="shared" si="50"/>
        <v>0.90871369294605797</v>
      </c>
      <c r="AK41" s="111">
        <f t="shared" si="50"/>
        <v>0.90871369294605797</v>
      </c>
      <c r="AL41" s="111">
        <f t="shared" si="50"/>
        <v>0.90871369294605797</v>
      </c>
      <c r="AM41" s="111">
        <f>AL41</f>
        <v>0.90871369294605797</v>
      </c>
      <c r="AN41" s="111">
        <f t="shared" ref="AN41:BC44" si="51">AM41</f>
        <v>0.90871369294605797</v>
      </c>
      <c r="AO41" s="111">
        <f t="shared" si="51"/>
        <v>0.90871369294605797</v>
      </c>
      <c r="AP41" s="111">
        <f t="shared" si="51"/>
        <v>0.90871369294605797</v>
      </c>
      <c r="AQ41" s="111">
        <f t="shared" si="51"/>
        <v>0.90871369294605797</v>
      </c>
      <c r="AR41" s="111">
        <f t="shared" si="51"/>
        <v>0.90871369294605797</v>
      </c>
      <c r="AS41" s="111">
        <f t="shared" si="51"/>
        <v>0.90871369294605797</v>
      </c>
      <c r="AT41" s="111">
        <f t="shared" si="51"/>
        <v>0.90871369294605797</v>
      </c>
      <c r="AU41" s="111">
        <f t="shared" si="51"/>
        <v>0.90871369294605797</v>
      </c>
      <c r="AV41" s="111">
        <f t="shared" si="51"/>
        <v>0.90871369294605797</v>
      </c>
      <c r="AW41" s="111">
        <f t="shared" si="51"/>
        <v>0.90871369294605797</v>
      </c>
      <c r="AX41" s="111">
        <f t="shared" si="51"/>
        <v>0.90871369294605797</v>
      </c>
      <c r="AY41" s="111">
        <f t="shared" si="51"/>
        <v>0.90871369294605797</v>
      </c>
      <c r="AZ41" s="111">
        <f t="shared" si="51"/>
        <v>0.90871369294605797</v>
      </c>
      <c r="BA41" s="111">
        <f t="shared" si="51"/>
        <v>0.90871369294605797</v>
      </c>
      <c r="BB41" s="111">
        <f t="shared" si="51"/>
        <v>0.90871369294605797</v>
      </c>
      <c r="BC41" s="111">
        <f t="shared" si="51"/>
        <v>0.90871369294605797</v>
      </c>
      <c r="BD41" s="111">
        <f t="shared" ref="BC41:BG44" si="52">BC41</f>
        <v>0.90871369294605797</v>
      </c>
      <c r="BE41" s="111">
        <f t="shared" si="52"/>
        <v>0.90871369294605797</v>
      </c>
      <c r="BF41" s="111">
        <f t="shared" si="52"/>
        <v>0.90871369294605797</v>
      </c>
      <c r="BG41" s="111">
        <f t="shared" si="52"/>
        <v>0.90871369294605797</v>
      </c>
    </row>
    <row r="42" spans="1:59" s="109" customFormat="1" ht="13.75" customHeight="1">
      <c r="A42" s="141" t="s">
        <v>86</v>
      </c>
      <c r="B42" s="170"/>
      <c r="C42" s="170"/>
      <c r="D42" s="170" t="s">
        <v>87</v>
      </c>
      <c r="E42" s="168"/>
      <c r="F42" s="168" t="s">
        <v>155</v>
      </c>
      <c r="G42" s="168" t="s">
        <v>3</v>
      </c>
      <c r="H42" s="168"/>
      <c r="I42" s="168" t="s">
        <v>116</v>
      </c>
      <c r="T42" s="114"/>
      <c r="W42" s="110">
        <v>8.4375000000000006E-2</v>
      </c>
      <c r="X42" s="110">
        <v>0.12625</v>
      </c>
      <c r="Y42" s="110">
        <v>0.10500000000000001</v>
      </c>
      <c r="Z42" s="110">
        <v>9.0312500000000004E-2</v>
      </c>
      <c r="AA42" s="110">
        <v>7.4374999999999997E-2</v>
      </c>
      <c r="AB42" s="110">
        <v>7.3124999999999996E-2</v>
      </c>
      <c r="AC42" s="110">
        <v>4.9999999999999996E-2</v>
      </c>
      <c r="AD42" s="110">
        <v>5.7812500000000003E-2</v>
      </c>
      <c r="AE42" s="110">
        <v>0.1125</v>
      </c>
      <c r="AF42" s="110">
        <v>9.6875000000000003E-2</v>
      </c>
      <c r="AG42" s="110">
        <v>9.6250000000000002E-2</v>
      </c>
      <c r="AH42" s="110">
        <f>AH39</f>
        <v>0.06</v>
      </c>
      <c r="AI42" s="110">
        <f t="shared" ref="AI42:BB42" si="53">AI39</f>
        <v>0.06</v>
      </c>
      <c r="AJ42" s="110">
        <f>AJ39</f>
        <v>0.06</v>
      </c>
      <c r="AK42" s="110">
        <f t="shared" si="53"/>
        <v>0.06</v>
      </c>
      <c r="AL42" s="110">
        <f t="shared" si="53"/>
        <v>0.06</v>
      </c>
      <c r="AM42" s="110">
        <f t="shared" si="53"/>
        <v>0.06</v>
      </c>
      <c r="AN42" s="110">
        <f t="shared" si="53"/>
        <v>0.06</v>
      </c>
      <c r="AO42" s="110">
        <f t="shared" si="53"/>
        <v>0.06</v>
      </c>
      <c r="AP42" s="110">
        <f t="shared" si="53"/>
        <v>0.06</v>
      </c>
      <c r="AQ42" s="110">
        <f t="shared" si="53"/>
        <v>0.06</v>
      </c>
      <c r="AR42" s="110">
        <f t="shared" si="53"/>
        <v>0.06</v>
      </c>
      <c r="AS42" s="110">
        <f t="shared" si="53"/>
        <v>0.06</v>
      </c>
      <c r="AT42" s="110">
        <f t="shared" si="53"/>
        <v>0.06</v>
      </c>
      <c r="AU42" s="110">
        <f t="shared" si="53"/>
        <v>0.06</v>
      </c>
      <c r="AV42" s="110">
        <f t="shared" si="53"/>
        <v>0.06</v>
      </c>
      <c r="AW42" s="110">
        <f t="shared" si="53"/>
        <v>0.06</v>
      </c>
      <c r="AX42" s="110">
        <f t="shared" si="53"/>
        <v>0.06</v>
      </c>
      <c r="AY42" s="110">
        <f t="shared" si="53"/>
        <v>0.06</v>
      </c>
      <c r="AZ42" s="110">
        <f t="shared" si="53"/>
        <v>0.06</v>
      </c>
      <c r="BA42" s="110">
        <f t="shared" si="53"/>
        <v>0.06</v>
      </c>
      <c r="BB42" s="110">
        <f t="shared" si="53"/>
        <v>0.06</v>
      </c>
      <c r="BC42" s="110">
        <f>BC39</f>
        <v>0.06</v>
      </c>
      <c r="BD42" s="110">
        <f>BD39</f>
        <v>0.06</v>
      </c>
      <c r="BE42" s="110">
        <f>BE39</f>
        <v>0.06</v>
      </c>
      <c r="BF42" s="110">
        <f>BF39</f>
        <v>0.06</v>
      </c>
      <c r="BG42" s="110">
        <f>BG39</f>
        <v>0.06</v>
      </c>
    </row>
    <row r="43" spans="1:59" s="109" customFormat="1" ht="13.75" customHeight="1">
      <c r="A43" s="141" t="s">
        <v>86</v>
      </c>
      <c r="B43" s="170"/>
      <c r="C43" s="142"/>
      <c r="D43" s="142" t="s">
        <v>87</v>
      </c>
      <c r="E43" s="168"/>
      <c r="F43" s="168" t="s">
        <v>156</v>
      </c>
      <c r="G43" s="168" t="s">
        <v>157</v>
      </c>
      <c r="H43" s="168"/>
      <c r="I43" s="168"/>
      <c r="J43" s="147">
        <v>8.2770500000000009</v>
      </c>
      <c r="K43" s="147">
        <v>8.2769499999999994</v>
      </c>
      <c r="L43" s="147">
        <v>8.2770250000000001</v>
      </c>
      <c r="M43" s="147">
        <v>8.2767999999999997</v>
      </c>
      <c r="N43" s="147">
        <v>8.1930250000000004</v>
      </c>
      <c r="O43" s="147">
        <v>7.9728250000000003</v>
      </c>
      <c r="P43" s="147">
        <v>7.6060249999999998</v>
      </c>
      <c r="Q43" s="147">
        <v>6.9509249999999989</v>
      </c>
      <c r="R43" s="147">
        <v>6.8315000000000001</v>
      </c>
      <c r="S43" s="147">
        <v>6.7689500000000002</v>
      </c>
      <c r="T43" s="147">
        <v>6.4640249999999995</v>
      </c>
      <c r="U43" s="111">
        <v>6.3080499999999997</v>
      </c>
      <c r="V43" s="111">
        <v>6.1489750000000001</v>
      </c>
      <c r="W43" s="111">
        <v>6.1616</v>
      </c>
      <c r="X43" s="111">
        <v>6.284675</v>
      </c>
      <c r="Y43" s="111">
        <v>6.6475</v>
      </c>
      <c r="Z43" s="111">
        <v>6.757225</v>
      </c>
      <c r="AA43" s="111">
        <v>6.6168750000000003</v>
      </c>
      <c r="AB43" s="111">
        <v>6.9056250000000006</v>
      </c>
      <c r="AC43" s="111">
        <v>6.8985749999999992</v>
      </c>
      <c r="AD43" s="111">
        <v>6.5</v>
      </c>
      <c r="AE43" s="111">
        <v>6.7294999999999998</v>
      </c>
      <c r="AF43" s="111">
        <v>7.0978460763754168</v>
      </c>
      <c r="AG43" s="113">
        <v>6.95</v>
      </c>
      <c r="AH43" s="111">
        <v>6.82</v>
      </c>
      <c r="AI43" s="111">
        <v>6.78</v>
      </c>
      <c r="AJ43" s="111">
        <f>AI43</f>
        <v>6.78</v>
      </c>
      <c r="AK43" s="111">
        <f t="shared" si="50"/>
        <v>6.78</v>
      </c>
      <c r="AL43" s="111">
        <f t="shared" si="50"/>
        <v>6.78</v>
      </c>
      <c r="AM43" s="111">
        <f t="shared" si="50"/>
        <v>6.78</v>
      </c>
      <c r="AN43" s="111">
        <f t="shared" si="51"/>
        <v>6.78</v>
      </c>
      <c r="AO43" s="111">
        <f t="shared" si="51"/>
        <v>6.78</v>
      </c>
      <c r="AP43" s="111">
        <f t="shared" si="51"/>
        <v>6.78</v>
      </c>
      <c r="AQ43" s="111">
        <f t="shared" si="51"/>
        <v>6.78</v>
      </c>
      <c r="AR43" s="111">
        <f t="shared" si="51"/>
        <v>6.78</v>
      </c>
      <c r="AS43" s="111">
        <f t="shared" si="51"/>
        <v>6.78</v>
      </c>
      <c r="AT43" s="111">
        <f t="shared" si="51"/>
        <v>6.78</v>
      </c>
      <c r="AU43" s="111">
        <f t="shared" si="51"/>
        <v>6.78</v>
      </c>
      <c r="AV43" s="111">
        <f t="shared" si="51"/>
        <v>6.78</v>
      </c>
      <c r="AW43" s="111">
        <f t="shared" si="51"/>
        <v>6.78</v>
      </c>
      <c r="AX43" s="111">
        <f t="shared" si="51"/>
        <v>6.78</v>
      </c>
      <c r="AY43" s="111">
        <f t="shared" si="51"/>
        <v>6.78</v>
      </c>
      <c r="AZ43" s="111">
        <f t="shared" si="51"/>
        <v>6.78</v>
      </c>
      <c r="BA43" s="111">
        <f t="shared" si="51"/>
        <v>6.78</v>
      </c>
      <c r="BB43" s="111">
        <f t="shared" si="51"/>
        <v>6.78</v>
      </c>
      <c r="BC43" s="111">
        <f t="shared" si="52"/>
        <v>6.78</v>
      </c>
      <c r="BD43" s="111">
        <f t="shared" si="52"/>
        <v>6.78</v>
      </c>
      <c r="BE43" s="111">
        <f t="shared" si="52"/>
        <v>6.78</v>
      </c>
      <c r="BF43" s="111">
        <f t="shared" si="52"/>
        <v>6.78</v>
      </c>
      <c r="BG43" s="111">
        <f t="shared" si="52"/>
        <v>6.78</v>
      </c>
    </row>
    <row r="44" spans="1:59" s="109" customFormat="1" ht="13.75" customHeight="1">
      <c r="A44" s="141" t="s">
        <v>86</v>
      </c>
      <c r="B44" s="170"/>
      <c r="C44" s="142"/>
      <c r="D44" s="142" t="s">
        <v>87</v>
      </c>
      <c r="E44" s="168"/>
      <c r="F44" s="168" t="s">
        <v>158</v>
      </c>
      <c r="G44" s="168" t="s">
        <v>157</v>
      </c>
      <c r="H44" s="168"/>
      <c r="I44" s="168"/>
      <c r="J44" s="147">
        <v>8.2765000000000004</v>
      </c>
      <c r="K44" s="147">
        <v>8.2769999999999992</v>
      </c>
      <c r="L44" s="147">
        <v>8.2766999999999999</v>
      </c>
      <c r="M44" s="147">
        <v>8.2765000000000004</v>
      </c>
      <c r="N44" s="147">
        <v>8.0701999999999998</v>
      </c>
      <c r="O44" s="147">
        <v>7.8045</v>
      </c>
      <c r="P44" s="147">
        <v>7.3037000000000001</v>
      </c>
      <c r="Q44" s="147">
        <v>6.8277000000000001</v>
      </c>
      <c r="R44" s="147">
        <v>6.8270999999999997</v>
      </c>
      <c r="S44" s="147">
        <v>6.6070000000000002</v>
      </c>
      <c r="T44" s="147">
        <v>6.2949999999999999</v>
      </c>
      <c r="U44" s="111">
        <v>6.2305999999999999</v>
      </c>
      <c r="V44" s="111">
        <v>6.0542999999999996</v>
      </c>
      <c r="W44" s="111">
        <v>6.2054999999999998</v>
      </c>
      <c r="X44" s="111">
        <v>6.4936999999999996</v>
      </c>
      <c r="Y44" s="111">
        <v>6.9450000000000003</v>
      </c>
      <c r="Z44" s="111">
        <v>6.5068000000000001</v>
      </c>
      <c r="AA44" s="111">
        <v>6.8784999999999998</v>
      </c>
      <c r="AB44" s="111">
        <v>6.9631999999999996</v>
      </c>
      <c r="AC44" s="111">
        <v>6.5271999999999997</v>
      </c>
      <c r="AD44" s="111">
        <v>6.3730000000000002</v>
      </c>
      <c r="AE44" s="111">
        <f t="shared" ref="AE44:AF44" si="54">AE43</f>
        <v>6.7294999999999998</v>
      </c>
      <c r="AF44" s="111">
        <f t="shared" si="54"/>
        <v>7.0978460763754168</v>
      </c>
      <c r="AG44" s="111">
        <f>AG43</f>
        <v>6.95</v>
      </c>
      <c r="AH44" s="111">
        <f t="shared" ref="AH44:AJ44" si="55">AG44</f>
        <v>6.95</v>
      </c>
      <c r="AI44" s="111">
        <f t="shared" si="55"/>
        <v>6.95</v>
      </c>
      <c r="AJ44" s="111">
        <f t="shared" si="55"/>
        <v>6.95</v>
      </c>
      <c r="AK44" s="111">
        <f t="shared" si="50"/>
        <v>6.95</v>
      </c>
      <c r="AL44" s="111">
        <f t="shared" si="50"/>
        <v>6.95</v>
      </c>
      <c r="AM44" s="111">
        <f t="shared" si="50"/>
        <v>6.95</v>
      </c>
      <c r="AN44" s="111">
        <f t="shared" si="51"/>
        <v>6.95</v>
      </c>
      <c r="AO44" s="111">
        <f t="shared" si="51"/>
        <v>6.95</v>
      </c>
      <c r="AP44" s="111">
        <f t="shared" si="51"/>
        <v>6.95</v>
      </c>
      <c r="AQ44" s="111">
        <f t="shared" si="51"/>
        <v>6.95</v>
      </c>
      <c r="AR44" s="111">
        <f t="shared" si="51"/>
        <v>6.95</v>
      </c>
      <c r="AS44" s="111">
        <f t="shared" si="51"/>
        <v>6.95</v>
      </c>
      <c r="AT44" s="111">
        <f t="shared" si="51"/>
        <v>6.95</v>
      </c>
      <c r="AU44" s="111">
        <f t="shared" si="51"/>
        <v>6.95</v>
      </c>
      <c r="AV44" s="111">
        <f t="shared" si="51"/>
        <v>6.95</v>
      </c>
      <c r="AW44" s="111">
        <f t="shared" si="51"/>
        <v>6.95</v>
      </c>
      <c r="AX44" s="111">
        <f t="shared" si="51"/>
        <v>6.95</v>
      </c>
      <c r="AY44" s="111">
        <f t="shared" si="51"/>
        <v>6.95</v>
      </c>
      <c r="AZ44" s="111">
        <f t="shared" si="51"/>
        <v>6.95</v>
      </c>
      <c r="BA44" s="111">
        <f t="shared" si="51"/>
        <v>6.95</v>
      </c>
      <c r="BB44" s="111">
        <f t="shared" si="51"/>
        <v>6.95</v>
      </c>
      <c r="BC44" s="111">
        <f t="shared" si="52"/>
        <v>6.95</v>
      </c>
      <c r="BD44" s="111">
        <f t="shared" si="52"/>
        <v>6.95</v>
      </c>
      <c r="BE44" s="111">
        <f t="shared" si="52"/>
        <v>6.95</v>
      </c>
      <c r="BF44" s="111">
        <f t="shared" si="52"/>
        <v>6.95</v>
      </c>
      <c r="BG44" s="111">
        <f t="shared" si="52"/>
        <v>6.95</v>
      </c>
    </row>
    <row r="45" spans="1:59" s="109" customFormat="1" ht="13.75" customHeight="1">
      <c r="A45" s="141" t="s">
        <v>86</v>
      </c>
      <c r="B45" s="170"/>
      <c r="C45" s="142"/>
      <c r="D45" s="142" t="s">
        <v>87</v>
      </c>
      <c r="E45" s="168"/>
      <c r="F45" s="168" t="s">
        <v>159</v>
      </c>
      <c r="G45" s="168" t="s">
        <v>160</v>
      </c>
      <c r="H45" s="168"/>
      <c r="I45" s="168"/>
      <c r="J45" s="147">
        <v>3.5273250000000003</v>
      </c>
      <c r="K45" s="147">
        <v>3.7911750000000004</v>
      </c>
      <c r="L45" s="147">
        <v>3.7073</v>
      </c>
      <c r="M45" s="147">
        <v>3.4797500000000001</v>
      </c>
      <c r="N45" s="147">
        <v>3.4539500000000003</v>
      </c>
      <c r="O45" s="147">
        <v>3.4082249999999998</v>
      </c>
      <c r="P45" s="147">
        <v>3.3614999999999999</v>
      </c>
      <c r="Q45" s="147">
        <v>3.5812499999999998</v>
      </c>
      <c r="R45" s="147">
        <v>4.6491249999999997</v>
      </c>
      <c r="S45" s="147">
        <v>4.4869749999999993</v>
      </c>
      <c r="T45" s="147">
        <v>4.5507249999999999</v>
      </c>
      <c r="U45" s="111">
        <v>4.9221250000000003</v>
      </c>
      <c r="V45" s="111">
        <v>5.1818249999999999</v>
      </c>
      <c r="W45" s="111">
        <v>6.2628500000000003</v>
      </c>
      <c r="X45" s="111">
        <v>9.7380750000000003</v>
      </c>
      <c r="Y45" s="111">
        <v>10.094624999999999</v>
      </c>
      <c r="Z45" s="111">
        <v>8.6359999999999992</v>
      </c>
      <c r="AA45" s="111">
        <v>9.4852249999999998</v>
      </c>
      <c r="AB45" s="111">
        <v>9.3735749999999989</v>
      </c>
      <c r="AC45" s="111">
        <v>10.491275</v>
      </c>
      <c r="AD45" s="111">
        <v>11.331438461538461</v>
      </c>
      <c r="AE45" s="111">
        <f t="shared" ref="AE45" si="56">AE14/AE43</f>
        <v>10.176866780592912</v>
      </c>
      <c r="AF45" s="111">
        <f>AF14/AF43</f>
        <v>11.982038741265089</v>
      </c>
      <c r="AG45" s="111">
        <f t="shared" ref="AG45:BG45" si="57">AG14/AG43</f>
        <v>11.330935251798561</v>
      </c>
      <c r="AH45" s="111">
        <f t="shared" si="57"/>
        <v>12.470674486803523</v>
      </c>
      <c r="AI45" s="111">
        <f t="shared" si="57"/>
        <v>13.256637168141591</v>
      </c>
      <c r="AJ45" s="111">
        <f t="shared" si="57"/>
        <v>13.381357930457307</v>
      </c>
      <c r="AK45" s="111">
        <f t="shared" si="57"/>
        <v>13.507252087530327</v>
      </c>
      <c r="AL45" s="111">
        <f t="shared" si="57"/>
        <v>13.634330678863869</v>
      </c>
      <c r="AM45" s="111">
        <f t="shared" si="57"/>
        <v>13.762604847822724</v>
      </c>
      <c r="AN45" s="111">
        <f t="shared" si="57"/>
        <v>13.892085842610408</v>
      </c>
      <c r="AO45" s="111">
        <f t="shared" si="57"/>
        <v>14.022785017255512</v>
      </c>
      <c r="AP45" s="111">
        <f t="shared" si="57"/>
        <v>14.154713832607305</v>
      </c>
      <c r="AQ45" s="111">
        <f t="shared" si="57"/>
        <v>14.287883857340738</v>
      </c>
      <c r="AR45" s="111">
        <f t="shared" si="57"/>
        <v>14.422306768970877</v>
      </c>
      <c r="AS45" s="111">
        <f t="shared" si="57"/>
        <v>14.557994354876897</v>
      </c>
      <c r="AT45" s="111">
        <f t="shared" si="57"/>
        <v>14.694958513335692</v>
      </c>
      <c r="AU45" s="111">
        <f t="shared" si="57"/>
        <v>14.833211254565235</v>
      </c>
      <c r="AV45" s="111">
        <f t="shared" si="57"/>
        <v>14.972764701777725</v>
      </c>
      <c r="AW45" s="111">
        <f t="shared" si="57"/>
        <v>15.11363109224267</v>
      </c>
      <c r="AX45" s="111">
        <f t="shared" si="57"/>
        <v>15.255822778359944</v>
      </c>
      <c r="AY45" s="111">
        <f t="shared" si="57"/>
        <v>15.408381006143543</v>
      </c>
      <c r="AZ45" s="111">
        <f t="shared" si="57"/>
        <v>15.562464816204978</v>
      </c>
      <c r="BA45" s="111">
        <f t="shared" si="57"/>
        <v>15.718089464367027</v>
      </c>
      <c r="BB45" s="111">
        <f t="shared" si="57"/>
        <v>15.875270359010697</v>
      </c>
      <c r="BC45" s="111">
        <f t="shared" si="57"/>
        <v>16.192775766190913</v>
      </c>
      <c r="BD45" s="111">
        <f t="shared" si="57"/>
        <v>16.51663128151473</v>
      </c>
      <c r="BE45" s="111">
        <f t="shared" si="57"/>
        <v>16.846963907145025</v>
      </c>
      <c r="BF45" s="111">
        <f t="shared" si="57"/>
        <v>17.183903185287928</v>
      </c>
      <c r="BG45" s="111">
        <f t="shared" si="57"/>
        <v>17.527581248993684</v>
      </c>
    </row>
    <row r="46" spans="1:59" s="109" customFormat="1" ht="13.75" customHeight="1">
      <c r="A46" s="141" t="s">
        <v>86</v>
      </c>
      <c r="B46" s="170"/>
      <c r="C46" s="142"/>
      <c r="D46" s="142" t="s">
        <v>87</v>
      </c>
      <c r="E46" s="168"/>
      <c r="F46" s="168" t="s">
        <v>161</v>
      </c>
      <c r="G46" s="168" t="s">
        <v>160</v>
      </c>
      <c r="H46" s="168"/>
      <c r="I46" s="168"/>
      <c r="J46" s="147">
        <v>3.6857000000000002</v>
      </c>
      <c r="K46" s="147">
        <v>3.8607</v>
      </c>
      <c r="L46" s="147">
        <v>3.5331000000000001</v>
      </c>
      <c r="M46" s="147">
        <v>3.3492000000000002</v>
      </c>
      <c r="N46" s="147">
        <v>3.5613999999999999</v>
      </c>
      <c r="O46" s="147">
        <v>3.3731</v>
      </c>
      <c r="P46" s="147">
        <v>3.3681999999999999</v>
      </c>
      <c r="Q46" s="147">
        <v>4.3064</v>
      </c>
      <c r="R46" s="147">
        <v>4.3994</v>
      </c>
      <c r="S46" s="147">
        <v>4.6219000000000001</v>
      </c>
      <c r="T46" s="147">
        <v>5.1024000000000003</v>
      </c>
      <c r="U46" s="111">
        <v>4.9036</v>
      </c>
      <c r="V46" s="111">
        <v>5.4329999999999998</v>
      </c>
      <c r="W46" s="111">
        <v>9.3539999999999992</v>
      </c>
      <c r="X46" s="111">
        <v>11.372</v>
      </c>
      <c r="Y46" s="111">
        <v>8.7827000000000002</v>
      </c>
      <c r="Z46" s="111">
        <v>8.85</v>
      </c>
      <c r="AA46" s="111">
        <v>10.0892</v>
      </c>
      <c r="AB46" s="111">
        <v>8.9053000000000004</v>
      </c>
      <c r="AC46" s="111">
        <v>11.3156</v>
      </c>
      <c r="AD46" s="111">
        <v>11.657398399497881</v>
      </c>
      <c r="AE46" s="111">
        <f>AE7/AE44</f>
        <v>10.45211382717884</v>
      </c>
      <c r="AF46" s="111">
        <f>AF7/AF44</f>
        <v>12.539015222692559</v>
      </c>
      <c r="AG46" s="111">
        <f t="shared" ref="AG46:BA46" si="58">AG7/AG44</f>
        <v>12.237410071942449</v>
      </c>
      <c r="AH46" s="111">
        <f t="shared" si="58"/>
        <v>12.932374100719423</v>
      </c>
      <c r="AI46" s="111">
        <f t="shared" si="58"/>
        <v>13.054044139352595</v>
      </c>
      <c r="AJ46" s="111">
        <f t="shared" si="58"/>
        <v>13.176858871000809</v>
      </c>
      <c r="AK46" s="111">
        <f>AK7/AK44</f>
        <v>13.300829065136263</v>
      </c>
      <c r="AL46" s="111">
        <f>AL7/AL44</f>
        <v>13.42596559255224</v>
      </c>
      <c r="AM46" s="111">
        <f t="shared" si="58"/>
        <v>13.552279426316341</v>
      </c>
      <c r="AN46" s="111">
        <f t="shared" si="58"/>
        <v>13.679781642732715</v>
      </c>
      <c r="AO46" s="111">
        <f t="shared" si="58"/>
        <v>13.808483422313314</v>
      </c>
      <c r="AP46" s="111">
        <f t="shared" si="58"/>
        <v>13.938396050758303</v>
      </c>
      <c r="AQ46" s="111">
        <f t="shared" si="58"/>
        <v>14.06953091994569</v>
      </c>
      <c r="AR46" s="111">
        <f t="shared" si="58"/>
        <v>14.201899528930268</v>
      </c>
      <c r="AS46" s="111">
        <f t="shared" si="58"/>
        <v>14.335513484951941</v>
      </c>
      <c r="AT46" s="111">
        <f t="shared" si="58"/>
        <v>14.470384504453566</v>
      </c>
      <c r="AU46" s="111">
        <f t="shared" si="58"/>
        <v>14.606524414108343</v>
      </c>
      <c r="AV46" s="111">
        <f t="shared" si="58"/>
        <v>14.743945151856877</v>
      </c>
      <c r="AW46" s="111">
        <f t="shared" si="58"/>
        <v>14.882658767954016</v>
      </c>
      <c r="AX46" s="111">
        <f t="shared" si="58"/>
        <v>15.031485355633556</v>
      </c>
      <c r="AY46" s="111">
        <f t="shared" si="58"/>
        <v>15.031485355633556</v>
      </c>
      <c r="AZ46" s="111">
        <f t="shared" si="58"/>
        <v>15.181800209189893</v>
      </c>
      <c r="BA46" s="111">
        <f t="shared" si="58"/>
        <v>15.333618211281792</v>
      </c>
      <c r="BB46" s="111">
        <f>BB7/BB44</f>
        <v>15.486954393394608</v>
      </c>
      <c r="BC46" s="111">
        <f t="shared" ref="BC46:BG46" si="59">BC7/BC44</f>
        <v>15.796693481262501</v>
      </c>
      <c r="BD46" s="111">
        <f t="shared" si="59"/>
        <v>16.112627350887752</v>
      </c>
      <c r="BE46" s="111">
        <f t="shared" si="59"/>
        <v>16.434879897905507</v>
      </c>
      <c r="BF46" s="111">
        <f t="shared" si="59"/>
        <v>16.763577495863618</v>
      </c>
      <c r="BG46" s="111">
        <f t="shared" si="59"/>
        <v>17.098849045780888</v>
      </c>
    </row>
    <row r="47" spans="1:59" s="109" customFormat="1" ht="13.75" customHeight="1">
      <c r="A47" s="141" t="s">
        <v>86</v>
      </c>
      <c r="B47" s="165"/>
      <c r="C47" s="142"/>
      <c r="D47" s="166" t="s">
        <v>87</v>
      </c>
      <c r="E47" s="167"/>
      <c r="F47" s="168" t="s">
        <v>162</v>
      </c>
      <c r="G47" s="168" t="s">
        <v>163</v>
      </c>
      <c r="H47" s="168"/>
      <c r="I47" s="168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11"/>
      <c r="V47" s="111"/>
      <c r="W47" s="111">
        <v>61.02</v>
      </c>
      <c r="X47" s="111">
        <v>64.099999999999994</v>
      </c>
      <c r="Y47" s="111">
        <v>67.17</v>
      </c>
      <c r="Z47" s="111">
        <v>65.11</v>
      </c>
      <c r="AA47" s="111">
        <v>68.400000000000006</v>
      </c>
      <c r="AB47" s="111">
        <v>70.400000000000006</v>
      </c>
      <c r="AC47" s="111">
        <v>74.099999999999994</v>
      </c>
      <c r="AD47" s="111">
        <v>73.900000000000006</v>
      </c>
      <c r="AE47" s="111">
        <v>78.599999999999994</v>
      </c>
      <c r="AF47" s="111">
        <v>82.6</v>
      </c>
      <c r="AG47" s="111">
        <v>81.276384618348061</v>
      </c>
      <c r="AH47" s="111">
        <v>82.576384618348058</v>
      </c>
      <c r="AI47" s="111">
        <v>83.876384618348055</v>
      </c>
      <c r="AJ47" s="111">
        <v>85.3</v>
      </c>
      <c r="AK47" s="111">
        <f t="shared" ref="AK47:BG47" si="60">AJ47*(1+2%)</f>
        <v>87.006</v>
      </c>
      <c r="AL47" s="111">
        <f t="shared" si="60"/>
        <v>88.746120000000005</v>
      </c>
      <c r="AM47" s="111">
        <f t="shared" si="60"/>
        <v>90.521042400000013</v>
      </c>
      <c r="AN47" s="111">
        <f t="shared" si="60"/>
        <v>92.33146324800002</v>
      </c>
      <c r="AO47" s="111">
        <f t="shared" si="60"/>
        <v>94.178092512960021</v>
      </c>
      <c r="AP47" s="111">
        <f t="shared" si="60"/>
        <v>96.061654363219219</v>
      </c>
      <c r="AQ47" s="111">
        <f t="shared" si="60"/>
        <v>97.982887450483602</v>
      </c>
      <c r="AR47" s="111">
        <f t="shared" si="60"/>
        <v>99.942545199493281</v>
      </c>
      <c r="AS47" s="111">
        <f t="shared" si="60"/>
        <v>101.94139610348314</v>
      </c>
      <c r="AT47" s="111">
        <f t="shared" si="60"/>
        <v>103.98022402555281</v>
      </c>
      <c r="AU47" s="111">
        <f t="shared" si="60"/>
        <v>106.05982850606387</v>
      </c>
      <c r="AV47" s="111">
        <f t="shared" si="60"/>
        <v>108.18102507618515</v>
      </c>
      <c r="AW47" s="111">
        <f t="shared" si="60"/>
        <v>110.34464557770886</v>
      </c>
      <c r="AX47" s="111">
        <f t="shared" si="60"/>
        <v>112.55153848926304</v>
      </c>
      <c r="AY47" s="111">
        <f t="shared" si="60"/>
        <v>114.8025692590483</v>
      </c>
      <c r="AZ47" s="111">
        <f t="shared" si="60"/>
        <v>117.09862064422927</v>
      </c>
      <c r="BA47" s="111">
        <f t="shared" si="60"/>
        <v>119.44059305711386</v>
      </c>
      <c r="BB47" s="111">
        <f t="shared" si="60"/>
        <v>121.82940491825613</v>
      </c>
      <c r="BC47" s="111">
        <f t="shared" si="60"/>
        <v>124.26599301662125</v>
      </c>
      <c r="BD47" s="111">
        <f t="shared" si="60"/>
        <v>126.75131287695368</v>
      </c>
      <c r="BE47" s="111">
        <f t="shared" si="60"/>
        <v>129.28633913449275</v>
      </c>
      <c r="BF47" s="111">
        <f t="shared" si="60"/>
        <v>131.8720659171826</v>
      </c>
      <c r="BG47" s="111">
        <f t="shared" si="60"/>
        <v>134.50950723552626</v>
      </c>
    </row>
    <row r="48" spans="1:59" s="109" customFormat="1" ht="13.75" customHeight="1">
      <c r="A48" s="141" t="s">
        <v>86</v>
      </c>
      <c r="B48" s="165"/>
      <c r="C48" s="142"/>
      <c r="D48" s="166" t="s">
        <v>87</v>
      </c>
      <c r="E48" s="167"/>
      <c r="F48" s="168" t="s">
        <v>164</v>
      </c>
      <c r="G48" s="168" t="s">
        <v>163</v>
      </c>
      <c r="H48" s="168"/>
      <c r="I48" s="168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11"/>
      <c r="V48" s="111"/>
      <c r="W48" s="111">
        <v>63.034999999999997</v>
      </c>
      <c r="X48" s="111">
        <v>66.207999999999998</v>
      </c>
      <c r="Y48" s="111">
        <v>67.954999999999998</v>
      </c>
      <c r="Z48" s="111">
        <v>63.84</v>
      </c>
      <c r="AA48" s="111">
        <v>69.569999999999993</v>
      </c>
      <c r="AB48" s="111">
        <v>71.355000000000004</v>
      </c>
      <c r="AC48" s="111">
        <v>73.054000000000002</v>
      </c>
      <c r="AD48" s="111">
        <v>74.486000000000004</v>
      </c>
      <c r="AE48" s="111">
        <v>82.745000000000005</v>
      </c>
      <c r="AF48" s="111">
        <f>AF47</f>
        <v>82.6</v>
      </c>
      <c r="AG48" s="111">
        <f>AG47</f>
        <v>81.276384618348061</v>
      </c>
      <c r="AH48" s="111">
        <f t="shared" ref="AH48:AK48" si="61">AH47</f>
        <v>82.576384618348058</v>
      </c>
      <c r="AI48" s="111">
        <f t="shared" si="61"/>
        <v>83.876384618348055</v>
      </c>
      <c r="AJ48" s="111">
        <f t="shared" si="61"/>
        <v>85.3</v>
      </c>
      <c r="AK48" s="111">
        <f t="shared" si="61"/>
        <v>87.006</v>
      </c>
      <c r="AL48" s="111">
        <f>AL47</f>
        <v>88.746120000000005</v>
      </c>
      <c r="AM48" s="111">
        <f t="shared" ref="AM48:BG48" si="62">AM47</f>
        <v>90.521042400000013</v>
      </c>
      <c r="AN48" s="111">
        <f t="shared" si="62"/>
        <v>92.33146324800002</v>
      </c>
      <c r="AO48" s="111">
        <f t="shared" si="62"/>
        <v>94.178092512960021</v>
      </c>
      <c r="AP48" s="111">
        <f t="shared" si="62"/>
        <v>96.061654363219219</v>
      </c>
      <c r="AQ48" s="111">
        <f t="shared" si="62"/>
        <v>97.982887450483602</v>
      </c>
      <c r="AR48" s="111">
        <f t="shared" si="62"/>
        <v>99.942545199493281</v>
      </c>
      <c r="AS48" s="111">
        <f t="shared" si="62"/>
        <v>101.94139610348314</v>
      </c>
      <c r="AT48" s="111">
        <f t="shared" si="62"/>
        <v>103.98022402555281</v>
      </c>
      <c r="AU48" s="111">
        <f t="shared" si="62"/>
        <v>106.05982850606387</v>
      </c>
      <c r="AV48" s="111">
        <f t="shared" si="62"/>
        <v>108.18102507618515</v>
      </c>
      <c r="AW48" s="111">
        <f t="shared" si="62"/>
        <v>110.34464557770886</v>
      </c>
      <c r="AX48" s="111">
        <f t="shared" si="62"/>
        <v>112.55153848926304</v>
      </c>
      <c r="AY48" s="111">
        <f t="shared" si="62"/>
        <v>114.8025692590483</v>
      </c>
      <c r="AZ48" s="111">
        <f t="shared" si="62"/>
        <v>117.09862064422927</v>
      </c>
      <c r="BA48" s="111">
        <f t="shared" si="62"/>
        <v>119.44059305711386</v>
      </c>
      <c r="BB48" s="111">
        <f t="shared" si="62"/>
        <v>121.82940491825613</v>
      </c>
      <c r="BC48" s="111">
        <f t="shared" si="62"/>
        <v>124.26599301662125</v>
      </c>
      <c r="BD48" s="111">
        <f t="shared" si="62"/>
        <v>126.75131287695368</v>
      </c>
      <c r="BE48" s="111">
        <f t="shared" si="62"/>
        <v>129.28633913449275</v>
      </c>
      <c r="BF48" s="111">
        <f t="shared" si="62"/>
        <v>131.8720659171826</v>
      </c>
      <c r="BG48" s="111">
        <f t="shared" si="62"/>
        <v>134.50950723552626</v>
      </c>
    </row>
    <row r="49" spans="1:59" s="109" customFormat="1" ht="13.75" customHeight="1" outlineLevel="1">
      <c r="A49" s="141" t="s">
        <v>86</v>
      </c>
      <c r="B49" s="165"/>
      <c r="C49" s="142"/>
      <c r="D49" s="166" t="s">
        <v>87</v>
      </c>
      <c r="E49" s="167"/>
      <c r="F49" s="168" t="s">
        <v>165</v>
      </c>
      <c r="G49" s="168" t="s">
        <v>3</v>
      </c>
      <c r="H49" s="168"/>
      <c r="I49" s="168"/>
      <c r="W49" s="114">
        <v>0.21050000000000002</v>
      </c>
      <c r="X49" s="114">
        <v>0.10980000000000001</v>
      </c>
      <c r="Y49" s="114">
        <v>0.10050000000000001</v>
      </c>
      <c r="Z49" s="114">
        <v>7.5399999999999995E-2</v>
      </c>
      <c r="AA49" s="114">
        <v>7.7699999999999991E-2</v>
      </c>
      <c r="AB49" s="114">
        <v>6.1200000000000004E-2</v>
      </c>
      <c r="AC49" s="114">
        <v>4.2199999999999994E-2</v>
      </c>
      <c r="AD49" s="114">
        <v>8.6899999999999991E-2</v>
      </c>
      <c r="AE49" s="114">
        <v>7.6200000000000004E-2</v>
      </c>
      <c r="AF49" s="114">
        <v>0.14050000000000001</v>
      </c>
      <c r="AG49" s="114">
        <v>7.8E-2</v>
      </c>
      <c r="AH49" s="114">
        <v>6.0499999999999998E-2</v>
      </c>
      <c r="AI49" s="114">
        <v>6.0499999999999998E-2</v>
      </c>
      <c r="AJ49" s="114">
        <v>7.4499999999999997E-2</v>
      </c>
      <c r="AK49" s="114">
        <f t="shared" ref="AK49:BG49" si="63">AJ49+(AK$39-AJ$39)</f>
        <v>7.4499999999999997E-2</v>
      </c>
      <c r="AL49" s="114">
        <f t="shared" si="63"/>
        <v>7.4499999999999997E-2</v>
      </c>
      <c r="AM49" s="114">
        <f t="shared" si="63"/>
        <v>7.4499999999999997E-2</v>
      </c>
      <c r="AN49" s="114">
        <f t="shared" si="63"/>
        <v>7.4499999999999997E-2</v>
      </c>
      <c r="AO49" s="114">
        <f t="shared" si="63"/>
        <v>7.4499999999999997E-2</v>
      </c>
      <c r="AP49" s="114">
        <f t="shared" si="63"/>
        <v>7.4499999999999997E-2</v>
      </c>
      <c r="AQ49" s="114">
        <f t="shared" si="63"/>
        <v>7.4499999999999997E-2</v>
      </c>
      <c r="AR49" s="114">
        <f t="shared" si="63"/>
        <v>7.4499999999999997E-2</v>
      </c>
      <c r="AS49" s="114">
        <f t="shared" si="63"/>
        <v>7.4499999999999997E-2</v>
      </c>
      <c r="AT49" s="114">
        <f t="shared" si="63"/>
        <v>7.4499999999999997E-2</v>
      </c>
      <c r="AU49" s="114">
        <f t="shared" si="63"/>
        <v>7.4499999999999997E-2</v>
      </c>
      <c r="AV49" s="114">
        <f t="shared" si="63"/>
        <v>7.4499999999999997E-2</v>
      </c>
      <c r="AW49" s="114">
        <f t="shared" si="63"/>
        <v>7.4499999999999997E-2</v>
      </c>
      <c r="AX49" s="114">
        <f t="shared" si="63"/>
        <v>7.4499999999999997E-2</v>
      </c>
      <c r="AY49" s="114">
        <f t="shared" si="63"/>
        <v>7.4499999999999997E-2</v>
      </c>
      <c r="AZ49" s="114">
        <f t="shared" si="63"/>
        <v>7.4499999999999997E-2</v>
      </c>
      <c r="BA49" s="114">
        <f t="shared" si="63"/>
        <v>7.4499999999999997E-2</v>
      </c>
      <c r="BB49" s="114">
        <f t="shared" si="63"/>
        <v>7.4499999999999997E-2</v>
      </c>
      <c r="BC49" s="114">
        <f t="shared" si="63"/>
        <v>7.4499999999999997E-2</v>
      </c>
      <c r="BD49" s="114">
        <f t="shared" si="63"/>
        <v>7.4499999999999997E-2</v>
      </c>
      <c r="BE49" s="114">
        <f t="shared" si="63"/>
        <v>7.4499999999999997E-2</v>
      </c>
      <c r="BF49" s="114">
        <f t="shared" si="63"/>
        <v>7.4499999999999997E-2</v>
      </c>
      <c r="BG49" s="114">
        <f t="shared" si="63"/>
        <v>7.4499999999999997E-2</v>
      </c>
    </row>
    <row r="50" spans="1:59" ht="13.75" customHeight="1" outlineLevel="1">
      <c r="B50" s="170"/>
      <c r="C50" s="170"/>
      <c r="D50" s="170"/>
      <c r="E50" s="168"/>
      <c r="F50" s="168"/>
      <c r="G50" s="168"/>
      <c r="H50" s="168"/>
      <c r="I50" s="168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X50" s="115"/>
      <c r="Y50" s="115"/>
      <c r="Z50" s="115"/>
      <c r="AA50" s="115"/>
      <c r="AG50" s="116"/>
      <c r="AH50" s="116"/>
    </row>
    <row r="51" spans="1:59" ht="13.75" customHeight="1" outlineLevel="1">
      <c r="B51" s="170"/>
      <c r="C51" s="170"/>
      <c r="D51" s="170"/>
      <c r="E51" s="168"/>
      <c r="F51" s="168"/>
      <c r="G51" s="168"/>
      <c r="H51" s="168"/>
      <c r="I51" s="168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X51" s="115"/>
      <c r="Y51" s="115"/>
      <c r="Z51" s="115"/>
      <c r="AA51" s="115"/>
      <c r="AG51" s="116"/>
      <c r="AH51" s="116"/>
    </row>
    <row r="52" spans="1:59" ht="13.75" customHeight="1" outlineLevel="1">
      <c r="B52" s="170"/>
      <c r="C52" s="170"/>
      <c r="D52" s="170"/>
      <c r="E52" s="168"/>
      <c r="F52" s="168"/>
      <c r="G52" s="168"/>
      <c r="H52" s="168"/>
      <c r="I52" s="168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X52" s="115"/>
      <c r="Y52" s="115"/>
      <c r="Z52" s="115"/>
      <c r="AA52" s="115"/>
      <c r="AG52" s="116"/>
      <c r="AH52" s="116"/>
    </row>
    <row r="53" spans="1:59" ht="13.75" customHeight="1" outlineLevel="1">
      <c r="B53" s="170"/>
      <c r="C53" s="170"/>
      <c r="D53" s="170"/>
      <c r="E53" s="168"/>
      <c r="F53" s="168"/>
      <c r="G53" s="168"/>
      <c r="H53" s="168"/>
      <c r="I53" s="168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X53" s="115"/>
      <c r="Y53" s="115"/>
      <c r="Z53" s="115"/>
      <c r="AA53" s="115"/>
      <c r="AG53" s="116"/>
      <c r="AH53" s="116"/>
    </row>
    <row r="54" spans="1:59" ht="13.75" customHeight="1" outlineLevel="1">
      <c r="B54" s="170"/>
      <c r="C54" s="170"/>
      <c r="D54" s="170"/>
      <c r="E54" s="168"/>
      <c r="F54" s="168"/>
      <c r="G54" s="168"/>
      <c r="H54" s="168"/>
      <c r="I54" s="168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</row>
    <row r="55" spans="1:59" ht="13.75" customHeight="1" outlineLevel="1">
      <c r="B55" s="170"/>
      <c r="C55" s="170"/>
      <c r="D55" s="170"/>
      <c r="E55" s="168"/>
      <c r="F55" s="168"/>
      <c r="G55" s="168"/>
      <c r="H55" s="168"/>
      <c r="I55" s="168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</row>
    <row r="56" spans="1:59" ht="13.75" customHeight="1" outlineLevel="1">
      <c r="B56" s="170"/>
      <c r="C56" s="170"/>
      <c r="D56" s="170"/>
      <c r="E56" s="168"/>
      <c r="F56" s="168"/>
      <c r="G56" s="168"/>
      <c r="H56" s="168"/>
      <c r="I56" s="168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X56" s="115"/>
      <c r="Y56" s="115"/>
      <c r="Z56" s="115"/>
      <c r="AA56" s="115"/>
      <c r="AG56" s="116"/>
      <c r="AH56" s="116"/>
    </row>
    <row r="57" spans="1:59" ht="13.75" customHeight="1" outlineLevel="1">
      <c r="B57" s="170"/>
      <c r="C57" s="170"/>
      <c r="D57" s="170"/>
      <c r="E57" s="168"/>
      <c r="F57" s="168"/>
      <c r="G57" s="168"/>
      <c r="H57" s="168"/>
      <c r="I57" s="168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X57" s="115"/>
      <c r="Y57" s="115"/>
      <c r="Z57" s="115"/>
      <c r="AA57" s="115"/>
      <c r="AB57" s="117"/>
      <c r="AG57" s="116"/>
      <c r="AH57" s="116"/>
    </row>
    <row r="58" spans="1:59" ht="13.75" customHeight="1">
      <c r="A58" s="141" t="s">
        <v>166</v>
      </c>
      <c r="B58" s="170" t="s">
        <v>167</v>
      </c>
      <c r="C58" s="170"/>
      <c r="D58" s="170" t="s">
        <v>168</v>
      </c>
      <c r="E58" s="168"/>
      <c r="F58" s="168" t="s">
        <v>169</v>
      </c>
      <c r="G58" s="168" t="s">
        <v>4</v>
      </c>
      <c r="H58" s="168"/>
      <c r="I58" s="168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19">
        <v>192</v>
      </c>
      <c r="V58" s="119">
        <v>149</v>
      </c>
      <c r="W58" s="119">
        <v>117</v>
      </c>
      <c r="X58" s="118">
        <v>90</v>
      </c>
      <c r="Y58" s="118">
        <v>143.19999999999999</v>
      </c>
      <c r="Z58" s="118">
        <v>187</v>
      </c>
      <c r="AA58" s="118">
        <v>207</v>
      </c>
      <c r="AB58" s="117">
        <v>177</v>
      </c>
      <c r="AC58" s="119">
        <v>125</v>
      </c>
      <c r="AD58" s="119">
        <v>225</v>
      </c>
      <c r="AE58" s="117">
        <v>364.53099999999984</v>
      </c>
      <c r="AF58" s="117">
        <v>274.55400514251176</v>
      </c>
      <c r="AG58" s="118">
        <v>264</v>
      </c>
      <c r="AH58" s="118">
        <v>220.00000000000003</v>
      </c>
      <c r="AI58" s="118">
        <v>214.50000000000003</v>
      </c>
      <c r="AJ58" s="118">
        <v>217.50300000000001</v>
      </c>
      <c r="AK58" s="118">
        <v>220.54804200000001</v>
      </c>
      <c r="AL58" s="118">
        <v>223.63571458800001</v>
      </c>
      <c r="AM58" s="118">
        <v>226.76661459223203</v>
      </c>
      <c r="AN58" s="118">
        <v>229.41875322562205</v>
      </c>
      <c r="AO58" s="118">
        <v>232.10070548428698</v>
      </c>
      <c r="AP58" s="118">
        <v>234.81278633056229</v>
      </c>
      <c r="AQ58" s="118">
        <v>237.55531370225839</v>
      </c>
      <c r="AR58" s="118">
        <v>240.32860853424114</v>
      </c>
      <c r="AS58" s="118">
        <v>243.13299478003381</v>
      </c>
      <c r="AT58" s="118">
        <v>245.96879943343598</v>
      </c>
      <c r="AU58" s="118">
        <v>248.83635255015651</v>
      </c>
      <c r="AV58" s="118">
        <v>251.73598726945619</v>
      </c>
      <c r="AW58" s="118">
        <v>254.66803983579649</v>
      </c>
      <c r="AX58" s="118">
        <v>257.63284962048954</v>
      </c>
      <c r="AY58" s="118">
        <v>260.63075914334615</v>
      </c>
      <c r="AZ58" s="118">
        <v>263.66211409431708</v>
      </c>
      <c r="BA58" s="118">
        <v>266.72726335512317</v>
      </c>
      <c r="BB58" s="118">
        <v>269.8265590208693</v>
      </c>
      <c r="BC58" s="118">
        <v>257.50977020909318</v>
      </c>
      <c r="BD58" s="118">
        <v>261.11490699202051</v>
      </c>
      <c r="BE58" s="118">
        <v>264.77051568990879</v>
      </c>
      <c r="BF58" s="118">
        <v>268.47730290956753</v>
      </c>
      <c r="BG58" s="118">
        <v>272.23598515030147</v>
      </c>
    </row>
    <row r="59" spans="1:59" ht="13.75" customHeight="1">
      <c r="A59" s="141" t="s">
        <v>166</v>
      </c>
      <c r="B59" s="170" t="s">
        <v>167</v>
      </c>
      <c r="C59" s="170"/>
      <c r="D59" s="170" t="s">
        <v>168</v>
      </c>
      <c r="E59" s="168"/>
      <c r="F59" s="168" t="s">
        <v>170</v>
      </c>
      <c r="G59" s="168" t="s">
        <v>4</v>
      </c>
      <c r="H59" s="168"/>
      <c r="I59" s="168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19">
        <v>169</v>
      </c>
      <c r="V59" s="119">
        <v>132</v>
      </c>
      <c r="W59" s="119">
        <v>108</v>
      </c>
      <c r="X59" s="118">
        <v>100</v>
      </c>
      <c r="Y59" s="118">
        <v>92</v>
      </c>
      <c r="Z59" s="118">
        <v>116</v>
      </c>
      <c r="AA59" s="117">
        <v>133.77083333333334</v>
      </c>
      <c r="AB59" s="119">
        <v>140.02083333333334</v>
      </c>
      <c r="AC59" s="119">
        <v>114.625</v>
      </c>
      <c r="AD59" s="119">
        <v>129.80500686569519</v>
      </c>
      <c r="AE59" s="119">
        <v>136.34877207438129</v>
      </c>
      <c r="AF59" s="119">
        <v>125.19967515376445</v>
      </c>
      <c r="AG59" s="118">
        <v>133.83621616496453</v>
      </c>
      <c r="AH59" s="118">
        <v>134.61126679708818</v>
      </c>
      <c r="AI59" s="118">
        <v>137.24179952405936</v>
      </c>
      <c r="AJ59" s="118">
        <v>139.83881722590721</v>
      </c>
      <c r="AK59" s="118">
        <v>142.47738721098463</v>
      </c>
      <c r="AL59" s="118">
        <v>145.15817431582329</v>
      </c>
      <c r="AM59" s="118">
        <v>147.88185401433935</v>
      </c>
      <c r="AN59" s="118">
        <v>149.96160707253301</v>
      </c>
      <c r="AO59" s="118">
        <v>152.06409882021123</v>
      </c>
      <c r="AP59" s="118">
        <v>154.18956947743041</v>
      </c>
      <c r="AQ59" s="118">
        <v>156.33826153362557</v>
      </c>
      <c r="AR59" s="118">
        <v>158.51041976406938</v>
      </c>
      <c r="AS59" s="118">
        <v>160.70629124634826</v>
      </c>
      <c r="AT59" s="118">
        <v>162.92612537685068</v>
      </c>
      <c r="AU59" s="118">
        <v>165.17017388726674</v>
      </c>
      <c r="AV59" s="118">
        <v>167.43869086109467</v>
      </c>
      <c r="AW59" s="118">
        <v>169.73193275015237</v>
      </c>
      <c r="AX59" s="118">
        <v>172.0501583910897</v>
      </c>
      <c r="AY59" s="118">
        <v>174.3936290218993</v>
      </c>
      <c r="AZ59" s="118">
        <v>176.76260829842232</v>
      </c>
      <c r="BA59" s="118">
        <v>179.15736231084549</v>
      </c>
      <c r="BB59" s="118">
        <v>181.57815960018607</v>
      </c>
      <c r="BC59" s="118">
        <v>173.60874639128457</v>
      </c>
      <c r="BD59" s="118">
        <v>176.35836456419892</v>
      </c>
      <c r="BE59" s="118">
        <v>179.14647739153412</v>
      </c>
      <c r="BF59" s="118">
        <v>181.97362379845197</v>
      </c>
      <c r="BG59" s="118">
        <v>184.84035025506674</v>
      </c>
    </row>
    <row r="60" spans="1:59" ht="13.75" customHeight="1">
      <c r="A60" s="141" t="s">
        <v>166</v>
      </c>
      <c r="B60" s="170" t="s">
        <v>167</v>
      </c>
      <c r="C60" s="170"/>
      <c r="D60" s="170" t="s">
        <v>168</v>
      </c>
      <c r="E60" s="168"/>
      <c r="F60" s="168" t="s">
        <v>171</v>
      </c>
      <c r="G60" s="168" t="s">
        <v>4</v>
      </c>
      <c r="H60" s="168"/>
      <c r="I60" s="168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19">
        <v>93</v>
      </c>
      <c r="V60" s="119">
        <v>82</v>
      </c>
      <c r="W60" s="119">
        <v>76</v>
      </c>
      <c r="X60" s="118">
        <v>56.7</v>
      </c>
      <c r="Y60" s="117">
        <v>59.41</v>
      </c>
      <c r="Z60" s="117">
        <v>84.29</v>
      </c>
      <c r="AA60" s="117">
        <v>91.98</v>
      </c>
      <c r="AB60" s="117">
        <v>61.44087301587296</v>
      </c>
      <c r="AC60" s="119">
        <v>50.45316205533598</v>
      </c>
      <c r="AD60" s="119">
        <v>120.05</v>
      </c>
      <c r="AE60" s="117">
        <v>290.03916334661346</v>
      </c>
      <c r="AF60" s="117">
        <v>128.97192952508956</v>
      </c>
      <c r="AG60" s="118">
        <v>132</v>
      </c>
      <c r="AH60" s="118">
        <v>118.80000000000001</v>
      </c>
      <c r="AI60" s="118">
        <v>118.80000000000001</v>
      </c>
      <c r="AJ60" s="118">
        <v>120.70080000000002</v>
      </c>
      <c r="AK60" s="118">
        <v>122.63201280000003</v>
      </c>
      <c r="AL60" s="118">
        <v>124.59412500480003</v>
      </c>
      <c r="AM60" s="118">
        <v>126.58763100487684</v>
      </c>
      <c r="AN60" s="118">
        <v>127.81553102562413</v>
      </c>
      <c r="AO60" s="118">
        <v>129.05467202800466</v>
      </c>
      <c r="AP60" s="118">
        <v>130.30514697797466</v>
      </c>
      <c r="AQ60" s="118">
        <v>131.56704945397189</v>
      </c>
      <c r="AR60" s="118">
        <v>132.8404736482282</v>
      </c>
      <c r="AS60" s="118">
        <v>134.12551436802534</v>
      </c>
      <c r="AT60" s="118">
        <v>135.42226703689224</v>
      </c>
      <c r="AU60" s="118">
        <v>136.73082769574296</v>
      </c>
      <c r="AV60" s="118">
        <v>138.05129300395274</v>
      </c>
      <c r="AW60" s="118">
        <v>139.3837602403714</v>
      </c>
      <c r="AX60" s="118">
        <v>140.72832730427155</v>
      </c>
      <c r="AY60" s="118">
        <v>142.08509271623072</v>
      </c>
      <c r="AZ60" s="118">
        <v>143.45415561894504</v>
      </c>
      <c r="BA60" s="118">
        <v>144.83561577797337</v>
      </c>
      <c r="BB60" s="118">
        <v>146.2295735824093</v>
      </c>
      <c r="BC60" s="118">
        <v>139.27936796743361</v>
      </c>
      <c r="BD60" s="118">
        <v>140.95072038304281</v>
      </c>
      <c r="BE60" s="118">
        <v>142.64212902763933</v>
      </c>
      <c r="BF60" s="118">
        <v>144.35383457597101</v>
      </c>
      <c r="BG60" s="118">
        <v>146.08608059088266</v>
      </c>
    </row>
    <row r="61" spans="1:59" ht="13.75" customHeight="1">
      <c r="A61" s="141" t="s">
        <v>166</v>
      </c>
      <c r="B61" s="170" t="s">
        <v>167</v>
      </c>
      <c r="C61" s="170"/>
      <c r="D61" s="170" t="s">
        <v>168</v>
      </c>
      <c r="E61" s="168"/>
      <c r="F61" s="168" t="s">
        <v>172</v>
      </c>
      <c r="G61" s="168" t="s">
        <v>4</v>
      </c>
      <c r="H61" s="168"/>
      <c r="I61" s="168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19">
        <v>95</v>
      </c>
      <c r="V61" s="119">
        <v>84</v>
      </c>
      <c r="W61" s="119">
        <v>71</v>
      </c>
      <c r="X61" s="118">
        <v>57.73</v>
      </c>
      <c r="Y61" s="117">
        <v>65.42</v>
      </c>
      <c r="Z61" s="117">
        <v>87.53</v>
      </c>
      <c r="AA61" s="117">
        <v>105.78</v>
      </c>
      <c r="AB61" s="117">
        <v>78.498653846153886</v>
      </c>
      <c r="AC61" s="119">
        <v>61.196551724137912</v>
      </c>
      <c r="AD61" s="119">
        <v>132.98158914728685</v>
      </c>
      <c r="AE61" s="117">
        <v>344.61073359073356</v>
      </c>
      <c r="AF61" s="117">
        <v>179.6332692307692</v>
      </c>
      <c r="AG61" s="118">
        <v>176</v>
      </c>
      <c r="AH61" s="118">
        <v>154</v>
      </c>
      <c r="AI61" s="118">
        <v>143</v>
      </c>
      <c r="AJ61" s="118">
        <v>145.28800000000004</v>
      </c>
      <c r="AK61" s="118">
        <v>147.61260800000002</v>
      </c>
      <c r="AL61" s="118">
        <v>149.97440972800004</v>
      </c>
      <c r="AM61" s="118">
        <v>152.37400028364803</v>
      </c>
      <c r="AN61" s="118">
        <v>153.85202808639937</v>
      </c>
      <c r="AO61" s="118">
        <v>155.34358670037597</v>
      </c>
      <c r="AP61" s="118">
        <v>156.84878802904353</v>
      </c>
      <c r="AQ61" s="118">
        <v>158.36774471311429</v>
      </c>
      <c r="AR61" s="118">
        <v>159.90057013212652</v>
      </c>
      <c r="AS61" s="118">
        <v>161.44737840595639</v>
      </c>
      <c r="AT61" s="118">
        <v>163.00828439625914</v>
      </c>
      <c r="AU61" s="118">
        <v>164.5834037078387</v>
      </c>
      <c r="AV61" s="118">
        <v>166.17285268994308</v>
      </c>
      <c r="AW61" s="118">
        <v>167.77674843748409</v>
      </c>
      <c r="AX61" s="118">
        <v>169.39520879217869</v>
      </c>
      <c r="AY61" s="118">
        <v>171.028352343611</v>
      </c>
      <c r="AZ61" s="118">
        <v>172.67629843021155</v>
      </c>
      <c r="BA61" s="118">
        <v>174.33916714015308</v>
      </c>
      <c r="BB61" s="118">
        <v>176.01707931215927</v>
      </c>
      <c r="BC61" s="118">
        <v>167.65109107191077</v>
      </c>
      <c r="BD61" s="118">
        <v>169.66290416477369</v>
      </c>
      <c r="BE61" s="118">
        <v>171.69885901475098</v>
      </c>
      <c r="BF61" s="118">
        <v>173.759245322928</v>
      </c>
      <c r="BG61" s="118">
        <v>175.84435626680315</v>
      </c>
    </row>
    <row r="62" spans="1:59" ht="13.75" customHeight="1" outlineLevel="1">
      <c r="B62" s="170"/>
      <c r="C62" s="170"/>
      <c r="D62" s="170"/>
      <c r="E62" s="168"/>
      <c r="F62" s="168"/>
      <c r="G62" s="168"/>
      <c r="H62" s="168"/>
      <c r="I62" s="168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19"/>
      <c r="V62" s="119"/>
      <c r="W62" s="119"/>
      <c r="X62" s="120"/>
      <c r="Y62" s="120"/>
      <c r="Z62" s="120"/>
      <c r="AA62" s="120"/>
      <c r="AB62" s="119"/>
      <c r="AC62" s="119"/>
      <c r="AD62" s="119"/>
      <c r="AE62" s="119"/>
      <c r="AF62" s="119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</row>
    <row r="63" spans="1:59" ht="13.75" customHeight="1">
      <c r="A63" s="141" t="s">
        <v>166</v>
      </c>
      <c r="B63" s="170" t="s">
        <v>173</v>
      </c>
      <c r="C63" s="170" t="s">
        <v>174</v>
      </c>
      <c r="D63" s="170" t="s">
        <v>168</v>
      </c>
      <c r="E63" s="168"/>
      <c r="F63" s="168" t="s">
        <v>175</v>
      </c>
      <c r="G63" s="168" t="s">
        <v>4</v>
      </c>
      <c r="H63" s="168"/>
      <c r="I63" s="168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19">
        <v>2052</v>
      </c>
      <c r="V63" s="119">
        <v>1888</v>
      </c>
      <c r="W63" s="119">
        <v>1895</v>
      </c>
      <c r="X63" s="118">
        <v>1681</v>
      </c>
      <c r="Y63" s="118">
        <v>1611</v>
      </c>
      <c r="Z63" s="118">
        <v>2111</v>
      </c>
      <c r="AA63" s="118">
        <v>2114</v>
      </c>
      <c r="AB63" s="119">
        <v>1794</v>
      </c>
      <c r="AC63" s="119">
        <v>1706</v>
      </c>
      <c r="AD63" s="119">
        <v>2477</v>
      </c>
      <c r="AE63" s="119">
        <v>2701</v>
      </c>
      <c r="AF63" s="119">
        <v>2252.6109072597792</v>
      </c>
      <c r="AG63" s="118">
        <v>2714</v>
      </c>
      <c r="AH63" s="118">
        <v>2932.5</v>
      </c>
      <c r="AI63" s="118">
        <v>3097.7028693635493</v>
      </c>
      <c r="AJ63" s="118">
        <v>3147.2661152733658</v>
      </c>
      <c r="AK63" s="118">
        <v>3197.6223731177402</v>
      </c>
      <c r="AL63" s="118">
        <v>3248.7843310876237</v>
      </c>
      <c r="AM63" s="118">
        <v>3300.7648803850257</v>
      </c>
      <c r="AN63" s="118">
        <v>3333.1123762127991</v>
      </c>
      <c r="AO63" s="118">
        <v>3365.7609017976633</v>
      </c>
      <c r="AP63" s="118">
        <v>3398.71302381439</v>
      </c>
      <c r="AQ63" s="118">
        <v>3431.9713271896585</v>
      </c>
      <c r="AR63" s="118">
        <v>3465.5384151705052</v>
      </c>
      <c r="AS63" s="118">
        <v>3499.4169093917767</v>
      </c>
      <c r="AT63" s="118">
        <v>3533.609449942574</v>
      </c>
      <c r="AU63" s="118">
        <v>3568.1186954316372</v>
      </c>
      <c r="AV63" s="118">
        <v>3602.9473230516473</v>
      </c>
      <c r="AW63" s="118">
        <v>3638.0980286423955</v>
      </c>
      <c r="AX63" s="118">
        <v>3673.5735267528021</v>
      </c>
      <c r="AY63" s="118">
        <v>3709.3765507017329</v>
      </c>
      <c r="AZ63" s="118">
        <v>3745.5098526375864</v>
      </c>
      <c r="BA63" s="118">
        <v>3781.9762035965996</v>
      </c>
      <c r="BB63" s="118">
        <v>3818.7783935598491</v>
      </c>
      <c r="BC63" s="118">
        <v>3473.8011094674762</v>
      </c>
      <c r="BD63" s="118">
        <v>3515.486722781086</v>
      </c>
      <c r="BE63" s="118">
        <v>3557.6725634544591</v>
      </c>
      <c r="BF63" s="118">
        <v>3600.3646342159127</v>
      </c>
      <c r="BG63" s="118">
        <v>3643.5690098265036</v>
      </c>
    </row>
    <row r="64" spans="1:59" ht="13.75" customHeight="1">
      <c r="A64" s="141" t="s">
        <v>166</v>
      </c>
      <c r="B64" s="170" t="s">
        <v>173</v>
      </c>
      <c r="C64" s="170" t="s">
        <v>176</v>
      </c>
      <c r="D64" s="170" t="s">
        <v>168</v>
      </c>
      <c r="E64" s="168"/>
      <c r="F64" s="168" t="s">
        <v>177</v>
      </c>
      <c r="G64" s="168" t="s">
        <v>4</v>
      </c>
      <c r="H64" s="168"/>
      <c r="I64" s="168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19">
        <v>634</v>
      </c>
      <c r="V64" s="119">
        <v>543</v>
      </c>
      <c r="W64" s="119">
        <v>489</v>
      </c>
      <c r="X64" s="118">
        <v>332.18515662994662</v>
      </c>
      <c r="Y64" s="118">
        <v>363.50507929756145</v>
      </c>
      <c r="Z64" s="118">
        <v>451.97061747756311</v>
      </c>
      <c r="AA64" s="118">
        <v>501.82639263071042</v>
      </c>
      <c r="AB64" s="119">
        <v>493.82920670833295</v>
      </c>
      <c r="AC64" s="119">
        <v>423.67847260472058</v>
      </c>
      <c r="AD64" s="119">
        <v>718.47756102481583</v>
      </c>
      <c r="AE64" s="119">
        <v>644.36337077487042</v>
      </c>
      <c r="AF64" s="119">
        <v>525.88468019517268</v>
      </c>
      <c r="AG64" s="118">
        <v>587.15651974808202</v>
      </c>
      <c r="AH64" s="118">
        <v>587.45106398139467</v>
      </c>
      <c r="AI64" s="118">
        <v>592.10542444876148</v>
      </c>
      <c r="AJ64" s="118">
        <v>589.74055005571392</v>
      </c>
      <c r="AK64" s="118">
        <v>598.50332981579845</v>
      </c>
      <c r="AL64" s="118">
        <v>607.3956590854732</v>
      </c>
      <c r="AM64" s="118">
        <v>616.4194614873594</v>
      </c>
      <c r="AN64" s="118">
        <v>624.15492413063566</v>
      </c>
      <c r="AO64" s="118">
        <v>631.98355440119042</v>
      </c>
      <c r="AP64" s="118">
        <v>639.90642634628955</v>
      </c>
      <c r="AQ64" s="118">
        <v>647.92462545726073</v>
      </c>
      <c r="AR64" s="118">
        <v>656.03924877298607</v>
      </c>
      <c r="AS64" s="118">
        <v>664.25140498394035</v>
      </c>
      <c r="AT64" s="118">
        <v>672.56221453676312</v>
      </c>
      <c r="AU64" s="118">
        <v>680.97280973936154</v>
      </c>
      <c r="AV64" s="118">
        <v>689.48433486653494</v>
      </c>
      <c r="AW64" s="118">
        <v>698.09794626611153</v>
      </c>
      <c r="AX64" s="118">
        <v>706.81481246559133</v>
      </c>
      <c r="AY64" s="118">
        <v>715.63611427928458</v>
      </c>
      <c r="AZ64" s="118">
        <v>724.56304491593767</v>
      </c>
      <c r="BA64" s="118">
        <v>733.59681008683754</v>
      </c>
      <c r="BB64" s="118">
        <v>742.7386281143821</v>
      </c>
      <c r="BC64" s="118">
        <v>709.42427362368835</v>
      </c>
      <c r="BD64" s="118">
        <v>719.95400448148871</v>
      </c>
      <c r="BE64" s="118">
        <v>730.63959622773132</v>
      </c>
      <c r="BF64" s="118">
        <v>741.4833660293574</v>
      </c>
      <c r="BG64" s="118">
        <v>752.48766565547726</v>
      </c>
    </row>
    <row r="65" spans="1:59" ht="13.75" customHeight="1">
      <c r="A65" s="141" t="s">
        <v>166</v>
      </c>
      <c r="B65" s="170" t="s">
        <v>173</v>
      </c>
      <c r="C65" s="170" t="s">
        <v>176</v>
      </c>
      <c r="D65" s="170" t="s">
        <v>168</v>
      </c>
      <c r="E65" s="168"/>
      <c r="F65" s="168" t="s">
        <v>178</v>
      </c>
      <c r="G65" s="168" t="s">
        <v>4</v>
      </c>
      <c r="H65" s="168"/>
      <c r="I65" s="168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19">
        <v>619</v>
      </c>
      <c r="V65" s="119">
        <v>586</v>
      </c>
      <c r="W65" s="119">
        <v>527</v>
      </c>
      <c r="X65" s="118">
        <v>361.41666666666669</v>
      </c>
      <c r="Y65" s="118">
        <v>372.83333333333331</v>
      </c>
      <c r="Z65" s="118">
        <v>465.5</v>
      </c>
      <c r="AA65" s="118">
        <v>530.41666666666663</v>
      </c>
      <c r="AB65" s="119">
        <v>449</v>
      </c>
      <c r="AC65" s="119">
        <v>445.08333333333331</v>
      </c>
      <c r="AD65" s="119">
        <v>705.41666666666663</v>
      </c>
      <c r="AE65" s="119">
        <v>642.41666666666663</v>
      </c>
      <c r="AF65" s="119">
        <v>536.91666666666674</v>
      </c>
      <c r="AG65" s="118">
        <v>598.15651974808202</v>
      </c>
      <c r="AH65" s="118">
        <v>592.95106398139467</v>
      </c>
      <c r="AI65" s="118">
        <v>597.60542444876148</v>
      </c>
      <c r="AJ65" s="118">
        <v>595.24055005571392</v>
      </c>
      <c r="AK65" s="118">
        <v>604.00332981579845</v>
      </c>
      <c r="AL65" s="118">
        <v>612.8956590854732</v>
      </c>
      <c r="AM65" s="118">
        <v>621.9194614873594</v>
      </c>
      <c r="AN65" s="118">
        <v>629.64242413063573</v>
      </c>
      <c r="AO65" s="118">
        <v>637.45855440119044</v>
      </c>
      <c r="AP65" s="118">
        <v>645.36892634628953</v>
      </c>
      <c r="AQ65" s="118">
        <v>653.37462545726066</v>
      </c>
      <c r="AR65" s="118">
        <v>661.47674877298607</v>
      </c>
      <c r="AS65" s="118">
        <v>669.6764049839403</v>
      </c>
      <c r="AT65" s="118">
        <v>677.97471453676314</v>
      </c>
      <c r="AU65" s="118">
        <v>686.37280973936151</v>
      </c>
      <c r="AV65" s="118">
        <v>694.87183486653498</v>
      </c>
      <c r="AW65" s="118">
        <v>703.47294626611153</v>
      </c>
      <c r="AX65" s="118">
        <v>712.1773124655914</v>
      </c>
      <c r="AY65" s="118">
        <v>720.98611427928449</v>
      </c>
      <c r="AZ65" s="118">
        <v>729.90054491593764</v>
      </c>
      <c r="BA65" s="118">
        <v>738.92181008683747</v>
      </c>
      <c r="BB65" s="118">
        <v>748.0511281143821</v>
      </c>
      <c r="BC65" s="118">
        <v>714.42427362368835</v>
      </c>
      <c r="BD65" s="118">
        <v>724.95400448148871</v>
      </c>
      <c r="BE65" s="118">
        <v>735.63959622773132</v>
      </c>
      <c r="BF65" s="118">
        <v>746.4833660293574</v>
      </c>
      <c r="BG65" s="118">
        <v>757.48766565547726</v>
      </c>
    </row>
    <row r="66" spans="1:59" ht="13.75" customHeight="1">
      <c r="A66" s="141" t="s">
        <v>166</v>
      </c>
      <c r="B66" s="170" t="s">
        <v>173</v>
      </c>
      <c r="C66" s="170" t="s">
        <v>179</v>
      </c>
      <c r="D66" s="170" t="s">
        <v>168</v>
      </c>
      <c r="E66" s="168"/>
      <c r="F66" s="168" t="s">
        <v>180</v>
      </c>
      <c r="G66" s="168" t="s">
        <v>4</v>
      </c>
      <c r="H66" s="168"/>
      <c r="I66" s="168" t="s">
        <v>181</v>
      </c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19">
        <v>1288.809462504023</v>
      </c>
      <c r="V66" s="119">
        <v>1218.3526084223759</v>
      </c>
      <c r="W66" s="119">
        <v>1040.3367875647668</v>
      </c>
      <c r="X66" s="118">
        <v>1078</v>
      </c>
      <c r="Y66" s="118">
        <v>970</v>
      </c>
      <c r="Z66" s="118">
        <v>1152</v>
      </c>
      <c r="AA66" s="118">
        <v>1294</v>
      </c>
      <c r="AB66" s="118">
        <v>1300</v>
      </c>
      <c r="AC66" s="118">
        <v>1166</v>
      </c>
      <c r="AD66" s="118">
        <v>1149</v>
      </c>
      <c r="AE66" s="118">
        <v>1241.1373005604119</v>
      </c>
      <c r="AF66" s="118">
        <v>1182.7746891243269</v>
      </c>
      <c r="AG66" s="118">
        <v>1250.7736086616951</v>
      </c>
      <c r="AH66" s="118">
        <v>1241.8102062889175</v>
      </c>
      <c r="AI66" s="118">
        <v>1246.6360482927685</v>
      </c>
      <c r="AJ66" s="118">
        <v>1246.9278492625558</v>
      </c>
      <c r="AK66" s="118">
        <v>1254.3325902160639</v>
      </c>
      <c r="AL66" s="118">
        <v>1283.823711508468</v>
      </c>
      <c r="AM66" s="118">
        <v>1291.4024493460809</v>
      </c>
      <c r="AN66" s="118">
        <v>1296.1176263284897</v>
      </c>
      <c r="AO66" s="118">
        <v>1300.8876850605502</v>
      </c>
      <c r="AP66" s="118">
        <v>1305.7132941787738</v>
      </c>
      <c r="AQ66" s="118">
        <v>1310.5951295794832</v>
      </c>
      <c r="AR66" s="118">
        <v>1315.5338744847952</v>
      </c>
      <c r="AS66" s="118">
        <v>1320.5302195089535</v>
      </c>
      <c r="AT66" s="118">
        <v>1325.5848627250009</v>
      </c>
      <c r="AU66" s="118">
        <v>1330.6985097317913</v>
      </c>
      <c r="AV66" s="118">
        <v>1335.8718737213335</v>
      </c>
      <c r="AW66" s="118">
        <v>1341.1056755464638</v>
      </c>
      <c r="AX66" s="118">
        <v>1346.4006437888386</v>
      </c>
      <c r="AY66" s="118">
        <v>1351.7575148272483</v>
      </c>
      <c r="AZ66" s="118">
        <v>1357.1770329062349</v>
      </c>
      <c r="BA66" s="118">
        <v>1362.6599502050235</v>
      </c>
      <c r="BB66" s="118">
        <v>1368.2070269067433</v>
      </c>
      <c r="BC66" s="118">
        <v>1296.0556898754216</v>
      </c>
      <c r="BD66" s="118">
        <v>1304.4886427313593</v>
      </c>
      <c r="BE66" s="118">
        <v>1313.0245846267505</v>
      </c>
      <c r="BF66" s="118">
        <v>1321.6650027963074</v>
      </c>
      <c r="BG66" s="118">
        <v>1330.4114065953281</v>
      </c>
    </row>
    <row r="67" spans="1:59" ht="13.75" customHeight="1">
      <c r="A67" s="141" t="s">
        <v>166</v>
      </c>
      <c r="B67" s="170" t="s">
        <v>173</v>
      </c>
      <c r="C67" s="170" t="s">
        <v>176</v>
      </c>
      <c r="D67" s="170" t="s">
        <v>168</v>
      </c>
      <c r="E67" s="168"/>
      <c r="F67" s="168" t="s">
        <v>182</v>
      </c>
      <c r="G67" s="168" t="s">
        <v>4</v>
      </c>
      <c r="H67" s="168"/>
      <c r="I67" s="168" t="s">
        <v>181</v>
      </c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19">
        <v>395</v>
      </c>
      <c r="V67" s="119">
        <v>369</v>
      </c>
      <c r="W67" s="119">
        <v>370</v>
      </c>
      <c r="X67" s="118">
        <v>262</v>
      </c>
      <c r="Y67" s="118">
        <v>216.90683358824506</v>
      </c>
      <c r="Z67" s="118">
        <v>219.89667083788646</v>
      </c>
      <c r="AA67" s="118">
        <v>272.25247867111841</v>
      </c>
      <c r="AB67" s="119">
        <v>242</v>
      </c>
      <c r="AC67" s="119">
        <v>217</v>
      </c>
      <c r="AD67" s="119">
        <v>414</v>
      </c>
      <c r="AE67" s="119">
        <v>326</v>
      </c>
      <c r="AF67" s="119">
        <v>246.36336816394464</v>
      </c>
      <c r="AG67" s="118">
        <v>268.94884584157262</v>
      </c>
      <c r="AH67" s="118">
        <v>274.10666775864905</v>
      </c>
      <c r="AI67" s="118">
        <v>276.82856317992247</v>
      </c>
      <c r="AJ67" s="118">
        <v>275.44445121965254</v>
      </c>
      <c r="AK67" s="118">
        <v>280.5696473883458</v>
      </c>
      <c r="AL67" s="118">
        <v>285.77061983750042</v>
      </c>
      <c r="AM67" s="118">
        <v>291.0484937758942</v>
      </c>
      <c r="AN67" s="118">
        <v>295.73114474773342</v>
      </c>
      <c r="AO67" s="118">
        <v>300.46829595147409</v>
      </c>
      <c r="AP67" s="118">
        <v>305.2605756740013</v>
      </c>
      <c r="AQ67" s="118">
        <v>310.1086188966338</v>
      </c>
      <c r="AR67" s="118">
        <v>315.01306735566368</v>
      </c>
      <c r="AS67" s="118">
        <v>319.9745696032154</v>
      </c>
      <c r="AT67" s="118">
        <v>324.99378106841755</v>
      </c>
      <c r="AU67" s="118">
        <v>330.07136411888467</v>
      </c>
      <c r="AV67" s="118">
        <v>335.20798812250428</v>
      </c>
      <c r="AW67" s="118">
        <v>340.40432950952317</v>
      </c>
      <c r="AX67" s="118">
        <v>345.66107183493142</v>
      </c>
      <c r="AY67" s="118">
        <v>350.97890584113367</v>
      </c>
      <c r="AZ67" s="118">
        <v>356.35852952090772</v>
      </c>
      <c r="BA67" s="118">
        <v>361.80064818064221</v>
      </c>
      <c r="BB67" s="118">
        <v>367.30597450384653</v>
      </c>
      <c r="BC67" s="118">
        <v>351.76945115111999</v>
      </c>
      <c r="BD67" s="118">
        <v>357.92899959408157</v>
      </c>
      <c r="BE67" s="118">
        <v>364.17972156328887</v>
      </c>
      <c r="BF67" s="118">
        <v>370.52297252567797</v>
      </c>
      <c r="BG67" s="118">
        <v>376.96012818932331</v>
      </c>
    </row>
    <row r="68" spans="1:59" ht="13.75" customHeight="1">
      <c r="A68" s="141" t="s">
        <v>166</v>
      </c>
      <c r="B68" s="170" t="s">
        <v>173</v>
      </c>
      <c r="C68" s="170" t="s">
        <v>176</v>
      </c>
      <c r="D68" s="170" t="s">
        <v>168</v>
      </c>
      <c r="E68" s="168"/>
      <c r="F68" s="168" t="s">
        <v>183</v>
      </c>
      <c r="G68" s="168" t="s">
        <v>4</v>
      </c>
      <c r="H68" s="168"/>
      <c r="I68" s="168" t="s">
        <v>181</v>
      </c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19">
        <v>371</v>
      </c>
      <c r="V68" s="119">
        <v>350</v>
      </c>
      <c r="W68" s="119">
        <v>363</v>
      </c>
      <c r="X68" s="118">
        <v>257</v>
      </c>
      <c r="Y68" s="118">
        <v>236</v>
      </c>
      <c r="Z68" s="118">
        <v>240</v>
      </c>
      <c r="AA68" s="118">
        <v>297</v>
      </c>
      <c r="AB68" s="119">
        <v>262</v>
      </c>
      <c r="AC68" s="119">
        <v>256</v>
      </c>
      <c r="AD68" s="119">
        <v>435</v>
      </c>
      <c r="AE68" s="119">
        <v>363</v>
      </c>
      <c r="AF68" s="119">
        <v>281.16666666666669</v>
      </c>
      <c r="AG68" s="118">
        <v>317.75677632240121</v>
      </c>
      <c r="AH68" s="118">
        <v>320.19474351846742</v>
      </c>
      <c r="AI68" s="118">
        <v>322.93260261691853</v>
      </c>
      <c r="AJ68" s="118">
        <v>321.54150003277289</v>
      </c>
      <c r="AK68" s="118">
        <v>326.69607636223435</v>
      </c>
      <c r="AL68" s="118">
        <v>331.92685828557245</v>
      </c>
      <c r="AM68" s="118">
        <v>337.23497734550557</v>
      </c>
      <c r="AN68" s="118">
        <v>341.84289654743276</v>
      </c>
      <c r="AO68" s="118">
        <v>346.5056202359944</v>
      </c>
      <c r="AP68" s="118">
        <v>351.22378020369973</v>
      </c>
      <c r="AQ68" s="118">
        <v>355.99801497485925</v>
      </c>
      <c r="AR68" s="118">
        <v>360.82896986646244</v>
      </c>
      <c r="AS68" s="118">
        <v>365.71729704937667</v>
      </c>
      <c r="AT68" s="118">
        <v>370.66365560986065</v>
      </c>
      <c r="AU68" s="118">
        <v>375.66871161138914</v>
      </c>
      <c r="AV68" s="118">
        <v>380.73313815678529</v>
      </c>
      <c r="AW68" s="118">
        <v>385.8576154506539</v>
      </c>
      <c r="AX68" s="118">
        <v>391.04283086211257</v>
      </c>
      <c r="AY68" s="118">
        <v>396.28947898781445</v>
      </c>
      <c r="AZ68" s="118">
        <v>401.59826171525748</v>
      </c>
      <c r="BA68" s="118">
        <v>406.96988828637501</v>
      </c>
      <c r="BB68" s="118">
        <v>412.40507536140126</v>
      </c>
      <c r="BC68" s="118">
        <v>394.24957271981668</v>
      </c>
      <c r="BD68" s="118">
        <v>400.44353204793453</v>
      </c>
      <c r="BE68" s="118">
        <v>406.72917425160665</v>
      </c>
      <c r="BF68" s="118">
        <v>413.10786237021023</v>
      </c>
      <c r="BG68" s="118">
        <v>419.58097979733958</v>
      </c>
    </row>
    <row r="69" spans="1:59" ht="13.75" customHeight="1">
      <c r="A69" s="141" t="s">
        <v>166</v>
      </c>
      <c r="B69" s="170" t="s">
        <v>173</v>
      </c>
      <c r="C69" s="170" t="s">
        <v>176</v>
      </c>
      <c r="D69" s="170" t="s">
        <v>168</v>
      </c>
      <c r="E69" s="168"/>
      <c r="F69" s="168" t="s">
        <v>184</v>
      </c>
      <c r="G69" s="168" t="s">
        <v>4</v>
      </c>
      <c r="H69" s="168"/>
      <c r="I69" s="168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19">
        <v>561</v>
      </c>
      <c r="V69" s="119">
        <v>509</v>
      </c>
      <c r="W69" s="119">
        <v>477</v>
      </c>
      <c r="X69" s="118">
        <v>0</v>
      </c>
      <c r="Y69" s="118">
        <v>424</v>
      </c>
      <c r="Z69" s="118">
        <v>534</v>
      </c>
      <c r="AA69" s="118">
        <v>549.21675752137571</v>
      </c>
      <c r="AB69" s="119">
        <v>527</v>
      </c>
      <c r="AC69" s="119">
        <v>478</v>
      </c>
      <c r="AD69" s="119">
        <v>895</v>
      </c>
      <c r="AE69" s="119">
        <v>787.25497291335125</v>
      </c>
      <c r="AF69" s="119">
        <v>658.98539599572189</v>
      </c>
      <c r="AG69" s="118">
        <v>730.93492444433639</v>
      </c>
      <c r="AH69" s="118">
        <v>722.72803317772889</v>
      </c>
      <c r="AI69" s="118">
        <v>740.72156090999795</v>
      </c>
      <c r="AJ69" s="118">
        <v>750.72469883082465</v>
      </c>
      <c r="AK69" s="118">
        <v>761.56195556551472</v>
      </c>
      <c r="AL69" s="118">
        <v>772.55616766970741</v>
      </c>
      <c r="AM69" s="118">
        <v>783.70961625897905</v>
      </c>
      <c r="AN69" s="118">
        <v>793.21774159772451</v>
      </c>
      <c r="AO69" s="118">
        <v>802.83758915504745</v>
      </c>
      <c r="AP69" s="118">
        <v>812.57040760486802</v>
      </c>
      <c r="AQ69" s="118">
        <v>822.41745840578153</v>
      </c>
      <c r="AR69" s="118">
        <v>832.38001590939348</v>
      </c>
      <c r="AS69" s="118">
        <v>842.45936746909854</v>
      </c>
      <c r="AT69" s="118">
        <v>852.65681354928881</v>
      </c>
      <c r="AU69" s="118">
        <v>862.97366783498705</v>
      </c>
      <c r="AV69" s="118">
        <v>873.41125734188904</v>
      </c>
      <c r="AW69" s="118">
        <v>883.97092252680613</v>
      </c>
      <c r="AX69" s="118">
        <v>894.65401739849199</v>
      </c>
      <c r="AY69" s="118">
        <v>905.46190962884896</v>
      </c>
      <c r="AZ69" s="118">
        <v>916.39598066449184</v>
      </c>
      <c r="BA69" s="118">
        <v>927.45762583866372</v>
      </c>
      <c r="BB69" s="118">
        <v>938.64825448348404</v>
      </c>
      <c r="BC69" s="118">
        <v>896.19744343633761</v>
      </c>
      <c r="BD69" s="118">
        <v>909.14626022094876</v>
      </c>
      <c r="BE69" s="118">
        <v>922.28279328176848</v>
      </c>
      <c r="BF69" s="118">
        <v>935.60977357212323</v>
      </c>
      <c r="BG69" s="118">
        <v>949.12997192549346</v>
      </c>
    </row>
    <row r="70" spans="1:59" ht="13.75" customHeight="1">
      <c r="A70" s="141" t="s">
        <v>166</v>
      </c>
      <c r="B70" s="170" t="s">
        <v>173</v>
      </c>
      <c r="C70" s="170" t="s">
        <v>176</v>
      </c>
      <c r="D70" s="170" t="s">
        <v>168</v>
      </c>
      <c r="E70" s="168"/>
      <c r="F70" s="168" t="s">
        <v>185</v>
      </c>
      <c r="G70" s="168" t="s">
        <v>4</v>
      </c>
      <c r="H70" s="168"/>
      <c r="I70" s="168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19">
        <v>581</v>
      </c>
      <c r="V70" s="119">
        <v>543</v>
      </c>
      <c r="W70" s="119">
        <v>522</v>
      </c>
      <c r="X70" s="118">
        <v>349.83333333333331</v>
      </c>
      <c r="Y70" s="118">
        <v>388.83333333333331</v>
      </c>
      <c r="Z70" s="118">
        <v>503.75</v>
      </c>
      <c r="AA70" s="118">
        <v>555.16666666666663</v>
      </c>
      <c r="AB70" s="118">
        <v>464</v>
      </c>
      <c r="AC70" s="118">
        <v>471</v>
      </c>
      <c r="AD70" s="118">
        <v>860</v>
      </c>
      <c r="AE70" s="118">
        <v>705.91666666666663</v>
      </c>
      <c r="AF70" s="118">
        <v>584.08333333333337</v>
      </c>
      <c r="AG70" s="118">
        <v>672.77857305916018</v>
      </c>
      <c r="AH70" s="118">
        <v>667.71670668027878</v>
      </c>
      <c r="AI70" s="118">
        <v>667.01880275761721</v>
      </c>
      <c r="AJ70" s="118">
        <v>665.20535996783667</v>
      </c>
      <c r="AK70" s="118">
        <v>675.52048897666259</v>
      </c>
      <c r="AL70" s="118">
        <v>685.99606585512061</v>
      </c>
      <c r="AM70" s="118">
        <v>696.63459345040144</v>
      </c>
      <c r="AN70" s="118">
        <v>727.78079872352828</v>
      </c>
      <c r="AO70" s="118">
        <v>737.04520529883314</v>
      </c>
      <c r="AP70" s="118">
        <v>746.42927146916372</v>
      </c>
      <c r="AQ70" s="118">
        <v>755.93447233224492</v>
      </c>
      <c r="AR70" s="118">
        <v>765.56229996038917</v>
      </c>
      <c r="AS70" s="118">
        <v>775.31426357140549</v>
      </c>
      <c r="AT70" s="118">
        <v>785.1918897007024</v>
      </c>
      <c r="AU70" s="118">
        <v>795.19672237457939</v>
      </c>
      <c r="AV70" s="118">
        <v>805.33032328470449</v>
      </c>
      <c r="AW70" s="118">
        <v>815.59427196377032</v>
      </c>
      <c r="AX70" s="118">
        <v>825.99016596232104</v>
      </c>
      <c r="AY70" s="118">
        <v>836.51962102674827</v>
      </c>
      <c r="AZ70" s="118">
        <v>847.18427127844495</v>
      </c>
      <c r="BA70" s="118">
        <v>857.98576939411271</v>
      </c>
      <c r="BB70" s="118">
        <v>868.92578678721065</v>
      </c>
      <c r="BC70" s="118">
        <v>830.19435263258765</v>
      </c>
      <c r="BD70" s="118">
        <v>842.76894547514826</v>
      </c>
      <c r="BE70" s="118">
        <v>855.53929256799597</v>
      </c>
      <c r="BF70" s="118">
        <v>868.50844982984268</v>
      </c>
      <c r="BG70" s="118">
        <v>881.67952100800971</v>
      </c>
    </row>
    <row r="71" spans="1:59" ht="13.75" customHeight="1">
      <c r="A71" s="141" t="s">
        <v>166</v>
      </c>
      <c r="B71" s="170" t="s">
        <v>173</v>
      </c>
      <c r="C71" s="170" t="s">
        <v>176</v>
      </c>
      <c r="D71" s="170" t="s">
        <v>168</v>
      </c>
      <c r="E71" s="168"/>
      <c r="F71" s="168" t="s">
        <v>186</v>
      </c>
      <c r="G71" s="168" t="s">
        <v>4</v>
      </c>
      <c r="H71" s="168"/>
      <c r="I71" s="168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19">
        <v>957</v>
      </c>
      <c r="V71" s="119">
        <v>815</v>
      </c>
      <c r="W71" s="119">
        <v>716</v>
      </c>
      <c r="X71" s="118">
        <v>562</v>
      </c>
      <c r="Y71" s="118">
        <v>647</v>
      </c>
      <c r="Z71" s="118">
        <v>700</v>
      </c>
      <c r="AA71" s="118">
        <v>769</v>
      </c>
      <c r="AB71" s="119">
        <v>732</v>
      </c>
      <c r="AC71" s="119">
        <v>714</v>
      </c>
      <c r="AD71" s="119">
        <v>1161</v>
      </c>
      <c r="AE71" s="119">
        <v>999.39553675450816</v>
      </c>
      <c r="AF71" s="119">
        <v>824.13168534793385</v>
      </c>
      <c r="AG71" s="118">
        <v>961.41414727952304</v>
      </c>
      <c r="AH71" s="118">
        <v>957.00404627214675</v>
      </c>
      <c r="AI71" s="118">
        <v>978.85691053612777</v>
      </c>
      <c r="AJ71" s="118">
        <v>992.67021405097262</v>
      </c>
      <c r="AK71" s="118">
        <v>1007.3785990291851</v>
      </c>
      <c r="AL71" s="118">
        <v>1022.3058774287964</v>
      </c>
      <c r="AM71" s="118">
        <v>1037.4553213742136</v>
      </c>
      <c r="AN71" s="118">
        <v>1050.4374560939002</v>
      </c>
      <c r="AO71" s="118">
        <v>1063.5775224318452</v>
      </c>
      <c r="AP71" s="118">
        <v>1076.8773584163566</v>
      </c>
      <c r="AQ71" s="118">
        <v>1090.3388218901521</v>
      </c>
      <c r="AR71" s="118">
        <v>1103.9637906927705</v>
      </c>
      <c r="AS71" s="118">
        <v>1117.7541628439983</v>
      </c>
      <c r="AT71" s="118">
        <v>1131.7118567282955</v>
      </c>
      <c r="AU71" s="118">
        <v>1145.8388112802163</v>
      </c>
      <c r="AV71" s="118">
        <v>1160.136986170806</v>
      </c>
      <c r="AW71" s="118">
        <v>1174.6083619949668</v>
      </c>
      <c r="AX71" s="118">
        <v>1189.2549404597717</v>
      </c>
      <c r="AY71" s="118">
        <v>1204.078744573724</v>
      </c>
      <c r="AZ71" s="118">
        <v>1219.0818188369335</v>
      </c>
      <c r="BA71" s="118">
        <v>1234.2662294322083</v>
      </c>
      <c r="BB71" s="118">
        <v>1249.6340644170343</v>
      </c>
      <c r="BC71" s="118">
        <v>1193.5730508645611</v>
      </c>
      <c r="BD71" s="118">
        <v>1211.2798773680238</v>
      </c>
      <c r="BE71" s="118">
        <v>1229.2505483031966</v>
      </c>
      <c r="BF71" s="118">
        <v>1247.4890126738944</v>
      </c>
      <c r="BG71" s="118">
        <v>1265.9992788528928</v>
      </c>
    </row>
    <row r="72" spans="1:59" ht="13.75" customHeight="1">
      <c r="A72" s="141" t="s">
        <v>166</v>
      </c>
      <c r="B72" s="170" t="s">
        <v>173</v>
      </c>
      <c r="C72" s="170" t="s">
        <v>176</v>
      </c>
      <c r="D72" s="170" t="s">
        <v>168</v>
      </c>
      <c r="E72" s="168"/>
      <c r="F72" s="168" t="s">
        <v>187</v>
      </c>
      <c r="G72" s="168" t="s">
        <v>4</v>
      </c>
      <c r="H72" s="168"/>
      <c r="I72" s="168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19">
        <v>737.64407700208335</v>
      </c>
      <c r="V72" s="119">
        <v>692.30197291666661</v>
      </c>
      <c r="W72" s="119">
        <v>649.52198020833328</v>
      </c>
      <c r="X72" s="118">
        <v>613</v>
      </c>
      <c r="Y72" s="118">
        <v>657</v>
      </c>
      <c r="Z72" s="118">
        <v>735</v>
      </c>
      <c r="AA72" s="118">
        <v>760.125</v>
      </c>
      <c r="AB72" s="119">
        <v>647</v>
      </c>
      <c r="AC72" s="119">
        <v>663</v>
      </c>
      <c r="AD72" s="119">
        <v>1164</v>
      </c>
      <c r="AE72" s="119">
        <v>1023.3417330969603</v>
      </c>
      <c r="AF72" s="119">
        <v>816.80216142193763</v>
      </c>
      <c r="AG72" s="118">
        <v>966.4941753391555</v>
      </c>
      <c r="AH72" s="118">
        <v>958.06469875456662</v>
      </c>
      <c r="AI72" s="118">
        <v>997.72024040287886</v>
      </c>
      <c r="AJ72" s="118">
        <v>1022.4726937757608</v>
      </c>
      <c r="AK72" s="118">
        <v>1036.8117367336263</v>
      </c>
      <c r="AL72" s="118">
        <v>1051.3519170968218</v>
      </c>
      <c r="AM72" s="118">
        <v>1066.0960570418845</v>
      </c>
      <c r="AN72" s="118">
        <v>1056.6400933141517</v>
      </c>
      <c r="AO72" s="118">
        <v>1069.3249407061674</v>
      </c>
      <c r="AP72" s="118">
        <v>1082.1520919067746</v>
      </c>
      <c r="AQ72" s="118">
        <v>1095.1230537801684</v>
      </c>
      <c r="AR72" s="118">
        <v>1108.2393474698742</v>
      </c>
      <c r="AS72" s="118">
        <v>1121.5025085028533</v>
      </c>
      <c r="AT72" s="118">
        <v>1134.9140868937127</v>
      </c>
      <c r="AU72" s="118">
        <v>1148.4756472490137</v>
      </c>
      <c r="AV72" s="118">
        <v>1162.1887688716522</v>
      </c>
      <c r="AW72" s="118">
        <v>1176.0550458652947</v>
      </c>
      <c r="AX72" s="118">
        <v>1190.0760872388487</v>
      </c>
      <c r="AY72" s="118">
        <v>1204.2535170109575</v>
      </c>
      <c r="AZ72" s="118">
        <v>1218.5889743144833</v>
      </c>
      <c r="BA72" s="118">
        <v>1233.0841135009748</v>
      </c>
      <c r="BB72" s="118">
        <v>1247.7406042450827</v>
      </c>
      <c r="BC72" s="118">
        <v>1191.0944638197309</v>
      </c>
      <c r="BD72" s="118">
        <v>1208.0798074196668</v>
      </c>
      <c r="BE72" s="118">
        <v>1225.3034261677051</v>
      </c>
      <c r="BF72" s="118">
        <v>1242.7686636013229</v>
      </c>
      <c r="BG72" s="118">
        <v>1260.4789101904867</v>
      </c>
    </row>
    <row r="73" spans="1:59" ht="13.75" customHeight="1">
      <c r="A73" s="141" t="s">
        <v>166</v>
      </c>
      <c r="B73" s="170" t="s">
        <v>173</v>
      </c>
      <c r="C73" s="170" t="s">
        <v>176</v>
      </c>
      <c r="D73" s="170" t="s">
        <v>168</v>
      </c>
      <c r="E73" s="168"/>
      <c r="F73" s="168" t="s">
        <v>188</v>
      </c>
      <c r="G73" s="168" t="s">
        <v>4</v>
      </c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>
        <v>129</v>
      </c>
      <c r="V73" s="118">
        <v>136</v>
      </c>
      <c r="W73" s="118">
        <v>97</v>
      </c>
      <c r="X73" s="118">
        <v>55</v>
      </c>
      <c r="Y73" s="118">
        <v>58</v>
      </c>
      <c r="Z73" s="118">
        <v>71</v>
      </c>
      <c r="AA73" s="118">
        <v>68.930000000000007</v>
      </c>
      <c r="AB73" s="118">
        <v>93</v>
      </c>
      <c r="AC73" s="119">
        <v>108</v>
      </c>
      <c r="AD73" s="118">
        <v>159</v>
      </c>
      <c r="AE73" s="118">
        <v>120.90780303030304</v>
      </c>
      <c r="AF73" s="118">
        <v>115.66546538461539</v>
      </c>
      <c r="AG73" s="118">
        <v>121.00000000000001</v>
      </c>
      <c r="AH73" s="118">
        <v>115.50000000000001</v>
      </c>
      <c r="AI73" s="118">
        <v>117.40268463051353</v>
      </c>
      <c r="AJ73" s="118">
        <v>119.28112758460176</v>
      </c>
      <c r="AK73" s="118">
        <v>121.18962562595539</v>
      </c>
      <c r="AL73" s="118">
        <v>123.12865963597068</v>
      </c>
      <c r="AM73" s="118">
        <v>125.09871819014622</v>
      </c>
      <c r="AN73" s="118">
        <v>126.81143336827674</v>
      </c>
      <c r="AO73" s="118">
        <v>128.54693016025078</v>
      </c>
      <c r="AP73" s="118">
        <v>130.30549912262575</v>
      </c>
      <c r="AQ73" s="118">
        <v>132.08743427767567</v>
      </c>
      <c r="AR73" s="118">
        <v>133.89303314991176</v>
      </c>
      <c r="AS73" s="118">
        <v>135.72259680288437</v>
      </c>
      <c r="AT73" s="118">
        <v>137.57642987626571</v>
      </c>
      <c r="AU73" s="118">
        <v>139.4548406232137</v>
      </c>
      <c r="AV73" s="118">
        <v>141.35814094801569</v>
      </c>
      <c r="AW73" s="118">
        <v>143.28664644401181</v>
      </c>
      <c r="AX73" s="118">
        <v>145.24067643179714</v>
      </c>
      <c r="AY73" s="118">
        <v>147.22055399770193</v>
      </c>
      <c r="AZ73" s="118">
        <v>149.22660603254909</v>
      </c>
      <c r="BA73" s="118">
        <v>151.25916327068799</v>
      </c>
      <c r="BB73" s="118">
        <v>153.31856032930298</v>
      </c>
      <c r="BC73" s="118">
        <v>146.60861863018525</v>
      </c>
      <c r="BD73" s="118">
        <v>148.95435652826822</v>
      </c>
      <c r="BE73" s="118">
        <v>151.33762623272051</v>
      </c>
      <c r="BF73" s="118">
        <v>153.75902825244404</v>
      </c>
      <c r="BG73" s="118">
        <v>156.21917270448316</v>
      </c>
    </row>
    <row r="74" spans="1:59" ht="13.75" customHeight="1">
      <c r="A74" s="141" t="s">
        <v>166</v>
      </c>
      <c r="B74" s="170" t="s">
        <v>173</v>
      </c>
      <c r="C74" s="170" t="s">
        <v>176</v>
      </c>
      <c r="D74" s="170" t="s">
        <v>168</v>
      </c>
      <c r="E74" s="168"/>
      <c r="F74" s="168" t="s">
        <v>189</v>
      </c>
      <c r="G74" s="168" t="s">
        <v>4</v>
      </c>
      <c r="H74" s="168"/>
      <c r="I74" s="168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19">
        <v>574.97961911591722</v>
      </c>
      <c r="V74" s="119">
        <v>467.93014601299592</v>
      </c>
      <c r="W74" s="119">
        <v>445.59876825650304</v>
      </c>
      <c r="X74" s="118">
        <v>300.76848996327993</v>
      </c>
      <c r="Y74" s="118">
        <v>274.67174596422814</v>
      </c>
      <c r="Z74" s="118">
        <v>452.47061747756311</v>
      </c>
      <c r="AA74" s="118">
        <v>460.30972596404376</v>
      </c>
      <c r="AB74" s="119">
        <v>413</v>
      </c>
      <c r="AC74" s="119">
        <v>367</v>
      </c>
      <c r="AD74" s="119">
        <v>623</v>
      </c>
      <c r="AE74" s="119">
        <v>599.49572371604688</v>
      </c>
      <c r="AF74" s="119">
        <v>499.05134686183925</v>
      </c>
      <c r="AG74" s="118">
        <v>551.18173779431515</v>
      </c>
      <c r="AH74" s="118">
        <v>543.60462549180352</v>
      </c>
      <c r="AI74" s="118">
        <v>546.40152658468571</v>
      </c>
      <c r="AJ74" s="118">
        <v>553.60391376842392</v>
      </c>
      <c r="AK74" s="118">
        <v>561.89866991983683</v>
      </c>
      <c r="AL74" s="118">
        <v>570.3170294791081</v>
      </c>
      <c r="AM74" s="118">
        <v>578.86084252309524</v>
      </c>
      <c r="AN74" s="118">
        <v>586.19668697347186</v>
      </c>
      <c r="AO74" s="118">
        <v>593.62176719172362</v>
      </c>
      <c r="AP74" s="118">
        <v>601.13712361007629</v>
      </c>
      <c r="AQ74" s="118">
        <v>608.7438079017337</v>
      </c>
      <c r="AR74" s="118">
        <v>616.44288308470652</v>
      </c>
      <c r="AS74" s="118">
        <v>624.23542362622425</v>
      </c>
      <c r="AT74" s="118">
        <v>632.12251554772251</v>
      </c>
      <c r="AU74" s="118">
        <v>640.10525653040145</v>
      </c>
      <c r="AV74" s="118">
        <v>648.18475602134788</v>
      </c>
      <c r="AW74" s="118">
        <v>656.36213534021397</v>
      </c>
      <c r="AX74" s="118">
        <v>664.63852778644286</v>
      </c>
      <c r="AY74" s="118">
        <v>673.01507874703827</v>
      </c>
      <c r="AZ74" s="118">
        <v>681.49294580486446</v>
      </c>
      <c r="BA74" s="118">
        <v>690.07329884747287</v>
      </c>
      <c r="BB74" s="118">
        <v>698.75732017644168</v>
      </c>
      <c r="BC74" s="118">
        <v>667.49641945021085</v>
      </c>
      <c r="BD74" s="118">
        <v>677.48573014608849</v>
      </c>
      <c r="BE74" s="118">
        <v>687.62408096488571</v>
      </c>
      <c r="BF74" s="118">
        <v>697.91370550469412</v>
      </c>
      <c r="BG74" s="118">
        <v>708.35687098656058</v>
      </c>
    </row>
    <row r="75" spans="1:59" ht="13.75" customHeight="1">
      <c r="A75" s="141" t="s">
        <v>166</v>
      </c>
      <c r="B75" s="170" t="s">
        <v>173</v>
      </c>
      <c r="C75" s="170" t="s">
        <v>176</v>
      </c>
      <c r="D75" s="170" t="s">
        <v>168</v>
      </c>
      <c r="E75" s="168"/>
      <c r="F75" s="168" t="s">
        <v>190</v>
      </c>
      <c r="G75" s="168" t="s">
        <v>4</v>
      </c>
      <c r="H75" s="168"/>
      <c r="I75" s="168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19">
        <v>560</v>
      </c>
      <c r="V75" s="119">
        <v>511</v>
      </c>
      <c r="W75" s="119">
        <v>483</v>
      </c>
      <c r="X75" s="118">
        <v>330</v>
      </c>
      <c r="Y75" s="118">
        <v>284</v>
      </c>
      <c r="Z75" s="118">
        <v>466</v>
      </c>
      <c r="AA75" s="118">
        <v>488.9</v>
      </c>
      <c r="AB75" s="119">
        <v>411.1320754716981</v>
      </c>
      <c r="AC75" s="119">
        <v>402.5980392156863</v>
      </c>
      <c r="AD75" s="119">
        <v>615.18867924528297</v>
      </c>
      <c r="AE75" s="119">
        <v>597.54901960784309</v>
      </c>
      <c r="AF75" s="119">
        <v>510.08333333333331</v>
      </c>
      <c r="AG75" s="118">
        <v>556.68173779431515</v>
      </c>
      <c r="AH75" s="118">
        <v>549.10462549180352</v>
      </c>
      <c r="AI75" s="118">
        <v>551.90152658468571</v>
      </c>
      <c r="AJ75" s="118">
        <v>559.10391376842392</v>
      </c>
      <c r="AK75" s="118">
        <v>567.39866991983683</v>
      </c>
      <c r="AL75" s="118">
        <v>575.8170294791081</v>
      </c>
      <c r="AM75" s="118">
        <v>584.36084252309524</v>
      </c>
      <c r="AN75" s="118">
        <v>591.68418697347192</v>
      </c>
      <c r="AO75" s="118">
        <v>599.09676719172353</v>
      </c>
      <c r="AP75" s="118">
        <v>606.59962361007638</v>
      </c>
      <c r="AQ75" s="118">
        <v>614.19380790173363</v>
      </c>
      <c r="AR75" s="118">
        <v>621.88038308470652</v>
      </c>
      <c r="AS75" s="118">
        <v>629.6604236262242</v>
      </c>
      <c r="AT75" s="118">
        <v>637.53501554772254</v>
      </c>
      <c r="AU75" s="118">
        <v>645.50525653040143</v>
      </c>
      <c r="AV75" s="118">
        <v>653.57225602134793</v>
      </c>
      <c r="AW75" s="118">
        <v>661.73713534021397</v>
      </c>
      <c r="AX75" s="118">
        <v>670.00102778644282</v>
      </c>
      <c r="AY75" s="118">
        <v>678.3650787470383</v>
      </c>
      <c r="AZ75" s="118">
        <v>686.83044580486455</v>
      </c>
      <c r="BA75" s="118">
        <v>695.3982988474728</v>
      </c>
      <c r="BB75" s="118">
        <v>704.06982017644168</v>
      </c>
      <c r="BC75" s="118">
        <v>672.49641945021085</v>
      </c>
      <c r="BD75" s="118">
        <v>682.48573014608849</v>
      </c>
      <c r="BE75" s="118">
        <v>692.62408096488571</v>
      </c>
      <c r="BF75" s="118">
        <v>702.91370550469412</v>
      </c>
      <c r="BG75" s="118">
        <v>713.35687098656058</v>
      </c>
    </row>
    <row r="76" spans="1:59" ht="13.75" customHeight="1">
      <c r="A76" s="141" t="s">
        <v>166</v>
      </c>
      <c r="B76" s="170" t="s">
        <v>173</v>
      </c>
      <c r="C76" s="170" t="s">
        <v>176</v>
      </c>
      <c r="D76" s="170" t="s">
        <v>168</v>
      </c>
      <c r="E76" s="168"/>
      <c r="F76" s="168" t="s">
        <v>191</v>
      </c>
      <c r="G76" s="168" t="s">
        <v>4</v>
      </c>
      <c r="H76" s="168"/>
      <c r="I76" s="168" t="s">
        <v>181</v>
      </c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19">
        <v>529.97961911591722</v>
      </c>
      <c r="V76" s="119">
        <v>439.93014601299592</v>
      </c>
      <c r="W76" s="119">
        <v>451.59876825650304</v>
      </c>
      <c r="X76" s="118">
        <v>477.07302208901859</v>
      </c>
      <c r="Y76" s="118">
        <v>451.94479907155807</v>
      </c>
      <c r="Z76" s="118">
        <v>586.3576641434978</v>
      </c>
      <c r="AA76" s="118">
        <v>677.09416467778328</v>
      </c>
      <c r="AB76" s="119">
        <v>471</v>
      </c>
      <c r="AC76" s="119">
        <v>421</v>
      </c>
      <c r="AD76" s="119">
        <v>779</v>
      </c>
      <c r="AE76" s="119">
        <v>590.90163934426232</v>
      </c>
      <c r="AF76" s="119">
        <v>525.33333333333326</v>
      </c>
      <c r="AG76" s="118">
        <v>617.67570433452488</v>
      </c>
      <c r="AH76" s="118">
        <v>594.48232939717093</v>
      </c>
      <c r="AI76" s="118">
        <v>575.62605091091029</v>
      </c>
      <c r="AJ76" s="118">
        <v>572.17532497521734</v>
      </c>
      <c r="AK76" s="118">
        <v>580.82698431663243</v>
      </c>
      <c r="AL76" s="118">
        <v>589.61248612192594</v>
      </c>
      <c r="AM76" s="118">
        <v>598.53390765288543</v>
      </c>
      <c r="AN76" s="118">
        <v>606.2124645114277</v>
      </c>
      <c r="AO76" s="118">
        <v>613.98937666776442</v>
      </c>
      <c r="AP76" s="118">
        <v>621.8658493646351</v>
      </c>
      <c r="AQ76" s="118">
        <v>629.84310163181362</v>
      </c>
      <c r="AR76" s="118">
        <v>637.92236642402224</v>
      </c>
      <c r="AS76" s="118">
        <v>646.10489075979899</v>
      </c>
      <c r="AT76" s="118">
        <v>654.39193586131216</v>
      </c>
      <c r="AU76" s="118">
        <v>662.7847772951244</v>
      </c>
      <c r="AV76" s="118">
        <v>671.2847051138923</v>
      </c>
      <c r="AW76" s="118">
        <v>679.89302399900566</v>
      </c>
      <c r="AX76" s="118">
        <v>688.6110534041544</v>
      </c>
      <c r="AY76" s="118">
        <v>697.44012769982078</v>
      </c>
      <c r="AZ76" s="118">
        <v>706.38159631868848</v>
      </c>
      <c r="BA76" s="118">
        <v>715.43682390196761</v>
      </c>
      <c r="BB76" s="118">
        <v>724.6071904466163</v>
      </c>
      <c r="BC76" s="118">
        <v>692.29496294839214</v>
      </c>
      <c r="BD76" s="118">
        <v>702.76631129020438</v>
      </c>
      <c r="BE76" s="118">
        <v>713.39976197029182</v>
      </c>
      <c r="BF76" s="118">
        <v>724.19783247677412</v>
      </c>
      <c r="BG76" s="118">
        <v>735.16307951149076</v>
      </c>
    </row>
    <row r="77" spans="1:59" ht="13.75" customHeight="1">
      <c r="A77" s="141" t="s">
        <v>166</v>
      </c>
      <c r="B77" s="170" t="s">
        <v>173</v>
      </c>
      <c r="C77" s="170" t="s">
        <v>176</v>
      </c>
      <c r="D77" s="170" t="s">
        <v>168</v>
      </c>
      <c r="E77" s="168"/>
      <c r="F77" s="168" t="s">
        <v>192</v>
      </c>
      <c r="G77" s="168" t="s">
        <v>4</v>
      </c>
      <c r="H77" s="168"/>
      <c r="I77" s="168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19">
        <v>515</v>
      </c>
      <c r="V77" s="119">
        <v>483</v>
      </c>
      <c r="W77" s="119">
        <v>489</v>
      </c>
      <c r="X77" s="118">
        <v>295.75</v>
      </c>
      <c r="Y77" s="118">
        <v>330</v>
      </c>
      <c r="Z77" s="118">
        <v>440.5</v>
      </c>
      <c r="AA77" s="118">
        <v>507.16666666666669</v>
      </c>
      <c r="AB77" s="119">
        <v>409</v>
      </c>
      <c r="AC77" s="119">
        <v>414</v>
      </c>
      <c r="AD77" s="119">
        <v>749</v>
      </c>
      <c r="AE77" s="119">
        <v>560.90163934426232</v>
      </c>
      <c r="AF77" s="119">
        <v>495.33333333333331</v>
      </c>
      <c r="AG77" s="118">
        <v>584.67570433452488</v>
      </c>
      <c r="AH77" s="118">
        <v>572.48232939717093</v>
      </c>
      <c r="AI77" s="118">
        <v>564.62605091091029</v>
      </c>
      <c r="AJ77" s="118">
        <v>572.17532497521734</v>
      </c>
      <c r="AK77" s="118">
        <v>580.82698431663243</v>
      </c>
      <c r="AL77" s="118">
        <v>589.61248612192594</v>
      </c>
      <c r="AM77" s="118">
        <v>598.53390765288543</v>
      </c>
      <c r="AN77" s="118">
        <v>606.2124645114277</v>
      </c>
      <c r="AO77" s="118">
        <v>613.98937666776442</v>
      </c>
      <c r="AP77" s="118">
        <v>621.8658493646351</v>
      </c>
      <c r="AQ77" s="118">
        <v>629.84310163181362</v>
      </c>
      <c r="AR77" s="118">
        <v>637.92236642402224</v>
      </c>
      <c r="AS77" s="118">
        <v>646.10489075979899</v>
      </c>
      <c r="AT77" s="118">
        <v>654.39193586131216</v>
      </c>
      <c r="AU77" s="118">
        <v>662.7847772951244</v>
      </c>
      <c r="AV77" s="118">
        <v>671.2847051138923</v>
      </c>
      <c r="AW77" s="118">
        <v>679.89302399900566</v>
      </c>
      <c r="AX77" s="118">
        <v>688.6110534041544</v>
      </c>
      <c r="AY77" s="118">
        <v>697.44012769982078</v>
      </c>
      <c r="AZ77" s="118">
        <v>706.38159631868848</v>
      </c>
      <c r="BA77" s="118">
        <v>715.43682390196761</v>
      </c>
      <c r="BB77" s="118">
        <v>724.6071904466163</v>
      </c>
      <c r="BC77" s="118">
        <v>692.29496294839214</v>
      </c>
      <c r="BD77" s="118">
        <v>702.76631129020438</v>
      </c>
      <c r="BE77" s="118">
        <v>713.39976197029182</v>
      </c>
      <c r="BF77" s="118">
        <v>724.19783247677412</v>
      </c>
      <c r="BG77" s="118">
        <v>735.16307951149076</v>
      </c>
    </row>
    <row r="78" spans="1:59" ht="13.75" customHeight="1">
      <c r="A78" s="141" t="s">
        <v>166</v>
      </c>
      <c r="B78" s="170" t="s">
        <v>173</v>
      </c>
      <c r="C78" s="170" t="s">
        <v>174</v>
      </c>
      <c r="D78" s="170" t="s">
        <v>168</v>
      </c>
      <c r="E78" s="168"/>
      <c r="F78" s="168" t="s">
        <v>193</v>
      </c>
      <c r="G78" s="168" t="s">
        <v>194</v>
      </c>
      <c r="H78" s="168"/>
      <c r="I78" s="168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19">
        <v>1669</v>
      </c>
      <c r="V78" s="119">
        <v>1412</v>
      </c>
      <c r="W78" s="119">
        <v>1266</v>
      </c>
      <c r="X78" s="118">
        <v>1160</v>
      </c>
      <c r="Y78" s="118">
        <v>1249</v>
      </c>
      <c r="Z78" s="118">
        <v>1258.75</v>
      </c>
      <c r="AA78" s="118">
        <v>1269.21</v>
      </c>
      <c r="AB78" s="119">
        <v>1393</v>
      </c>
      <c r="AC78" s="119">
        <v>1772</v>
      </c>
      <c r="AD78" s="119">
        <v>1799</v>
      </c>
      <c r="AE78" s="119">
        <v>1802</v>
      </c>
      <c r="AF78" s="119">
        <v>1933.5741250589176</v>
      </c>
      <c r="AG78" s="118">
        <v>2052</v>
      </c>
      <c r="AH78" s="118">
        <v>1961.0499999999997</v>
      </c>
      <c r="AI78" s="118">
        <v>1881.25</v>
      </c>
      <c r="AJ78" s="118">
        <v>1876.875</v>
      </c>
      <c r="AK78" s="118">
        <v>1894.97</v>
      </c>
      <c r="AL78" s="118">
        <v>1913.2290099999998</v>
      </c>
      <c r="AM78" s="118">
        <v>1931.6533605599998</v>
      </c>
      <c r="AN78" s="118">
        <v>1934.8274388519999</v>
      </c>
      <c r="AO78" s="118">
        <v>1937.9960033165669</v>
      </c>
      <c r="AP78" s="118">
        <v>1941.1589590578285</v>
      </c>
      <c r="AQ78" s="118">
        <v>1944.3162105089677</v>
      </c>
      <c r="AR78" s="118">
        <v>1947.467661428371</v>
      </c>
      <c r="AS78" s="118">
        <v>1950.6132148957613</v>
      </c>
      <c r="AT78" s="118">
        <v>1953.7527733083077</v>
      </c>
      <c r="AU78" s="118">
        <v>1956.8862383767162</v>
      </c>
      <c r="AV78" s="118">
        <v>1960.0135111212992</v>
      </c>
      <c r="AW78" s="118">
        <v>1963.134491868025</v>
      </c>
      <c r="AX78" s="118">
        <v>1966.2490802445461</v>
      </c>
      <c r="AY78" s="118">
        <v>1969.3571751762099</v>
      </c>
      <c r="AZ78" s="118">
        <v>1972.4586748820432</v>
      </c>
      <c r="BA78" s="118">
        <v>1975.5534768707203</v>
      </c>
      <c r="BB78" s="118">
        <v>1978.641477936508</v>
      </c>
      <c r="BC78" s="118">
        <v>1933.3878772245785</v>
      </c>
      <c r="BD78" s="118">
        <v>1941.1214287334767</v>
      </c>
      <c r="BE78" s="118">
        <v>1948.8859144484106</v>
      </c>
      <c r="BF78" s="118">
        <v>1956.6814581062042</v>
      </c>
      <c r="BG78" s="118">
        <v>1964.5081839386291</v>
      </c>
    </row>
    <row r="79" spans="1:59" ht="13.75" customHeight="1">
      <c r="A79" s="141" t="s">
        <v>166</v>
      </c>
      <c r="B79" s="170" t="s">
        <v>173</v>
      </c>
      <c r="C79" s="170" t="s">
        <v>174</v>
      </c>
      <c r="D79" s="170" t="s">
        <v>168</v>
      </c>
      <c r="E79" s="168"/>
      <c r="F79" s="168" t="s">
        <v>195</v>
      </c>
      <c r="G79" s="168" t="s">
        <v>4</v>
      </c>
      <c r="H79" s="168"/>
      <c r="I79" s="168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19">
        <v>7953</v>
      </c>
      <c r="V79" s="119">
        <v>7349</v>
      </c>
      <c r="W79" s="119">
        <v>6827</v>
      </c>
      <c r="X79" s="118">
        <v>5493</v>
      </c>
      <c r="Y79" s="118">
        <v>4871</v>
      </c>
      <c r="Z79" s="118">
        <v>6173</v>
      </c>
      <c r="AA79" s="118">
        <v>6544</v>
      </c>
      <c r="AB79" s="118">
        <v>6005</v>
      </c>
      <c r="AC79" s="119">
        <v>6186</v>
      </c>
      <c r="AD79" s="119">
        <v>9320</v>
      </c>
      <c r="AE79" s="118">
        <v>8805</v>
      </c>
      <c r="AF79" s="118">
        <v>8650</v>
      </c>
      <c r="AG79" s="118">
        <v>9717.5</v>
      </c>
      <c r="AH79" s="118">
        <v>9890</v>
      </c>
      <c r="AI79" s="118">
        <v>10005</v>
      </c>
      <c r="AJ79" s="118">
        <v>10120</v>
      </c>
      <c r="AK79" s="118">
        <v>10281.919999999998</v>
      </c>
      <c r="AL79" s="118">
        <v>10446.430719999998</v>
      </c>
      <c r="AM79" s="118">
        <v>10613.573611519998</v>
      </c>
      <c r="AN79" s="118">
        <v>10696.405631662079</v>
      </c>
      <c r="AO79" s="118">
        <v>10779.83293484585</v>
      </c>
      <c r="AP79" s="118">
        <v>10863.859143530128</v>
      </c>
      <c r="AQ79" s="118">
        <v>10948.487893094605</v>
      </c>
      <c r="AR79" s="118">
        <v>11033.722831736024</v>
      </c>
      <c r="AS79" s="118">
        <v>11119.567620360958</v>
      </c>
      <c r="AT79" s="118">
        <v>11206.025932475221</v>
      </c>
      <c r="AU79" s="118">
        <v>11293.101454069729</v>
      </c>
      <c r="AV79" s="118">
        <v>11380.797883502881</v>
      </c>
      <c r="AW79" s="118">
        <v>11469.118931379289</v>
      </c>
      <c r="AX79" s="118">
        <v>11558.068320424876</v>
      </c>
      <c r="AY79" s="118">
        <v>11647.649785358235</v>
      </c>
      <c r="AZ79" s="118">
        <v>11737.867072758219</v>
      </c>
      <c r="BA79" s="118">
        <v>11828.723940927668</v>
      </c>
      <c r="BB79" s="118">
        <v>11920.224159753232</v>
      </c>
      <c r="BC79" s="118">
        <v>10821.956315820911</v>
      </c>
      <c r="BD79" s="118">
        <v>10930.17587897912</v>
      </c>
      <c r="BE79" s="118">
        <v>11039.477637768912</v>
      </c>
      <c r="BF79" s="118">
        <v>11149.872414146601</v>
      </c>
      <c r="BG79" s="118">
        <v>11261.371138288067</v>
      </c>
    </row>
    <row r="80" spans="1:59" ht="13.75" customHeight="1">
      <c r="A80" s="141" t="s">
        <v>166</v>
      </c>
      <c r="B80" s="170" t="s">
        <v>173</v>
      </c>
      <c r="C80" s="170" t="s">
        <v>176</v>
      </c>
      <c r="D80" s="170" t="s">
        <v>168</v>
      </c>
      <c r="E80" s="168"/>
      <c r="F80" s="168" t="s">
        <v>196</v>
      </c>
      <c r="G80" s="168" t="s">
        <v>4</v>
      </c>
      <c r="H80" s="168"/>
      <c r="I80" s="168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19">
        <v>318</v>
      </c>
      <c r="V80" s="119">
        <v>296</v>
      </c>
      <c r="W80" s="119">
        <v>273</v>
      </c>
      <c r="X80" s="118">
        <v>179.99403380856606</v>
      </c>
      <c r="Y80" s="118">
        <v>176.84500683424548</v>
      </c>
      <c r="Z80" s="118">
        <v>250.7955832171543</v>
      </c>
      <c r="AA80" s="118">
        <v>279.41005419985783</v>
      </c>
      <c r="AB80" s="118">
        <v>254.41696276790017</v>
      </c>
      <c r="AC80" s="118">
        <v>236.89839513417959</v>
      </c>
      <c r="AD80" s="118">
        <v>373.06568275027195</v>
      </c>
      <c r="AE80" s="118">
        <v>373.06568275027195</v>
      </c>
      <c r="AF80" s="118">
        <v>322.5160407418071</v>
      </c>
      <c r="AG80" s="118">
        <v>326.19806652671224</v>
      </c>
      <c r="AH80" s="118">
        <v>326.36170221188587</v>
      </c>
      <c r="AI80" s="118">
        <v>328.94745802708968</v>
      </c>
      <c r="AJ80" s="118">
        <v>327.63363891984102</v>
      </c>
      <c r="AK80" s="118">
        <v>332.50184989766581</v>
      </c>
      <c r="AL80" s="118">
        <v>337.44203282526286</v>
      </c>
      <c r="AM80" s="118">
        <v>342.45525638186632</v>
      </c>
      <c r="AN80" s="118">
        <v>346.75273562813095</v>
      </c>
      <c r="AO80" s="118">
        <v>351.10197466732797</v>
      </c>
      <c r="AP80" s="118">
        <v>355.50357019238305</v>
      </c>
      <c r="AQ80" s="118">
        <v>359.95812525403375</v>
      </c>
      <c r="AR80" s="118">
        <v>364.46624931832559</v>
      </c>
      <c r="AS80" s="118">
        <v>369.02855832441128</v>
      </c>
      <c r="AT80" s="118">
        <v>373.64567474264618</v>
      </c>
      <c r="AU80" s="118">
        <v>378.31822763297862</v>
      </c>
      <c r="AV80" s="118">
        <v>383.04685270363052</v>
      </c>
      <c r="AW80" s="118">
        <v>387.83219237006199</v>
      </c>
      <c r="AX80" s="118">
        <v>392.67489581421745</v>
      </c>
      <c r="AY80" s="118">
        <v>397.57561904404696</v>
      </c>
      <c r="AZ80" s="118">
        <v>402.53502495329872</v>
      </c>
      <c r="BA80" s="118">
        <v>407.55378338157641</v>
      </c>
      <c r="BB80" s="118">
        <v>412.63257117465673</v>
      </c>
      <c r="BC80" s="118">
        <v>394.12459645760464</v>
      </c>
      <c r="BD80" s="118">
        <v>399.97444693416037</v>
      </c>
      <c r="BE80" s="118">
        <v>405.91088679318403</v>
      </c>
      <c r="BF80" s="118">
        <v>411.93520334964296</v>
      </c>
      <c r="BG80" s="118">
        <v>418.04870314193181</v>
      </c>
    </row>
    <row r="81" spans="1:59" ht="13.75" customHeight="1">
      <c r="A81" s="141" t="s">
        <v>166</v>
      </c>
      <c r="B81" s="170" t="s">
        <v>173</v>
      </c>
      <c r="C81" s="170" t="s">
        <v>176</v>
      </c>
      <c r="D81" s="170" t="s">
        <v>168</v>
      </c>
      <c r="E81" s="168"/>
      <c r="F81" s="168" t="s">
        <v>197</v>
      </c>
      <c r="G81" s="168" t="s">
        <v>4</v>
      </c>
      <c r="H81" s="168"/>
      <c r="I81" s="168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19"/>
      <c r="V81" s="119"/>
      <c r="W81" s="119"/>
      <c r="X81" s="118">
        <v>210.33333333333334</v>
      </c>
      <c r="Y81" s="118">
        <v>204.33333333333334</v>
      </c>
      <c r="Z81" s="118">
        <v>268.91666666666669</v>
      </c>
      <c r="AA81" s="118">
        <v>301.5</v>
      </c>
      <c r="AB81" s="118">
        <v>255</v>
      </c>
      <c r="AC81" s="118">
        <v>262</v>
      </c>
      <c r="AD81" s="118">
        <v>421</v>
      </c>
      <c r="AE81" s="118">
        <v>387.08333333333331</v>
      </c>
      <c r="AF81" s="118">
        <v>327.16666666666669</v>
      </c>
      <c r="AG81" s="118">
        <v>351.85677632240117</v>
      </c>
      <c r="AH81" s="118">
        <v>348.79474351846744</v>
      </c>
      <c r="AI81" s="118">
        <v>351.5326026169185</v>
      </c>
      <c r="AJ81" s="118">
        <v>350.14150003277291</v>
      </c>
      <c r="AK81" s="118">
        <v>355.29607636223437</v>
      </c>
      <c r="AL81" s="118">
        <v>360.52685828557247</v>
      </c>
      <c r="AM81" s="118">
        <v>365.83497734550554</v>
      </c>
      <c r="AN81" s="118">
        <v>370.37789654743273</v>
      </c>
      <c r="AO81" s="118">
        <v>374.97562023599443</v>
      </c>
      <c r="AP81" s="118">
        <v>379.62878020369976</v>
      </c>
      <c r="AQ81" s="118">
        <v>384.33801497485922</v>
      </c>
      <c r="AR81" s="118">
        <v>389.10396986646242</v>
      </c>
      <c r="AS81" s="118">
        <v>393.92729704937665</v>
      </c>
      <c r="AT81" s="118">
        <v>398.80865560986064</v>
      </c>
      <c r="AU81" s="118">
        <v>403.74871161138913</v>
      </c>
      <c r="AV81" s="118">
        <v>408.74813815678527</v>
      </c>
      <c r="AW81" s="118">
        <v>413.80761545065388</v>
      </c>
      <c r="AX81" s="118">
        <v>418.92783086211256</v>
      </c>
      <c r="AY81" s="118">
        <v>424.10947898781444</v>
      </c>
      <c r="AZ81" s="118">
        <v>429.35326171525747</v>
      </c>
      <c r="BA81" s="118">
        <v>434.65988828637501</v>
      </c>
      <c r="BB81" s="118">
        <v>440.03007536140126</v>
      </c>
      <c r="BC81" s="118">
        <v>420.24957271981668</v>
      </c>
      <c r="BD81" s="118">
        <v>426.44353204793453</v>
      </c>
      <c r="BE81" s="118">
        <v>432.72917425160665</v>
      </c>
      <c r="BF81" s="118">
        <v>439.10786237021023</v>
      </c>
      <c r="BG81" s="118">
        <v>445.58097979733958</v>
      </c>
    </row>
    <row r="82" spans="1:59" ht="13.75" customHeight="1">
      <c r="A82" s="141" t="s">
        <v>166</v>
      </c>
      <c r="B82" s="170" t="s">
        <v>173</v>
      </c>
      <c r="C82" s="170" t="s">
        <v>174</v>
      </c>
      <c r="D82" s="170" t="s">
        <v>168</v>
      </c>
      <c r="E82" s="168"/>
      <c r="F82" s="168" t="s">
        <v>198</v>
      </c>
      <c r="G82" s="168" t="s">
        <v>4</v>
      </c>
      <c r="H82" s="168"/>
      <c r="I82" s="168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19">
        <v>17519</v>
      </c>
      <c r="V82" s="119">
        <v>15089</v>
      </c>
      <c r="W82" s="119">
        <v>16960</v>
      </c>
      <c r="X82" s="118">
        <v>11877</v>
      </c>
      <c r="Y82" s="118">
        <v>9645</v>
      </c>
      <c r="Z82" s="118">
        <v>10471</v>
      </c>
      <c r="AA82" s="118">
        <v>13186</v>
      </c>
      <c r="AB82" s="119">
        <v>13944</v>
      </c>
      <c r="AC82" s="119">
        <v>13803</v>
      </c>
      <c r="AD82" s="119">
        <v>18474</v>
      </c>
      <c r="AE82" s="119">
        <v>25623</v>
      </c>
      <c r="AF82" s="119">
        <v>22369.225097204508</v>
      </c>
      <c r="AG82" s="118">
        <v>22655</v>
      </c>
      <c r="AH82" s="118">
        <v>22373.999999999996</v>
      </c>
      <c r="AI82" s="118">
        <v>22599.999999999996</v>
      </c>
      <c r="AJ82" s="118">
        <v>22961.599999999999</v>
      </c>
      <c r="AK82" s="118">
        <v>23328.985599999996</v>
      </c>
      <c r="AL82" s="118">
        <v>23702.249369599995</v>
      </c>
      <c r="AM82" s="118">
        <v>24081.485359513597</v>
      </c>
      <c r="AN82" s="118">
        <v>24364.602645355313</v>
      </c>
      <c r="AO82" s="118">
        <v>24650.927244070132</v>
      </c>
      <c r="AP82" s="118">
        <v>24940.493469430479</v>
      </c>
      <c r="AQ82" s="118">
        <v>25233.335967361076</v>
      </c>
      <c r="AR82" s="118">
        <v>25529.489718513716</v>
      </c>
      <c r="AS82" s="118">
        <v>25828.990040849036</v>
      </c>
      <c r="AT82" s="118">
        <v>26131.87259222491</v>
      </c>
      <c r="AU82" s="118">
        <v>26438.173372991299</v>
      </c>
      <c r="AV82" s="118">
        <v>26747.928728591076</v>
      </c>
      <c r="AW82" s="118">
        <v>27061.175352166541</v>
      </c>
      <c r="AX82" s="118">
        <v>27377.950287171312</v>
      </c>
      <c r="AY82" s="118">
        <v>27698.290929987197</v>
      </c>
      <c r="AZ82" s="118">
        <v>28022.235032545635</v>
      </c>
      <c r="BA82" s="118">
        <v>28349.820704953439</v>
      </c>
      <c r="BB82" s="118">
        <v>28681.086418122282</v>
      </c>
      <c r="BC82" s="118">
        <v>26620.248629726309</v>
      </c>
      <c r="BD82" s="118">
        <v>26992.932110542479</v>
      </c>
      <c r="BE82" s="118">
        <v>27370.833160090075</v>
      </c>
      <c r="BF82" s="118">
        <v>27754.024824331336</v>
      </c>
      <c r="BG82" s="118">
        <v>28142.581171871974</v>
      </c>
    </row>
    <row r="83" spans="1:59" ht="13.75" customHeight="1">
      <c r="A83" s="141" t="s">
        <v>166</v>
      </c>
      <c r="B83" s="170" t="s">
        <v>173</v>
      </c>
      <c r="C83" s="170" t="s">
        <v>176</v>
      </c>
      <c r="D83" s="170" t="s">
        <v>168</v>
      </c>
      <c r="E83" s="168"/>
      <c r="F83" s="168" t="s">
        <v>199</v>
      </c>
      <c r="G83" s="168" t="s">
        <v>4</v>
      </c>
      <c r="H83" s="168"/>
      <c r="I83" s="168" t="s">
        <v>181</v>
      </c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19">
        <v>113</v>
      </c>
      <c r="V83" s="119">
        <v>102</v>
      </c>
      <c r="W83" s="119">
        <v>73</v>
      </c>
      <c r="X83" s="118">
        <v>51.846830279905781</v>
      </c>
      <c r="Y83" s="118">
        <v>48.906833588245064</v>
      </c>
      <c r="Z83" s="118">
        <v>75.438337504553118</v>
      </c>
      <c r="AA83" s="118">
        <v>81.127478671118411</v>
      </c>
      <c r="AB83" s="119">
        <v>105</v>
      </c>
      <c r="AC83" s="119">
        <v>87</v>
      </c>
      <c r="AD83" s="119">
        <v>157</v>
      </c>
      <c r="AE83" s="119">
        <v>107.25225838659343</v>
      </c>
      <c r="AF83" s="119">
        <v>87.982582353451846</v>
      </c>
      <c r="AG83" s="118">
        <v>113.6655789820387</v>
      </c>
      <c r="AH83" s="118">
        <v>119.21911088870711</v>
      </c>
      <c r="AI83" s="118">
        <v>120.6812541817911</v>
      </c>
      <c r="AJ83" s="118">
        <v>122.1130714900829</v>
      </c>
      <c r="AK83" s="118">
        <v>123.55634333684102</v>
      </c>
      <c r="AL83" s="118">
        <v>125.01116135837324</v>
      </c>
      <c r="AM83" s="118">
        <v>126.47761792407761</v>
      </c>
      <c r="AN83" s="118">
        <v>127.69013436859592</v>
      </c>
      <c r="AO83" s="118">
        <v>128.90827496998139</v>
      </c>
      <c r="AP83" s="118">
        <v>130.13205986443467</v>
      </c>
      <c r="AQ83" s="118">
        <v>131.3615091503317</v>
      </c>
      <c r="AR83" s="118">
        <v>132.59664288632956</v>
      </c>
      <c r="AS83" s="118">
        <v>133.83748108944479</v>
      </c>
      <c r="AT83" s="118">
        <v>135.0840437331031</v>
      </c>
      <c r="AU83" s="118">
        <v>136.33635074516087</v>
      </c>
      <c r="AV83" s="118">
        <v>137.59442200589737</v>
      </c>
      <c r="AW83" s="118">
        <v>138.85827734597819</v>
      </c>
      <c r="AX83" s="118">
        <v>140.1279365443892</v>
      </c>
      <c r="AY83" s="118">
        <v>141.4034193263401</v>
      </c>
      <c r="AZ83" s="118">
        <v>142.68474536113783</v>
      </c>
      <c r="BA83" s="118">
        <v>143.97193426003042</v>
      </c>
      <c r="BB83" s="118">
        <v>145.26500557401806</v>
      </c>
      <c r="BC83" s="118">
        <v>126.34905802585403</v>
      </c>
      <c r="BD83" s="118">
        <v>127.750090779476</v>
      </c>
      <c r="BE83" s="118">
        <v>129.16233179512693</v>
      </c>
      <c r="BF83" s="118">
        <v>130.58587073890311</v>
      </c>
      <c r="BG83" s="118">
        <v>132.02079799422944</v>
      </c>
    </row>
    <row r="84" spans="1:59" ht="13.75" customHeight="1">
      <c r="A84" s="141" t="s">
        <v>166</v>
      </c>
      <c r="B84" s="170" t="s">
        <v>173</v>
      </c>
      <c r="C84" s="170" t="s">
        <v>176</v>
      </c>
      <c r="D84" s="170" t="s">
        <v>168</v>
      </c>
      <c r="E84" s="168"/>
      <c r="F84" s="168" t="s">
        <v>200</v>
      </c>
      <c r="G84" s="168" t="s">
        <v>4</v>
      </c>
      <c r="H84" s="168"/>
      <c r="I84" s="168" t="s">
        <v>181</v>
      </c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19">
        <v>112</v>
      </c>
      <c r="V84" s="119">
        <v>107</v>
      </c>
      <c r="W84" s="119">
        <v>101</v>
      </c>
      <c r="X84" s="118">
        <v>66.916666666666671</v>
      </c>
      <c r="Y84" s="118">
        <v>68</v>
      </c>
      <c r="Z84" s="118">
        <v>95.541666666666671</v>
      </c>
      <c r="AA84" s="118">
        <v>105.875</v>
      </c>
      <c r="AB84" s="119">
        <v>125</v>
      </c>
      <c r="AC84" s="119">
        <v>126</v>
      </c>
      <c r="AD84" s="119">
        <v>178</v>
      </c>
      <c r="AE84" s="119">
        <v>159.00162133568847</v>
      </c>
      <c r="AF84" s="119">
        <v>132.41595126013354</v>
      </c>
      <c r="AG84" s="118">
        <v>164.58562167005672</v>
      </c>
      <c r="AH84" s="118">
        <v>166.56668342872578</v>
      </c>
      <c r="AI84" s="118">
        <v>168.02973987193451</v>
      </c>
      <c r="AJ84" s="118">
        <v>169.46245139090999</v>
      </c>
      <c r="AK84" s="118">
        <v>170.90662460203725</v>
      </c>
      <c r="AL84" s="118">
        <v>172.36235119885359</v>
      </c>
      <c r="AM84" s="118">
        <v>173.82972360844434</v>
      </c>
      <c r="AN84" s="118">
        <v>174.94405045646951</v>
      </c>
      <c r="AO84" s="118">
        <v>176.06400137673793</v>
      </c>
      <c r="AP84" s="118">
        <v>177.1895965012497</v>
      </c>
      <c r="AQ84" s="118">
        <v>178.32085592414813</v>
      </c>
      <c r="AR84" s="118">
        <v>179.45779969982524</v>
      </c>
      <c r="AS84" s="118">
        <v>180.60044784099978</v>
      </c>
      <c r="AT84" s="118">
        <v>181.74882031676688</v>
      </c>
      <c r="AU84" s="118">
        <v>182.9029370506193</v>
      </c>
      <c r="AV84" s="118">
        <v>184.06281791843955</v>
      </c>
      <c r="AW84" s="118">
        <v>185.22848274646304</v>
      </c>
      <c r="AX84" s="118">
        <v>186.39995130921176</v>
      </c>
      <c r="AY84" s="118">
        <v>187.57724332739775</v>
      </c>
      <c r="AZ84" s="118">
        <v>188.76037846579641</v>
      </c>
      <c r="BA84" s="118">
        <v>189.94937633108987</v>
      </c>
      <c r="BB84" s="118">
        <v>191.14425646967814</v>
      </c>
      <c r="BC84" s="118">
        <v>165.81508030169064</v>
      </c>
      <c r="BD84" s="118">
        <v>167.2161130553126</v>
      </c>
      <c r="BE84" s="118">
        <v>168.62835407096352</v>
      </c>
      <c r="BF84" s="118">
        <v>170.0518930147397</v>
      </c>
      <c r="BG84" s="118">
        <v>171.48682027006606</v>
      </c>
    </row>
    <row r="85" spans="1:59" ht="13.75" customHeight="1">
      <c r="A85" s="141" t="s">
        <v>166</v>
      </c>
      <c r="B85" s="170" t="s">
        <v>173</v>
      </c>
      <c r="C85" s="170" t="s">
        <v>174</v>
      </c>
      <c r="D85" s="170" t="s">
        <v>168</v>
      </c>
      <c r="E85" s="168"/>
      <c r="F85" s="168" t="s">
        <v>201</v>
      </c>
      <c r="G85" s="168" t="s">
        <v>4</v>
      </c>
      <c r="H85" s="168"/>
      <c r="I85" s="168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19">
        <v>2074</v>
      </c>
      <c r="V85" s="119">
        <v>2155</v>
      </c>
      <c r="W85" s="119">
        <v>2112</v>
      </c>
      <c r="X85" s="118">
        <v>1794</v>
      </c>
      <c r="Y85" s="118">
        <v>1875</v>
      </c>
      <c r="Z85" s="118">
        <v>2250</v>
      </c>
      <c r="AA85" s="118">
        <v>2248</v>
      </c>
      <c r="AB85" s="119">
        <v>1999</v>
      </c>
      <c r="AC85" s="119">
        <v>1826</v>
      </c>
      <c r="AD85" s="119">
        <v>2202</v>
      </c>
      <c r="AE85" s="119">
        <v>2147</v>
      </c>
      <c r="AF85" s="119">
        <v>2151.1357648809521</v>
      </c>
      <c r="AG85" s="118">
        <v>2520</v>
      </c>
      <c r="AH85" s="118">
        <v>2520</v>
      </c>
      <c r="AI85" s="118">
        <v>2561.5131192112035</v>
      </c>
      <c r="AJ85" s="118">
        <v>2602.4973291185829</v>
      </c>
      <c r="AK85" s="118">
        <v>2644.1372863844804</v>
      </c>
      <c r="AL85" s="118">
        <v>2686.443482966632</v>
      </c>
      <c r="AM85" s="118">
        <v>2729.4265786940982</v>
      </c>
      <c r="AN85" s="118">
        <v>2723.7402733218187</v>
      </c>
      <c r="AO85" s="118">
        <v>2718.0539679495396</v>
      </c>
      <c r="AP85" s="118">
        <v>2712.3676625772596</v>
      </c>
      <c r="AQ85" s="118">
        <v>2706.6813572049805</v>
      </c>
      <c r="AR85" s="118">
        <v>2700.9950518327014</v>
      </c>
      <c r="AS85" s="118">
        <v>2695.3087464604218</v>
      </c>
      <c r="AT85" s="118">
        <v>2689.6224410881428</v>
      </c>
      <c r="AU85" s="118">
        <v>2683.9361357158632</v>
      </c>
      <c r="AV85" s="118">
        <v>2678.2498303435837</v>
      </c>
      <c r="AW85" s="118">
        <v>2672.5635249713046</v>
      </c>
      <c r="AX85" s="118">
        <v>2666.8772195990246</v>
      </c>
      <c r="AY85" s="118">
        <v>2661.1909142267455</v>
      </c>
      <c r="AZ85" s="118">
        <v>2655.5046088544664</v>
      </c>
      <c r="BA85" s="118">
        <v>2649.8183034821868</v>
      </c>
      <c r="BB85" s="118">
        <v>2644.1319981099077</v>
      </c>
      <c r="BC85" s="118">
        <v>2274.5221489117484</v>
      </c>
      <c r="BD85" s="118">
        <v>2274.5221489117484</v>
      </c>
      <c r="BE85" s="118">
        <v>2274.5221489117484</v>
      </c>
      <c r="BF85" s="118">
        <v>2274.5221489117484</v>
      </c>
      <c r="BG85" s="118">
        <v>2274.5221489117484</v>
      </c>
    </row>
    <row r="86" spans="1:59" ht="13.75" customHeight="1">
      <c r="A86" s="141" t="s">
        <v>166</v>
      </c>
      <c r="B86" s="170" t="s">
        <v>173</v>
      </c>
      <c r="C86" s="170" t="s">
        <v>174</v>
      </c>
      <c r="D86" s="170" t="s">
        <v>168</v>
      </c>
      <c r="E86" s="168"/>
      <c r="F86" s="168" t="s">
        <v>202</v>
      </c>
      <c r="G86" s="168" t="s">
        <v>194</v>
      </c>
      <c r="H86" s="168"/>
      <c r="I86" s="168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19">
        <v>31.2</v>
      </c>
      <c r="V86" s="119">
        <v>23.9</v>
      </c>
      <c r="W86" s="119">
        <v>19.100000000000001</v>
      </c>
      <c r="X86" s="121">
        <v>15.7</v>
      </c>
      <c r="Y86" s="121">
        <v>17.116700000000002</v>
      </c>
      <c r="Z86" s="121">
        <v>17.074200000000001</v>
      </c>
      <c r="AA86" s="118">
        <v>15.71</v>
      </c>
      <c r="AB86" s="119">
        <v>16</v>
      </c>
      <c r="AC86" s="119">
        <v>21</v>
      </c>
      <c r="AD86" s="119">
        <v>25</v>
      </c>
      <c r="AE86" s="119">
        <v>22</v>
      </c>
      <c r="AF86" s="119">
        <v>23.551874600183826</v>
      </c>
      <c r="AG86" s="118">
        <v>25.596</v>
      </c>
      <c r="AH86" s="118">
        <v>25.321249999999999</v>
      </c>
      <c r="AI86" s="118">
        <v>25.047499999999999</v>
      </c>
      <c r="AJ86" s="118">
        <v>25.3390995</v>
      </c>
      <c r="AK86" s="118">
        <v>25.633954476000003</v>
      </c>
      <c r="AL86" s="118">
        <v>25.932098927826001</v>
      </c>
      <c r="AM86" s="118">
        <v>26.233567169225836</v>
      </c>
      <c r="AN86" s="118">
        <v>26.433705885892465</v>
      </c>
      <c r="AO86" s="118">
        <v>26.635224020175507</v>
      </c>
      <c r="AP86" s="118">
        <v>26.838129146555616</v>
      </c>
      <c r="AQ86" s="118">
        <v>27.042428853061313</v>
      </c>
      <c r="AR86" s="118">
        <v>27.248130740782468</v>
      </c>
      <c r="AS86" s="118">
        <v>27.455242423372741</v>
      </c>
      <c r="AT86" s="118">
        <v>27.663771526540735</v>
      </c>
      <c r="AU86" s="118">
        <v>27.87372568752976</v>
      </c>
      <c r="AV86" s="118">
        <v>28.085112554585905</v>
      </c>
      <c r="AW86" s="118">
        <v>28.297939786414425</v>
      </c>
      <c r="AX86" s="118">
        <v>28.512215051624047</v>
      </c>
      <c r="AY86" s="118">
        <v>28.727946028159227</v>
      </c>
      <c r="AZ86" s="118">
        <v>28.94514040271995</v>
      </c>
      <c r="BA86" s="118">
        <v>29.163805870169075</v>
      </c>
      <c r="BB86" s="118">
        <v>29.383950132926898</v>
      </c>
      <c r="BC86" s="118">
        <v>28.883493561319877</v>
      </c>
      <c r="BD86" s="118">
        <v>29.172328496933076</v>
      </c>
      <c r="BE86" s="118">
        <v>29.464051781902409</v>
      </c>
      <c r="BF86" s="118">
        <v>29.758692299721435</v>
      </c>
      <c r="BG86" s="118">
        <v>30.056279222718651</v>
      </c>
    </row>
    <row r="87" spans="1:59" ht="13.75" customHeight="1">
      <c r="A87" s="141" t="s">
        <v>166</v>
      </c>
      <c r="B87" s="170" t="s">
        <v>173</v>
      </c>
      <c r="C87" s="170" t="s">
        <v>179</v>
      </c>
      <c r="D87" s="170" t="s">
        <v>168</v>
      </c>
      <c r="E87" s="168"/>
      <c r="F87" s="168" t="s">
        <v>203</v>
      </c>
      <c r="G87" s="168" t="s">
        <v>4</v>
      </c>
      <c r="H87" s="168"/>
      <c r="I87" s="168" t="s">
        <v>181</v>
      </c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19">
        <v>1777.5638861281996</v>
      </c>
      <c r="V87" s="119">
        <v>1777.5638861281996</v>
      </c>
      <c r="W87" s="119">
        <v>1813.1151638507636</v>
      </c>
      <c r="X87" s="118">
        <v>1272</v>
      </c>
      <c r="Y87" s="118">
        <v>1179</v>
      </c>
      <c r="Z87" s="118">
        <v>1373</v>
      </c>
      <c r="AA87" s="118">
        <v>1083</v>
      </c>
      <c r="AB87" s="118">
        <v>979</v>
      </c>
      <c r="AC87" s="118">
        <v>840</v>
      </c>
      <c r="AD87" s="118">
        <v>923</v>
      </c>
      <c r="AE87" s="118">
        <v>995.50235037700008</v>
      </c>
      <c r="AF87" s="118">
        <v>971.23676477967842</v>
      </c>
      <c r="AG87" s="118">
        <v>1079.5389205972833</v>
      </c>
      <c r="AH87" s="118">
        <v>1080.6873324696433</v>
      </c>
      <c r="AI87" s="118">
        <v>1091.6682082019252</v>
      </c>
      <c r="AJ87" s="118">
        <v>1097.0342184759577</v>
      </c>
      <c r="AK87" s="118">
        <v>1107.6485334850861</v>
      </c>
      <c r="AL87" s="118">
        <v>1118.3895445992234</v>
      </c>
      <c r="AM87" s="118">
        <v>1129.2589345291544</v>
      </c>
      <c r="AN87" s="118">
        <v>1137.6669133062837</v>
      </c>
      <c r="AO87" s="118">
        <v>1146.1561110072535</v>
      </c>
      <c r="AP87" s="118">
        <v>1154.7273717911949</v>
      </c>
      <c r="AQ87" s="118">
        <v>1163.3815483932913</v>
      </c>
      <c r="AR87" s="118">
        <v>1172.1195021991405</v>
      </c>
      <c r="AS87" s="118">
        <v>1180.9421033194485</v>
      </c>
      <c r="AT87" s="118">
        <v>1189.8502306650516</v>
      </c>
      <c r="AU87" s="118">
        <v>1198.8447720222571</v>
      </c>
      <c r="AV87" s="118">
        <v>1207.9266241285004</v>
      </c>
      <c r="AW87" s="118">
        <v>1217.096692748305</v>
      </c>
      <c r="AX87" s="118">
        <v>1226.3558927495412</v>
      </c>
      <c r="AY87" s="118">
        <v>1235.7051481799772</v>
      </c>
      <c r="AZ87" s="118">
        <v>1245.1453923441059</v>
      </c>
      <c r="BA87" s="118">
        <v>1254.6775678802542</v>
      </c>
      <c r="BB87" s="118">
        <v>1264.3026268379474</v>
      </c>
      <c r="BC87" s="118">
        <v>1201.9428959448749</v>
      </c>
      <c r="BD87" s="118">
        <v>1214.1004762210794</v>
      </c>
      <c r="BE87" s="118">
        <v>1226.4065967466315</v>
      </c>
      <c r="BF87" s="118">
        <v>1238.8632573261991</v>
      </c>
      <c r="BG87" s="118">
        <v>1251.4724861415732</v>
      </c>
    </row>
    <row r="88" spans="1:59" ht="13.75" customHeight="1">
      <c r="A88" s="141" t="s">
        <v>166</v>
      </c>
      <c r="B88" s="170" t="s">
        <v>173</v>
      </c>
      <c r="C88" s="170" t="s">
        <v>174</v>
      </c>
      <c r="D88" s="170" t="s">
        <v>168</v>
      </c>
      <c r="E88" s="168"/>
      <c r="F88" s="168" t="s">
        <v>204</v>
      </c>
      <c r="G88" s="168" t="s">
        <v>4</v>
      </c>
      <c r="H88" s="168"/>
      <c r="I88" s="168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19"/>
      <c r="V88" s="119"/>
      <c r="W88" s="119"/>
      <c r="X88" s="118">
        <v>0</v>
      </c>
      <c r="Y88" s="118">
        <v>845</v>
      </c>
      <c r="Z88" s="118">
        <v>1217</v>
      </c>
      <c r="AA88" s="118">
        <v>1179.3308679237093</v>
      </c>
      <c r="AB88" s="118">
        <v>1069.6653497942382</v>
      </c>
      <c r="AC88" s="118">
        <v>1014.6449180327866</v>
      </c>
      <c r="AD88" s="118">
        <v>1704.231833333333</v>
      </c>
      <c r="AE88" s="118">
        <v>1615.663729508198</v>
      </c>
      <c r="AF88" s="118">
        <v>1173.0888362628582</v>
      </c>
      <c r="AG88" s="118">
        <v>1349.0521617022869</v>
      </c>
      <c r="AH88" s="118">
        <v>1349.0521617022869</v>
      </c>
      <c r="AI88" s="118">
        <v>1362.9418847208583</v>
      </c>
      <c r="AJ88" s="118">
        <v>1376.5713035680669</v>
      </c>
      <c r="AK88" s="118">
        <v>1390.3370166037475</v>
      </c>
      <c r="AL88" s="118">
        <v>1404.2403867697851</v>
      </c>
      <c r="AM88" s="118">
        <v>1418.282790637483</v>
      </c>
      <c r="AN88" s="118">
        <v>1429.3515628513715</v>
      </c>
      <c r="AO88" s="118">
        <v>1440.4998822304738</v>
      </c>
      <c r="AP88" s="118">
        <v>1451.7282328408728</v>
      </c>
      <c r="AQ88" s="118">
        <v>1463.0371004752567</v>
      </c>
      <c r="AR88" s="118">
        <v>1474.4269726390444</v>
      </c>
      <c r="AS88" s="118">
        <v>1485.8983385360602</v>
      </c>
      <c r="AT88" s="118">
        <v>1497.4516890537527</v>
      </c>
      <c r="AU88" s="118">
        <v>1509.0875167479451</v>
      </c>
      <c r="AV88" s="118">
        <v>1520.8063158271161</v>
      </c>
      <c r="AW88" s="118">
        <v>1532.6085821361958</v>
      </c>
      <c r="AX88" s="118">
        <v>1544.4948131398744</v>
      </c>
      <c r="AY88" s="118">
        <v>1556.4655079054126</v>
      </c>
      <c r="AZ88" s="118">
        <v>1568.5211670849478</v>
      </c>
      <c r="BA88" s="118">
        <v>1580.6622928972834</v>
      </c>
      <c r="BB88" s="118">
        <v>1592.889389109157</v>
      </c>
      <c r="BC88" s="118">
        <v>1446.1287937080886</v>
      </c>
      <c r="BD88" s="118">
        <v>1460.5900816451694</v>
      </c>
      <c r="BE88" s="118">
        <v>1475.195982461621</v>
      </c>
      <c r="BF88" s="118">
        <v>1489.9479422862373</v>
      </c>
      <c r="BG88" s="118">
        <v>1504.8474217090998</v>
      </c>
    </row>
    <row r="89" spans="1:59" ht="13.75" customHeight="1">
      <c r="A89" s="141" t="s">
        <v>166</v>
      </c>
      <c r="B89" s="170" t="s">
        <v>173</v>
      </c>
      <c r="C89" s="170" t="s">
        <v>174</v>
      </c>
      <c r="D89" s="170" t="s">
        <v>168</v>
      </c>
      <c r="E89" s="168"/>
      <c r="F89" s="168" t="s">
        <v>205</v>
      </c>
      <c r="G89" s="168" t="s">
        <v>4</v>
      </c>
      <c r="H89" s="168"/>
      <c r="I89" s="168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19"/>
      <c r="V89" s="119"/>
      <c r="W89" s="119"/>
      <c r="X89" s="118">
        <v>0</v>
      </c>
      <c r="Y89" s="118">
        <v>1028</v>
      </c>
      <c r="Z89" s="118">
        <v>1461</v>
      </c>
      <c r="AA89" s="118">
        <v>1386.4785956062919</v>
      </c>
      <c r="AB89" s="118">
        <v>1126.7142857142858</v>
      </c>
      <c r="AC89" s="118">
        <v>1079.1803278688524</v>
      </c>
      <c r="AD89" s="118">
        <v>1983.3541666666667</v>
      </c>
      <c r="AE89" s="118">
        <v>1850.983606557377</v>
      </c>
      <c r="AF89" s="118">
        <v>1460.8257598455341</v>
      </c>
      <c r="AG89" s="118">
        <v>1679.9496238223642</v>
      </c>
      <c r="AH89" s="118">
        <v>1574.8092365588723</v>
      </c>
      <c r="AI89" s="118">
        <v>1579.1984707072727</v>
      </c>
      <c r="AJ89" s="118">
        <v>1594.9904554143452</v>
      </c>
      <c r="AK89" s="118">
        <v>1610.9403599684886</v>
      </c>
      <c r="AL89" s="118">
        <v>1627.0497635681736</v>
      </c>
      <c r="AM89" s="118">
        <v>1643.3202612038556</v>
      </c>
      <c r="AN89" s="118">
        <v>1656.1453041119466</v>
      </c>
      <c r="AO89" s="118">
        <v>1669.0625158520791</v>
      </c>
      <c r="AP89" s="118">
        <v>1682.0724572966033</v>
      </c>
      <c r="AQ89" s="118">
        <v>1695.175691318432</v>
      </c>
      <c r="AR89" s="118">
        <v>1708.3727827749678</v>
      </c>
      <c r="AS89" s="118">
        <v>1721.6642984915031</v>
      </c>
      <c r="AT89" s="118">
        <v>1735.0508072440912</v>
      </c>
      <c r="AU89" s="118">
        <v>1748.5328797418817</v>
      </c>
      <c r="AV89" s="118">
        <v>1762.1110886089039</v>
      </c>
      <c r="AW89" s="118">
        <v>1775.7860083652924</v>
      </c>
      <c r="AX89" s="118">
        <v>1789.558215407948</v>
      </c>
      <c r="AY89" s="118">
        <v>1803.4282879906195</v>
      </c>
      <c r="AZ89" s="118">
        <v>1817.3968062034039</v>
      </c>
      <c r="BA89" s="118">
        <v>1831.4643519516451</v>
      </c>
      <c r="BB89" s="118">
        <v>1845.6315089342311</v>
      </c>
      <c r="BC89" s="118">
        <v>1675.5845609200658</v>
      </c>
      <c r="BD89" s="118">
        <v>1692.3404065292664</v>
      </c>
      <c r="BE89" s="118">
        <v>1709.2638105945589</v>
      </c>
      <c r="BF89" s="118">
        <v>1726.3564487005046</v>
      </c>
      <c r="BG89" s="118">
        <v>1743.6200131875098</v>
      </c>
    </row>
    <row r="90" spans="1:59" ht="13.75" customHeight="1">
      <c r="A90" s="141" t="s">
        <v>166</v>
      </c>
      <c r="B90" s="170" t="s">
        <v>173</v>
      </c>
      <c r="C90" s="170" t="s">
        <v>174</v>
      </c>
      <c r="D90" s="170" t="s">
        <v>168</v>
      </c>
      <c r="E90" s="168"/>
      <c r="F90" s="168" t="s">
        <v>206</v>
      </c>
      <c r="G90" s="168" t="s">
        <v>207</v>
      </c>
      <c r="H90" s="168"/>
      <c r="I90" s="168" t="s">
        <v>181</v>
      </c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19">
        <v>107.9</v>
      </c>
      <c r="V90" s="119">
        <v>99.6</v>
      </c>
      <c r="W90" s="119">
        <v>108.1</v>
      </c>
      <c r="X90" s="118">
        <v>96.8</v>
      </c>
      <c r="Y90" s="118">
        <v>103</v>
      </c>
      <c r="Z90" s="118">
        <v>120</v>
      </c>
      <c r="AA90" s="118">
        <v>125</v>
      </c>
      <c r="AB90" s="119">
        <v>87.81224489795909</v>
      </c>
      <c r="AC90" s="119">
        <v>81.192622950819555</v>
      </c>
      <c r="AD90" s="119">
        <v>124.68749999999989</v>
      </c>
      <c r="AE90" s="119">
        <v>190</v>
      </c>
      <c r="AF90" s="119">
        <v>227.67318319517966</v>
      </c>
      <c r="AG90" s="118">
        <v>195.49999999999997</v>
      </c>
      <c r="AH90" s="118">
        <v>172.5</v>
      </c>
      <c r="AI90" s="118">
        <v>149.5</v>
      </c>
      <c r="AJ90" s="118">
        <v>154.72922589696634</v>
      </c>
      <c r="AK90" s="118">
        <v>156.31622589696636</v>
      </c>
      <c r="AL90" s="118">
        <v>157.92226989696633</v>
      </c>
      <c r="AM90" s="118">
        <v>159.54758642496634</v>
      </c>
      <c r="AN90" s="118">
        <v>160.15594830885632</v>
      </c>
      <c r="AO90" s="118">
        <v>160.76586682224172</v>
      </c>
      <c r="AP90" s="118">
        <v>161.37733874364858</v>
      </c>
      <c r="AQ90" s="118">
        <v>161.99036075690671</v>
      </c>
      <c r="AR90" s="118">
        <v>162.60492945012919</v>
      </c>
      <c r="AS90" s="118">
        <v>163.22104131468311</v>
      </c>
      <c r="AT90" s="118">
        <v>163.83869274415144</v>
      </c>
      <c r="AU90" s="118">
        <v>164.45788003328605</v>
      </c>
      <c r="AV90" s="118">
        <v>165.07859937695153</v>
      </c>
      <c r="AW90" s="118">
        <v>165.70084686905977</v>
      </c>
      <c r="AX90" s="118">
        <v>166.32461850149576</v>
      </c>
      <c r="AY90" s="118">
        <v>166.94991016303365</v>
      </c>
      <c r="AZ90" s="118">
        <v>167.57671763824396</v>
      </c>
      <c r="BA90" s="118">
        <v>168.20503660639093</v>
      </c>
      <c r="BB90" s="118">
        <v>168.83486264032069</v>
      </c>
      <c r="BC90" s="118">
        <v>152.67224432913494</v>
      </c>
      <c r="BD90" s="118">
        <v>153.58827779510975</v>
      </c>
      <c r="BE90" s="118">
        <v>154.5098074618804</v>
      </c>
      <c r="BF90" s="118">
        <v>155.43686630665169</v>
      </c>
      <c r="BG90" s="118">
        <v>156.36948750449162</v>
      </c>
    </row>
    <row r="91" spans="1:59" ht="13.75" customHeight="1">
      <c r="A91" s="141" t="s">
        <v>166</v>
      </c>
      <c r="B91" s="170" t="s">
        <v>173</v>
      </c>
      <c r="C91" s="170" t="s">
        <v>176</v>
      </c>
      <c r="D91" s="170" t="s">
        <v>168</v>
      </c>
      <c r="E91" s="168"/>
      <c r="F91" s="168" t="s">
        <v>208</v>
      </c>
      <c r="G91" s="168" t="s">
        <v>4</v>
      </c>
      <c r="H91" s="168"/>
      <c r="I91" s="168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19">
        <v>679</v>
      </c>
      <c r="V91" s="119">
        <v>596</v>
      </c>
      <c r="W91" s="119">
        <v>538</v>
      </c>
      <c r="X91" s="118">
        <v>459</v>
      </c>
      <c r="Y91" s="118">
        <v>479</v>
      </c>
      <c r="Z91" s="118">
        <v>600</v>
      </c>
      <c r="AA91" s="118">
        <v>623.39733984283941</v>
      </c>
      <c r="AB91" s="119">
        <v>658.83925739491031</v>
      </c>
      <c r="AC91" s="119">
        <v>595.70838533157939</v>
      </c>
      <c r="AD91" s="119">
        <v>1040.4122306920442</v>
      </c>
      <c r="AE91" s="119">
        <v>855</v>
      </c>
      <c r="AF91" s="119">
        <v>704.08714274067052</v>
      </c>
      <c r="AG91" s="118">
        <v>827.18984654300129</v>
      </c>
      <c r="AH91" s="118">
        <v>820.56860688581719</v>
      </c>
      <c r="AI91" s="118">
        <v>840.17390739587847</v>
      </c>
      <c r="AJ91" s="118">
        <v>851.76828286047942</v>
      </c>
      <c r="AK91" s="118">
        <v>864.22223693964384</v>
      </c>
      <c r="AL91" s="118">
        <v>876.85901354582256</v>
      </c>
      <c r="AM91" s="118">
        <v>889.68130766911213</v>
      </c>
      <c r="AN91" s="118">
        <v>900.64028180116361</v>
      </c>
      <c r="AO91" s="118">
        <v>911.73027656017734</v>
      </c>
      <c r="AP91" s="118">
        <v>922.95278675185068</v>
      </c>
      <c r="AQ91" s="118">
        <v>934.30932290238059</v>
      </c>
      <c r="AR91" s="118">
        <v>945.80141139773514</v>
      </c>
      <c r="AS91" s="118">
        <v>957.43059462360725</v>
      </c>
      <c r="AT91" s="118">
        <v>969.19843110603711</v>
      </c>
      <c r="AU91" s="118">
        <v>981.10649565269489</v>
      </c>
      <c r="AV91" s="118">
        <v>993.15637949481254</v>
      </c>
      <c r="AW91" s="118">
        <v>1005.3496904297509</v>
      </c>
      <c r="AX91" s="118">
        <v>1017.6880529641877</v>
      </c>
      <c r="AY91" s="118">
        <v>1030.1731084579203</v>
      </c>
      <c r="AZ91" s="118">
        <v>1042.806515268262</v>
      </c>
      <c r="BA91" s="118">
        <v>1055.5899488950231</v>
      </c>
      <c r="BB91" s="118">
        <v>1068.5251021260567</v>
      </c>
      <c r="BC91" s="118">
        <v>1020.390269040906</v>
      </c>
      <c r="BD91" s="118">
        <v>1035.3261710351903</v>
      </c>
      <c r="BE91" s="118">
        <v>1050.4815826690378</v>
      </c>
      <c r="BF91" s="118">
        <v>1065.859743589589</v>
      </c>
      <c r="BG91" s="118">
        <v>1081.4639414632386</v>
      </c>
    </row>
    <row r="92" spans="1:59" ht="13.75" customHeight="1">
      <c r="A92" s="141" t="s">
        <v>166</v>
      </c>
      <c r="B92" s="170" t="s">
        <v>173</v>
      </c>
      <c r="C92" s="170" t="s">
        <v>176</v>
      </c>
      <c r="D92" s="170" t="s">
        <v>168</v>
      </c>
      <c r="E92" s="168"/>
      <c r="F92" s="168" t="s">
        <v>209</v>
      </c>
      <c r="G92" s="168" t="s">
        <v>4</v>
      </c>
      <c r="H92" s="168"/>
      <c r="I92" s="168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19">
        <v>679</v>
      </c>
      <c r="V92" s="119">
        <v>622</v>
      </c>
      <c r="W92" s="119">
        <v>608</v>
      </c>
      <c r="X92" s="118">
        <v>427.75</v>
      </c>
      <c r="Y92" s="118">
        <v>442.25</v>
      </c>
      <c r="Z92" s="118">
        <v>554.08333333333337</v>
      </c>
      <c r="AA92" s="118">
        <v>616.25</v>
      </c>
      <c r="AB92" s="119">
        <v>527</v>
      </c>
      <c r="AC92" s="119">
        <v>499</v>
      </c>
      <c r="AD92" s="119">
        <v>1001</v>
      </c>
      <c r="AE92" s="119">
        <v>838.25</v>
      </c>
      <c r="AF92" s="119">
        <v>711.41666666666674</v>
      </c>
      <c r="AG92" s="118">
        <v>822.10981848336894</v>
      </c>
      <c r="AH92" s="118">
        <v>819.50795440339732</v>
      </c>
      <c r="AI92" s="118">
        <v>821.31057752912739</v>
      </c>
      <c r="AJ92" s="118">
        <v>821.9658031356912</v>
      </c>
      <c r="AK92" s="118">
        <v>834.78909923520268</v>
      </c>
      <c r="AL92" s="118">
        <v>847.81297387779728</v>
      </c>
      <c r="AM92" s="118">
        <v>861.04057200144098</v>
      </c>
      <c r="AN92" s="118">
        <v>894.43764458091209</v>
      </c>
      <c r="AO92" s="118">
        <v>905.98285828585517</v>
      </c>
      <c r="AP92" s="118">
        <v>917.67805326143286</v>
      </c>
      <c r="AQ92" s="118">
        <v>929.52509101236433</v>
      </c>
      <c r="AR92" s="118">
        <v>941.52585462063132</v>
      </c>
      <c r="AS92" s="118">
        <v>953.68224896475226</v>
      </c>
      <c r="AT92" s="118">
        <v>965.99620094062004</v>
      </c>
      <c r="AU92" s="118">
        <v>978.46965968389736</v>
      </c>
      <c r="AV92" s="118">
        <v>991.10459679396638</v>
      </c>
      <c r="AW92" s="118">
        <v>1003.903006559423</v>
      </c>
      <c r="AX92" s="118">
        <v>1016.8669061851108</v>
      </c>
      <c r="AY92" s="118">
        <v>1029.998336020687</v>
      </c>
      <c r="AZ92" s="118">
        <v>1043.2993597907123</v>
      </c>
      <c r="BA92" s="118">
        <v>1056.7720648262566</v>
      </c>
      <c r="BB92" s="118">
        <v>1070.4185622980083</v>
      </c>
      <c r="BC92" s="118">
        <v>1022.8688560857362</v>
      </c>
      <c r="BD92" s="118">
        <v>1038.5262409835473</v>
      </c>
      <c r="BE92" s="118">
        <v>1054.4287048045294</v>
      </c>
      <c r="BF92" s="118">
        <v>1070.5800926621605</v>
      </c>
      <c r="BG92" s="118">
        <v>1086.9843101256447</v>
      </c>
    </row>
    <row r="93" spans="1:59" ht="13.75" customHeight="1">
      <c r="A93" s="141" t="s">
        <v>166</v>
      </c>
      <c r="B93" s="170" t="s">
        <v>173</v>
      </c>
      <c r="C93" s="170" t="s">
        <v>174</v>
      </c>
      <c r="D93" s="170" t="s">
        <v>168</v>
      </c>
      <c r="E93" s="168"/>
      <c r="F93" s="168" t="s">
        <v>210</v>
      </c>
      <c r="G93" s="168" t="s">
        <v>4</v>
      </c>
      <c r="H93" s="168"/>
      <c r="I93" s="168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19">
        <v>1965</v>
      </c>
      <c r="V93" s="119">
        <v>1938</v>
      </c>
      <c r="W93" s="119">
        <v>2166</v>
      </c>
      <c r="X93" s="118">
        <v>1939</v>
      </c>
      <c r="Y93" s="118">
        <v>2101</v>
      </c>
      <c r="Z93" s="118">
        <v>2893</v>
      </c>
      <c r="AA93" s="118">
        <v>2892</v>
      </c>
      <c r="AB93" s="118">
        <v>2548</v>
      </c>
      <c r="AC93" s="119">
        <v>2269</v>
      </c>
      <c r="AD93" s="119">
        <v>3005</v>
      </c>
      <c r="AE93" s="118">
        <v>3475</v>
      </c>
      <c r="AF93" s="118">
        <v>2672.0724270833334</v>
      </c>
      <c r="AG93" s="118">
        <v>2970.0000000000005</v>
      </c>
      <c r="AH93" s="118">
        <v>3080.0000000000005</v>
      </c>
      <c r="AI93" s="118">
        <v>3190.0000000000005</v>
      </c>
      <c r="AJ93" s="118">
        <v>3241.0400000000004</v>
      </c>
      <c r="AK93" s="118">
        <v>3292.8966400000004</v>
      </c>
      <c r="AL93" s="118">
        <v>3345.5829862400005</v>
      </c>
      <c r="AM93" s="118">
        <v>3399.1123140198406</v>
      </c>
      <c r="AN93" s="118">
        <v>3425.300929348311</v>
      </c>
      <c r="AO93" s="118">
        <v>3451.6734057519502</v>
      </c>
      <c r="AP93" s="118">
        <v>3478.2308015907265</v>
      </c>
      <c r="AQ93" s="118">
        <v>3504.9741780057038</v>
      </c>
      <c r="AR93" s="118">
        <v>3531.9045988688204</v>
      </c>
      <c r="AS93" s="118">
        <v>3559.0231307313998</v>
      </c>
      <c r="AT93" s="118">
        <v>3586.3308427713432</v>
      </c>
      <c r="AU93" s="118">
        <v>3613.8288067390126</v>
      </c>
      <c r="AV93" s="118">
        <v>3641.5180969017583</v>
      </c>
      <c r="AW93" s="118">
        <v>3669.3997899870851</v>
      </c>
      <c r="AX93" s="118">
        <v>3697.4749651244283</v>
      </c>
      <c r="AY93" s="118">
        <v>3725.7447037855195</v>
      </c>
      <c r="AZ93" s="118">
        <v>3754.2100897233195</v>
      </c>
      <c r="BA93" s="118">
        <v>3782.8722089094981</v>
      </c>
      <c r="BB93" s="118">
        <v>3811.7321494704274</v>
      </c>
      <c r="BC93" s="118">
        <v>3623.3877373789473</v>
      </c>
      <c r="BD93" s="118">
        <v>3659.6216147527371</v>
      </c>
      <c r="BE93" s="118">
        <v>3696.2178309002643</v>
      </c>
      <c r="BF93" s="118">
        <v>3733.1800092092672</v>
      </c>
      <c r="BG93" s="118">
        <v>3770.5118093013598</v>
      </c>
    </row>
    <row r="94" spans="1:59" ht="13.75" customHeight="1">
      <c r="A94" s="141" t="s">
        <v>166</v>
      </c>
      <c r="B94" s="170" t="s">
        <v>173</v>
      </c>
      <c r="C94" s="170" t="s">
        <v>176</v>
      </c>
      <c r="D94" s="170" t="s">
        <v>168</v>
      </c>
      <c r="E94" s="168"/>
      <c r="F94" s="168" t="s">
        <v>211</v>
      </c>
      <c r="G94" s="168" t="s">
        <v>4</v>
      </c>
      <c r="H94" s="168"/>
      <c r="I94" s="168" t="s">
        <v>181</v>
      </c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19">
        <v>430.17569754728976</v>
      </c>
      <c r="V94" s="119">
        <v>346.64168447453437</v>
      </c>
      <c r="W94" s="119">
        <v>339.48556070933324</v>
      </c>
      <c r="X94" s="118">
        <v>230.82832470180992</v>
      </c>
      <c r="Y94" s="118">
        <v>221.36704651439015</v>
      </c>
      <c r="Z94" s="118">
        <v>339.73178123258452</v>
      </c>
      <c r="AA94" s="118">
        <v>349.25363702448203</v>
      </c>
      <c r="AB94" s="119">
        <v>384</v>
      </c>
      <c r="AC94" s="119">
        <v>337</v>
      </c>
      <c r="AD94" s="119">
        <v>508</v>
      </c>
      <c r="AE94" s="119">
        <v>457.7185980528148</v>
      </c>
      <c r="AF94" s="119">
        <v>344.88100138422624</v>
      </c>
      <c r="AG94" s="118">
        <v>438.18846471144951</v>
      </c>
      <c r="AH94" s="118">
        <v>436.72869911143511</v>
      </c>
      <c r="AI94" s="118">
        <v>439.41272834287298</v>
      </c>
      <c r="AJ94" s="118">
        <v>423.17451145262726</v>
      </c>
      <c r="AK94" s="118">
        <v>429.71559391040773</v>
      </c>
      <c r="AL94" s="118">
        <v>436.35811775135619</v>
      </c>
      <c r="AM94" s="118">
        <v>443.10366101449722</v>
      </c>
      <c r="AN94" s="118">
        <v>448.9312040245261</v>
      </c>
      <c r="AO94" s="118">
        <v>454.83337670620915</v>
      </c>
      <c r="AP94" s="118">
        <v>460.8110964138383</v>
      </c>
      <c r="AQ94" s="118">
        <v>466.86529103117437</v>
      </c>
      <c r="AR94" s="118">
        <v>472.99689907724155</v>
      </c>
      <c r="AS94" s="118">
        <v>479.20686981286087</v>
      </c>
      <c r="AT94" s="118">
        <v>485.49616334791875</v>
      </c>
      <c r="AU94" s="118">
        <v>491.8657507493682</v>
      </c>
      <c r="AV94" s="118">
        <v>498.31661414996023</v>
      </c>
      <c r="AW94" s="118">
        <v>504.84974685770055</v>
      </c>
      <c r="AX94" s="118">
        <v>511.46615346602709</v>
      </c>
      <c r="AY94" s="118">
        <v>518.16684996470644</v>
      </c>
      <c r="AZ94" s="118">
        <v>524.9528638514422</v>
      </c>
      <c r="BA94" s="118">
        <v>531.8252342441923</v>
      </c>
      <c r="BB94" s="118">
        <v>538.78501199418781</v>
      </c>
      <c r="BC94" s="118">
        <v>514.93703754683997</v>
      </c>
      <c r="BD94" s="118">
        <v>522.90406838789693</v>
      </c>
      <c r="BE94" s="118">
        <v>530.99476425777505</v>
      </c>
      <c r="BF94" s="118">
        <v>539.21105049243056</v>
      </c>
      <c r="BG94" s="118">
        <v>547.55488248693212</v>
      </c>
    </row>
    <row r="95" spans="1:59" ht="13.75" customHeight="1">
      <c r="A95" s="141" t="s">
        <v>166</v>
      </c>
      <c r="B95" s="170" t="s">
        <v>173</v>
      </c>
      <c r="C95" s="170" t="s">
        <v>176</v>
      </c>
      <c r="D95" s="170" t="s">
        <v>168</v>
      </c>
      <c r="E95" s="168"/>
      <c r="F95" s="168" t="s">
        <v>212</v>
      </c>
      <c r="G95" s="168" t="s">
        <v>4</v>
      </c>
      <c r="H95" s="168"/>
      <c r="I95" s="168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19">
        <v>415.19607843137254</v>
      </c>
      <c r="V95" s="119">
        <v>389.71153846153845</v>
      </c>
      <c r="W95" s="119">
        <v>376.88679245283021</v>
      </c>
      <c r="X95" s="118">
        <v>243.75</v>
      </c>
      <c r="Y95" s="118">
        <v>255.91666666666666</v>
      </c>
      <c r="Z95" s="118">
        <v>352.66666666666669</v>
      </c>
      <c r="AA95" s="118">
        <v>378.08333333333331</v>
      </c>
      <c r="AB95" s="119">
        <v>326</v>
      </c>
      <c r="AC95" s="119">
        <v>340</v>
      </c>
      <c r="AD95" s="119">
        <v>550</v>
      </c>
      <c r="AE95" s="119">
        <v>469</v>
      </c>
      <c r="AF95" s="119">
        <v>384.83333333333331</v>
      </c>
      <c r="AG95" s="118">
        <v>449.58399797567108</v>
      </c>
      <c r="AH95" s="118">
        <v>423.98292857084465</v>
      </c>
      <c r="AI95" s="118">
        <v>424.67928197274045</v>
      </c>
      <c r="AJ95" s="118">
        <v>430.16440685040192</v>
      </c>
      <c r="AK95" s="118">
        <v>436.7188806093489</v>
      </c>
      <c r="AL95" s="118">
        <v>443.37363175392983</v>
      </c>
      <c r="AM95" s="118">
        <v>450.13020040359163</v>
      </c>
      <c r="AN95" s="118">
        <v>455.95153644100498</v>
      </c>
      <c r="AO95" s="118">
        <v>461.84618308967327</v>
      </c>
      <c r="AP95" s="118">
        <v>467.81502610685942</v>
      </c>
      <c r="AQ95" s="118">
        <v>473.85896122558108</v>
      </c>
      <c r="AR95" s="118">
        <v>479.978894252359</v>
      </c>
      <c r="AS95" s="118">
        <v>486.17574116560871</v>
      </c>
      <c r="AT95" s="118">
        <v>492.45042821467149</v>
      </c>
      <c r="AU95" s="118">
        <v>498.80389201948276</v>
      </c>
      <c r="AV95" s="118">
        <v>505.23707967087273</v>
      </c>
      <c r="AW95" s="118">
        <v>511.75094883149455</v>
      </c>
      <c r="AX95" s="118">
        <v>518.34646783737617</v>
      </c>
      <c r="AY95" s="118">
        <v>525.02461580009083</v>
      </c>
      <c r="AZ95" s="118">
        <v>531.78638270954025</v>
      </c>
      <c r="BA95" s="118">
        <v>538.63276953734669</v>
      </c>
      <c r="BB95" s="118">
        <v>545.56478834084567</v>
      </c>
      <c r="BC95" s="118">
        <v>521.30515317705158</v>
      </c>
      <c r="BD95" s="118">
        <v>529.25751882832367</v>
      </c>
      <c r="BE95" s="118">
        <v>537.33168309482221</v>
      </c>
      <c r="BF95" s="118">
        <v>545.52951860509813</v>
      </c>
      <c r="BG95" s="118">
        <v>553.85292688366917</v>
      </c>
    </row>
    <row r="96" spans="1:59" ht="13.75" customHeight="1">
      <c r="A96" s="141" t="s">
        <v>166</v>
      </c>
      <c r="B96" s="170" t="s">
        <v>173</v>
      </c>
      <c r="C96" s="170" t="s">
        <v>174</v>
      </c>
      <c r="D96" s="170" t="s">
        <v>168</v>
      </c>
      <c r="E96" s="168"/>
      <c r="F96" s="168" t="s">
        <v>213</v>
      </c>
      <c r="G96" s="168" t="s">
        <v>194</v>
      </c>
      <c r="H96" s="168"/>
      <c r="I96" s="168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X96" s="150">
        <v>1054</v>
      </c>
      <c r="Y96" s="118">
        <v>989</v>
      </c>
      <c r="Z96" s="118">
        <v>949.91</v>
      </c>
      <c r="AA96" s="118">
        <v>879.64</v>
      </c>
      <c r="AB96" s="119">
        <v>865</v>
      </c>
      <c r="AC96" s="119">
        <v>886</v>
      </c>
      <c r="AD96" s="119">
        <v>1092</v>
      </c>
      <c r="AE96" s="119">
        <v>964</v>
      </c>
      <c r="AF96" s="119">
        <v>984.40866772718687</v>
      </c>
      <c r="AG96" s="118">
        <v>1188</v>
      </c>
      <c r="AH96" s="118">
        <v>1210</v>
      </c>
      <c r="AI96" s="118">
        <v>1229.93288660538</v>
      </c>
      <c r="AJ96" s="118">
        <v>1249.6118127910661</v>
      </c>
      <c r="AK96" s="118">
        <v>1269.605601795723</v>
      </c>
      <c r="AL96" s="118">
        <v>1289.9192914244545</v>
      </c>
      <c r="AM96" s="118">
        <v>1310.558000087246</v>
      </c>
      <c r="AN96" s="118">
        <v>1325.8855716064479</v>
      </c>
      <c r="AO96" s="118">
        <v>1341.3854457601708</v>
      </c>
      <c r="AP96" s="118">
        <v>1357.059442818163</v>
      </c>
      <c r="AQ96" s="118">
        <v>1372.9094002464099</v>
      </c>
      <c r="AR96" s="118">
        <v>1388.9371728318552</v>
      </c>
      <c r="AS96" s="118">
        <v>1405.144632807245</v>
      </c>
      <c r="AT96" s="118">
        <v>1421.5336699760705</v>
      </c>
      <c r="AU96" s="118">
        <v>1438.1061918375931</v>
      </c>
      <c r="AV96" s="118">
        <v>1454.8641237119227</v>
      </c>
      <c r="AW96" s="118">
        <v>1471.8094088651337</v>
      </c>
      <c r="AX96" s="118">
        <v>1488.9440086343868</v>
      </c>
      <c r="AY96" s="118">
        <v>1506.2699025530417</v>
      </c>
      <c r="AZ96" s="118">
        <v>1523.789088475726</v>
      </c>
      <c r="BA96" s="118">
        <v>1541.5035827033457</v>
      </c>
      <c r="BB96" s="118">
        <v>1559.4154201079973</v>
      </c>
      <c r="BC96" s="118">
        <v>1488.2326926960088</v>
      </c>
      <c r="BD96" s="118">
        <v>1509.0679503937529</v>
      </c>
      <c r="BE96" s="118">
        <v>1530.1949016992655</v>
      </c>
      <c r="BF96" s="118">
        <v>1551.6176303230552</v>
      </c>
      <c r="BG96" s="118">
        <v>1573.340277147578</v>
      </c>
    </row>
    <row r="97" spans="1:59" ht="13.75" customHeight="1">
      <c r="A97" s="141" t="s">
        <v>166</v>
      </c>
      <c r="B97" s="170" t="s">
        <v>173</v>
      </c>
      <c r="C97" s="170" t="s">
        <v>174</v>
      </c>
      <c r="D97" s="170" t="s">
        <v>168</v>
      </c>
      <c r="E97" s="168"/>
      <c r="F97" s="168" t="s">
        <v>214</v>
      </c>
      <c r="G97" s="168" t="s">
        <v>194</v>
      </c>
      <c r="H97" s="168"/>
      <c r="I97" s="168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X97" s="150">
        <v>690</v>
      </c>
      <c r="Y97" s="118">
        <v>615</v>
      </c>
      <c r="Z97" s="118">
        <v>870.78</v>
      </c>
      <c r="AA97" s="118">
        <v>1030.49</v>
      </c>
      <c r="AB97" s="118">
        <v>1541</v>
      </c>
      <c r="AC97" s="119">
        <v>2201</v>
      </c>
      <c r="AD97" s="119">
        <v>2397</v>
      </c>
      <c r="AE97" s="119">
        <v>2109</v>
      </c>
      <c r="AF97" s="118">
        <v>1391.1100920767344</v>
      </c>
      <c r="AG97" s="118">
        <v>1485.0000000000002</v>
      </c>
      <c r="AH97" s="118">
        <v>1430.0000000000002</v>
      </c>
      <c r="AI97" s="118">
        <v>1408</v>
      </c>
      <c r="AJ97" s="118">
        <v>1375</v>
      </c>
      <c r="AK97" s="118">
        <v>1375</v>
      </c>
      <c r="AL97" s="118">
        <v>1320</v>
      </c>
      <c r="AM97" s="118">
        <v>1341.1200000000001</v>
      </c>
      <c r="AN97" s="118">
        <v>1354.128864</v>
      </c>
      <c r="AO97" s="118">
        <v>1367.2568194560001</v>
      </c>
      <c r="AP97" s="118">
        <v>1380.5048512865283</v>
      </c>
      <c r="AQ97" s="118">
        <v>1393.8739508989875</v>
      </c>
      <c r="AR97" s="118">
        <v>1407.3651162035599</v>
      </c>
      <c r="AS97" s="118">
        <v>1420.9793516265131</v>
      </c>
      <c r="AT97" s="118">
        <v>1434.7176681228839</v>
      </c>
      <c r="AU97" s="118">
        <v>1448.5810831885333</v>
      </c>
      <c r="AV97" s="118">
        <v>1462.5706208715483</v>
      </c>
      <c r="AW97" s="118">
        <v>1471.8094088651337</v>
      </c>
      <c r="AX97" s="118">
        <v>1486.0072354418141</v>
      </c>
      <c r="AY97" s="118">
        <v>1500.3338693014582</v>
      </c>
      <c r="AZ97" s="118">
        <v>1514.7903573318299</v>
      </c>
      <c r="BA97" s="118">
        <v>1529.3777529977515</v>
      </c>
      <c r="BB97" s="118">
        <v>1544.0971163481993</v>
      </c>
      <c r="BC97" s="118">
        <v>1470.7070887005909</v>
      </c>
      <c r="BD97" s="118">
        <v>1488.3555737649981</v>
      </c>
      <c r="BE97" s="118">
        <v>1506.2158406501781</v>
      </c>
      <c r="BF97" s="118">
        <v>1524.2904307379802</v>
      </c>
      <c r="BG97" s="118">
        <v>1542.581915906836</v>
      </c>
    </row>
    <row r="98" spans="1:59" ht="13.75" customHeight="1">
      <c r="A98" s="141" t="s">
        <v>166</v>
      </c>
      <c r="B98" s="170" t="s">
        <v>173</v>
      </c>
      <c r="C98" s="170" t="s">
        <v>174</v>
      </c>
      <c r="D98" s="170" t="s">
        <v>168</v>
      </c>
      <c r="E98" s="168"/>
      <c r="F98" s="168" t="s">
        <v>215</v>
      </c>
      <c r="G98" s="168" t="s">
        <v>207</v>
      </c>
      <c r="H98" s="168"/>
      <c r="I98" s="168" t="s">
        <v>216</v>
      </c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>
        <v>92</v>
      </c>
      <c r="V98" s="109">
        <v>87.5</v>
      </c>
      <c r="W98" s="116">
        <v>83</v>
      </c>
      <c r="X98" s="150">
        <v>76.5</v>
      </c>
      <c r="Y98" s="118">
        <v>78.5</v>
      </c>
      <c r="Z98" s="118">
        <v>95.5</v>
      </c>
      <c r="AA98" s="118">
        <v>86.305623343765873</v>
      </c>
      <c r="AB98" s="119">
        <v>75.560131086761601</v>
      </c>
      <c r="AC98" s="119">
        <v>68.197825543371138</v>
      </c>
      <c r="AD98" s="119">
        <v>110.44017605934478</v>
      </c>
      <c r="AE98" s="119">
        <v>103.21220732085325</v>
      </c>
      <c r="AF98" s="119">
        <v>100</v>
      </c>
      <c r="AG98" s="118">
        <v>114.99999999999999</v>
      </c>
      <c r="AH98" s="118">
        <v>114.99999999999999</v>
      </c>
      <c r="AI98" s="118">
        <v>120.74999999999999</v>
      </c>
      <c r="AJ98" s="118">
        <v>132.25</v>
      </c>
      <c r="AK98" s="118">
        <v>133.83699999999999</v>
      </c>
      <c r="AL98" s="118">
        <v>135.44304399999999</v>
      </c>
      <c r="AM98" s="118">
        <v>137.068360528</v>
      </c>
      <c r="AN98" s="118">
        <v>137.59100814618722</v>
      </c>
      <c r="AO98" s="118">
        <v>138.11499307481367</v>
      </c>
      <c r="AP98" s="118">
        <v>138.64031254629037</v>
      </c>
      <c r="AQ98" s="118">
        <v>139.16696371167407</v>
      </c>
      <c r="AR98" s="118">
        <v>139.69494363979072</v>
      </c>
      <c r="AS98" s="118">
        <v>140.22424931635118</v>
      </c>
      <c r="AT98" s="118">
        <v>140.7548776430593</v>
      </c>
      <c r="AU98" s="118">
        <v>141.28682543671252</v>
      </c>
      <c r="AV98" s="118">
        <v>141.82008942829447</v>
      </c>
      <c r="AW98" s="118">
        <v>142.35466626205965</v>
      </c>
      <c r="AX98" s="118">
        <v>142.89055249461063</v>
      </c>
      <c r="AY98" s="118">
        <v>143.42774459396674</v>
      </c>
      <c r="AZ98" s="118">
        <v>143.96623893862534</v>
      </c>
      <c r="BA98" s="118">
        <v>144.50603181661447</v>
      </c>
      <c r="BB98" s="118">
        <v>145.04711942453767</v>
      </c>
      <c r="BC98" s="118">
        <v>131.16170978973923</v>
      </c>
      <c r="BD98" s="118">
        <v>131.94868004847768</v>
      </c>
      <c r="BE98" s="118">
        <v>132.74037212876854</v>
      </c>
      <c r="BF98" s="118">
        <v>133.53681436154116</v>
      </c>
      <c r="BG98" s="118">
        <v>134.33803524771042</v>
      </c>
    </row>
    <row r="99" spans="1:59" ht="13.75" customHeight="1">
      <c r="A99" s="141" t="s">
        <v>166</v>
      </c>
      <c r="B99" s="170" t="s">
        <v>173</v>
      </c>
      <c r="C99" s="170" t="s">
        <v>176</v>
      </c>
      <c r="D99" s="170" t="s">
        <v>168</v>
      </c>
      <c r="E99" s="168"/>
      <c r="F99" s="168" t="s">
        <v>217</v>
      </c>
      <c r="G99" s="168" t="s">
        <v>4</v>
      </c>
      <c r="H99" s="168"/>
      <c r="I99" s="168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X99" s="150">
        <v>0</v>
      </c>
      <c r="Y99" s="118">
        <v>0</v>
      </c>
      <c r="Z99" s="118">
        <v>564</v>
      </c>
      <c r="AA99" s="118">
        <v>575.80253037671957</v>
      </c>
      <c r="AB99" s="119">
        <v>533</v>
      </c>
      <c r="AC99" s="119">
        <v>476</v>
      </c>
      <c r="AD99" s="119">
        <v>850</v>
      </c>
      <c r="AE99" s="119">
        <v>789.64416042794369</v>
      </c>
      <c r="AF99" s="119">
        <v>692.1895040460065</v>
      </c>
      <c r="AG99" s="118">
        <v>760.44977339047239</v>
      </c>
      <c r="AH99" s="118">
        <v>757.89594402967316</v>
      </c>
      <c r="AI99" s="118">
        <v>769.84734242469165</v>
      </c>
      <c r="AJ99" s="118">
        <v>775.53117213144185</v>
      </c>
      <c r="AK99" s="118">
        <v>785.19853295790483</v>
      </c>
      <c r="AL99" s="118">
        <v>794.99765902556612</v>
      </c>
      <c r="AM99" s="118">
        <v>804.93040552570722</v>
      </c>
      <c r="AN99" s="118">
        <v>813.1463846628136</v>
      </c>
      <c r="AO99" s="118">
        <v>821.45338568672503</v>
      </c>
      <c r="AP99" s="118">
        <v>829.85239491089101</v>
      </c>
      <c r="AQ99" s="118">
        <v>838.34440865882527</v>
      </c>
      <c r="AR99" s="118">
        <v>846.93043334950812</v>
      </c>
      <c r="AS99" s="118">
        <v>855.61148558315767</v>
      </c>
      <c r="AT99" s="118">
        <v>864.38859222736096</v>
      </c>
      <c r="AU99" s="118">
        <v>873.2627905035514</v>
      </c>
      <c r="AV99" s="118">
        <v>882.23512807383429</v>
      </c>
      <c r="AW99" s="118">
        <v>891.30666312814162</v>
      </c>
      <c r="AX99" s="118">
        <v>900.47846447171332</v>
      </c>
      <c r="AY99" s="118">
        <v>909.75161161289316</v>
      </c>
      <c r="AZ99" s="118">
        <v>919.12719485122977</v>
      </c>
      <c r="BA99" s="118">
        <v>928.60631536587573</v>
      </c>
      <c r="BB99" s="118">
        <v>938.19008530426436</v>
      </c>
      <c r="BC99" s="118">
        <v>894.31550908532768</v>
      </c>
      <c r="BD99" s="118">
        <v>905.78346719178398</v>
      </c>
      <c r="BE99" s="118">
        <v>917.4084952144741</v>
      </c>
      <c r="BF99" s="118">
        <v>929.1928123599962</v>
      </c>
      <c r="BG99" s="118">
        <v>941.13866983493904</v>
      </c>
    </row>
    <row r="100" spans="1:59" ht="13.75" customHeight="1" outlineLevel="1">
      <c r="A100" s="141" t="s">
        <v>166</v>
      </c>
      <c r="B100" s="170" t="s">
        <v>173</v>
      </c>
      <c r="C100" s="170" t="s">
        <v>176</v>
      </c>
      <c r="D100" s="170" t="s">
        <v>168</v>
      </c>
      <c r="E100" s="168"/>
      <c r="F100" s="168" t="s">
        <v>218</v>
      </c>
      <c r="G100" s="168" t="s">
        <v>219</v>
      </c>
      <c r="H100" s="168"/>
      <c r="I100" s="168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X100" s="120">
        <v>13.521020408163288</v>
      </c>
      <c r="Y100" s="120">
        <v>12.059599999999991</v>
      </c>
      <c r="Z100" s="120">
        <v>26.931722689075606</v>
      </c>
      <c r="AA100" s="121">
        <v>37.048163265306101</v>
      </c>
      <c r="AB100" s="112">
        <v>16.5</v>
      </c>
      <c r="AC100" s="112">
        <v>15.4</v>
      </c>
      <c r="AD100" s="112">
        <v>23.7</v>
      </c>
      <c r="AE100" s="112">
        <v>30.5</v>
      </c>
      <c r="AF100" s="112">
        <v>15.890508172708806</v>
      </c>
      <c r="AG100" s="118">
        <v>17.82</v>
      </c>
      <c r="AH100" s="118">
        <v>20.350000000000001</v>
      </c>
      <c r="AI100" s="118">
        <v>22</v>
      </c>
      <c r="AJ100" s="118">
        <v>22.352000000000004</v>
      </c>
      <c r="AK100" s="118">
        <v>22.709632000000003</v>
      </c>
      <c r="AL100" s="118">
        <v>23.072986112000002</v>
      </c>
      <c r="AM100" s="118">
        <v>23.442153889792007</v>
      </c>
      <c r="AN100" s="118">
        <v>23.622765029988354</v>
      </c>
      <c r="AO100" s="118">
        <v>23.804644177599656</v>
      </c>
      <c r="AP100" s="118">
        <v>23.987798631660187</v>
      </c>
      <c r="AQ100" s="118">
        <v>24.172235710384168</v>
      </c>
      <c r="AR100" s="118">
        <v>24.357962750819453</v>
      </c>
      <c r="AS100" s="118">
        <v>24.544987108492414</v>
      </c>
      <c r="AT100" s="118">
        <v>24.733316157043753</v>
      </c>
      <c r="AU100" s="118">
        <v>24.922957287855265</v>
      </c>
      <c r="AV100" s="118">
        <v>25.113917909667304</v>
      </c>
      <c r="AW100" s="118">
        <v>25.306205448186798</v>
      </c>
      <c r="AX100" s="118">
        <v>25.499827345685716</v>
      </c>
      <c r="AY100" s="118">
        <v>25.694791060589797</v>
      </c>
      <c r="AZ100" s="118">
        <v>25.891104067057384</v>
      </c>
      <c r="BA100" s="118">
        <v>26.088773854548268</v>
      </c>
      <c r="BB100" s="118">
        <v>26.287807927382261</v>
      </c>
      <c r="BC100" s="118">
        <v>24.988880947441022</v>
      </c>
      <c r="BD100" s="118">
        <v>25.238769756915431</v>
      </c>
      <c r="BE100" s="118">
        <v>25.491157454484586</v>
      </c>
      <c r="BF100" s="118">
        <v>25.746069029029432</v>
      </c>
      <c r="BG100" s="118">
        <v>26.003529719319726</v>
      </c>
    </row>
    <row r="101" spans="1:59" ht="13.75" customHeight="1" outlineLevel="1">
      <c r="A101" s="141" t="s">
        <v>166</v>
      </c>
      <c r="B101" s="170" t="s">
        <v>167</v>
      </c>
      <c r="C101" s="170"/>
      <c r="D101" s="170" t="s">
        <v>168</v>
      </c>
      <c r="E101" s="168"/>
      <c r="F101" s="168" t="s">
        <v>220</v>
      </c>
      <c r="G101" s="168" t="s">
        <v>4</v>
      </c>
      <c r="H101" s="168"/>
      <c r="I101" s="168" t="s">
        <v>221</v>
      </c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X101" s="120">
        <v>83.875</v>
      </c>
      <c r="Y101" s="118">
        <v>87.5</v>
      </c>
      <c r="Z101" s="118">
        <v>139.375</v>
      </c>
      <c r="AA101" s="118">
        <v>148.875</v>
      </c>
      <c r="AB101" s="119">
        <v>129</v>
      </c>
      <c r="AC101" s="119">
        <v>78</v>
      </c>
      <c r="AD101" s="119">
        <v>164</v>
      </c>
      <c r="AE101" s="119">
        <v>322.56340000000034</v>
      </c>
      <c r="AF101" s="119">
        <v>221.98844702079674</v>
      </c>
      <c r="AG101" s="118">
        <v>214.26377247165684</v>
      </c>
      <c r="AH101" s="118">
        <v>180.33867516364452</v>
      </c>
      <c r="AI101" s="118">
        <v>176.35563487231957</v>
      </c>
      <c r="AJ101" s="118">
        <v>178.89515601448096</v>
      </c>
      <c r="AK101" s="118">
        <v>181.4712462610895</v>
      </c>
      <c r="AL101" s="118">
        <v>184.08443220724922</v>
      </c>
      <c r="AM101" s="118">
        <v>186.73524803103362</v>
      </c>
      <c r="AN101" s="118">
        <v>188.84467729651868</v>
      </c>
      <c r="AO101" s="118">
        <v>190.9769444865492</v>
      </c>
      <c r="AP101" s="118">
        <v>193.13228063263577</v>
      </c>
      <c r="AQ101" s="118">
        <v>195.31091882624364</v>
      </c>
      <c r="AR101" s="118">
        <v>197.51309423209179</v>
      </c>
      <c r="AS101" s="118">
        <v>199.73904410143297</v>
      </c>
      <c r="AT101" s="118">
        <v>201.98900778531103</v>
      </c>
      <c r="AU101" s="118">
        <v>204.26322674779362</v>
      </c>
      <c r="AV101" s="118">
        <v>206.5619445791757</v>
      </c>
      <c r="AW101" s="118">
        <v>208.8854070091522</v>
      </c>
      <c r="AX101" s="118">
        <v>211.23386191995465</v>
      </c>
      <c r="AY101" s="118">
        <v>213.60755935945053</v>
      </c>
      <c r="AZ101" s="118">
        <v>216.00675155419995</v>
      </c>
      <c r="BA101" s="118">
        <v>218.43169292246745</v>
      </c>
      <c r="BB101" s="118">
        <v>220.88264008718437</v>
      </c>
      <c r="BC101" s="118">
        <v>210.71684140458362</v>
      </c>
      <c r="BD101" s="118">
        <v>213.58259044768599</v>
      </c>
      <c r="BE101" s="118">
        <v>216.48731367777452</v>
      </c>
      <c r="BF101" s="118">
        <v>219.43154114379226</v>
      </c>
      <c r="BG101" s="118">
        <v>222.41581010334787</v>
      </c>
    </row>
    <row r="102" spans="1:59" s="109" customFormat="1" ht="13.75" customHeight="1" outlineLevel="1">
      <c r="A102" s="171" t="s">
        <v>166</v>
      </c>
      <c r="B102" s="165" t="s">
        <v>167</v>
      </c>
      <c r="C102" s="165"/>
      <c r="D102" s="165" t="s">
        <v>168</v>
      </c>
      <c r="E102" s="167"/>
      <c r="F102" s="168" t="s">
        <v>222</v>
      </c>
      <c r="G102" s="168" t="s">
        <v>4</v>
      </c>
      <c r="H102" s="168"/>
      <c r="I102" s="168"/>
      <c r="W102" s="116"/>
      <c r="X102" s="120">
        <v>0</v>
      </c>
      <c r="Y102" s="118">
        <v>0</v>
      </c>
      <c r="Z102" s="118">
        <v>0</v>
      </c>
      <c r="AA102" s="120">
        <v>0</v>
      </c>
      <c r="AB102" s="119">
        <v>0</v>
      </c>
      <c r="AC102" s="119">
        <v>0</v>
      </c>
      <c r="AD102" s="119">
        <v>111.13783333333333</v>
      </c>
      <c r="AE102" s="119">
        <v>146.95515277777778</v>
      </c>
      <c r="AF102" s="119">
        <v>88.554231730769231</v>
      </c>
      <c r="AG102" s="118">
        <v>94.497669015496044</v>
      </c>
      <c r="AH102" s="118">
        <v>95.167806043243772</v>
      </c>
      <c r="AI102" s="118">
        <v>97.442260523998783</v>
      </c>
      <c r="AJ102" s="118">
        <v>99.687736692382757</v>
      </c>
      <c r="AK102" s="118">
        <v>101.96914047946089</v>
      </c>
      <c r="AL102" s="118">
        <v>104.28704672713228</v>
      </c>
      <c r="AM102" s="118">
        <v>106.64203947476639</v>
      </c>
      <c r="AN102" s="119">
        <v>108.48850160007808</v>
      </c>
      <c r="AO102" s="119">
        <v>110.35462442516146</v>
      </c>
      <c r="AP102" s="119">
        <v>112.24061565303356</v>
      </c>
      <c r="AQ102" s="119">
        <v>114.14668494889877</v>
      </c>
      <c r="AR102" s="119">
        <v>116.07304395438014</v>
      </c>
      <c r="AS102" s="119">
        <v>118.01990630176505</v>
      </c>
      <c r="AT102" s="119">
        <v>119.98748762826168</v>
      </c>
      <c r="AU102" s="119">
        <v>121.97600559026509</v>
      </c>
      <c r="AV102" s="119">
        <v>123.98567987762942</v>
      </c>
      <c r="AW102" s="119">
        <v>126.01673222794426</v>
      </c>
      <c r="AX102" s="119">
        <v>128.06938644081191</v>
      </c>
      <c r="AY102" s="119">
        <v>130.14386839212318</v>
      </c>
      <c r="AZ102" s="119">
        <v>132.24040604832874</v>
      </c>
      <c r="BA102" s="119">
        <v>134.35922948070322</v>
      </c>
      <c r="BB102" s="119">
        <v>136.50057087959874</v>
      </c>
      <c r="BC102" s="119">
        <v>130.81572129121236</v>
      </c>
      <c r="BD102" s="119">
        <v>133.19314138928931</v>
      </c>
      <c r="BE102" s="119">
        <v>135.60384536873937</v>
      </c>
      <c r="BF102" s="119">
        <v>138.04829920390171</v>
      </c>
      <c r="BG102" s="119">
        <v>140.52697539275636</v>
      </c>
    </row>
    <row r="103" spans="1:59" s="109" customFormat="1" ht="13.75" customHeight="1" outlineLevel="1">
      <c r="A103" s="171" t="s">
        <v>166</v>
      </c>
      <c r="B103" s="165" t="s">
        <v>167</v>
      </c>
      <c r="C103" s="165"/>
      <c r="D103" s="165" t="s">
        <v>168</v>
      </c>
      <c r="E103" s="167"/>
      <c r="F103" s="168" t="s">
        <v>223</v>
      </c>
      <c r="G103" s="168" t="s">
        <v>4</v>
      </c>
      <c r="H103" s="168"/>
      <c r="I103" s="168"/>
      <c r="W103" s="116"/>
      <c r="X103" s="120">
        <v>0</v>
      </c>
      <c r="Y103" s="118">
        <v>0</v>
      </c>
      <c r="Z103" s="118">
        <v>0</v>
      </c>
      <c r="AA103" s="120">
        <v>0</v>
      </c>
      <c r="AB103" s="112">
        <v>0</v>
      </c>
      <c r="AC103" s="112">
        <v>0</v>
      </c>
      <c r="AD103" s="112">
        <v>113.33044753086419</v>
      </c>
      <c r="AE103" s="112">
        <v>158</v>
      </c>
      <c r="AF103" s="112">
        <v>93.36471576923077</v>
      </c>
      <c r="AG103" s="118">
        <v>98.897669015496035</v>
      </c>
      <c r="AH103" s="118">
        <v>99.567806043243777</v>
      </c>
      <c r="AI103" s="118">
        <v>101.84226052399879</v>
      </c>
      <c r="AJ103" s="118">
        <v>104.08773669238276</v>
      </c>
      <c r="AK103" s="118">
        <v>106.3691404794609</v>
      </c>
      <c r="AL103" s="118">
        <v>108.68704672713227</v>
      </c>
      <c r="AM103" s="118">
        <v>111.0420394747664</v>
      </c>
      <c r="AN103" s="119">
        <v>112.87850160007808</v>
      </c>
      <c r="AO103" s="119">
        <v>114.73462442516147</v>
      </c>
      <c r="AP103" s="119">
        <v>116.61061565303355</v>
      </c>
      <c r="AQ103" s="119">
        <v>118.50668494889877</v>
      </c>
      <c r="AR103" s="119">
        <v>120.42304395438015</v>
      </c>
      <c r="AS103" s="119">
        <v>122.35990630176505</v>
      </c>
      <c r="AT103" s="119">
        <v>124.31748762826167</v>
      </c>
      <c r="AU103" s="119">
        <v>126.29600559026508</v>
      </c>
      <c r="AV103" s="119">
        <v>128.29567987762942</v>
      </c>
      <c r="AW103" s="119">
        <v>130.31673222794427</v>
      </c>
      <c r="AX103" s="119">
        <v>132.3593864408119</v>
      </c>
      <c r="AY103" s="119">
        <v>134.42386839212318</v>
      </c>
      <c r="AZ103" s="119">
        <v>136.51040604832875</v>
      </c>
      <c r="BA103" s="119">
        <v>138.61922948070324</v>
      </c>
      <c r="BB103" s="119">
        <v>140.75057087959874</v>
      </c>
      <c r="BC103" s="119">
        <v>134.81572129121236</v>
      </c>
      <c r="BD103" s="119">
        <v>137.19314138928931</v>
      </c>
      <c r="BE103" s="119">
        <v>139.60384536873937</v>
      </c>
      <c r="BF103" s="119">
        <v>142.04829920390171</v>
      </c>
      <c r="BG103" s="119">
        <v>144.52697539275636</v>
      </c>
    </row>
    <row r="104" spans="1:59" s="109" customFormat="1" ht="13.75" customHeight="1" outlineLevel="1">
      <c r="A104" s="171" t="s">
        <v>166</v>
      </c>
      <c r="B104" s="165" t="s">
        <v>167</v>
      </c>
      <c r="C104" s="165"/>
      <c r="D104" s="165" t="s">
        <v>168</v>
      </c>
      <c r="E104" s="167"/>
      <c r="F104" s="168" t="s">
        <v>224</v>
      </c>
      <c r="G104" s="168" t="s">
        <v>4</v>
      </c>
      <c r="H104" s="168"/>
      <c r="I104" s="168"/>
      <c r="W104" s="116"/>
      <c r="X104" s="120">
        <v>0</v>
      </c>
      <c r="Y104" s="118">
        <v>0</v>
      </c>
      <c r="Z104" s="118">
        <v>88.205192307692315</v>
      </c>
      <c r="AA104" s="120">
        <v>103.03711538461536</v>
      </c>
      <c r="AB104" s="119">
        <v>75.009615384615387</v>
      </c>
      <c r="AC104" s="119">
        <v>60.549811320754721</v>
      </c>
      <c r="AD104" s="119">
        <v>129.77705555555556</v>
      </c>
      <c r="AE104" s="119">
        <v>180.50080555555556</v>
      </c>
      <c r="AF104" s="119">
        <v>117.71243019230769</v>
      </c>
      <c r="AG104" s="118">
        <v>128.37601040663489</v>
      </c>
      <c r="AH104" s="118">
        <v>125.83253357660435</v>
      </c>
      <c r="AI104" s="118">
        <v>128.03227642777091</v>
      </c>
      <c r="AJ104" s="118">
        <v>130.20399285061524</v>
      </c>
      <c r="AK104" s="118">
        <v>132.41045673622509</v>
      </c>
      <c r="AL104" s="118">
        <v>134.6522240440047</v>
      </c>
      <c r="AM104" s="118">
        <v>136.92985962870878</v>
      </c>
      <c r="AN104" s="119">
        <v>138.6388715779118</v>
      </c>
      <c r="AO104" s="119">
        <v>140.36689840920531</v>
      </c>
      <c r="AP104" s="119">
        <v>142.11414100294576</v>
      </c>
      <c r="AQ104" s="119">
        <v>143.88080213722273</v>
      </c>
      <c r="AR104" s="119">
        <v>145.66708650162283</v>
      </c>
      <c r="AS104" s="119">
        <v>147.47320071100731</v>
      </c>
      <c r="AT104" s="119">
        <v>149.29935331930022</v>
      </c>
      <c r="AU104" s="119">
        <v>151.14575483328599</v>
      </c>
      <c r="AV104" s="119">
        <v>153.01261772641271</v>
      </c>
      <c r="AW104" s="119">
        <v>154.9001564525997</v>
      </c>
      <c r="AX104" s="119">
        <v>156.80858746004557</v>
      </c>
      <c r="AY104" s="119">
        <v>158.73812920503519</v>
      </c>
      <c r="AZ104" s="119">
        <v>160.68900216574235</v>
      </c>
      <c r="BA104" s="119">
        <v>162.66142885602511</v>
      </c>
      <c r="BB104" s="119">
        <v>164.65563383921133</v>
      </c>
      <c r="BC104" s="119">
        <v>157.23758843572733</v>
      </c>
      <c r="BD104" s="119">
        <v>159.53691467382751</v>
      </c>
      <c r="BE104" s="119">
        <v>161.86843147926109</v>
      </c>
      <c r="BF104" s="119">
        <v>164.23258951997073</v>
      </c>
      <c r="BG104" s="119">
        <v>166.62984577325034</v>
      </c>
    </row>
    <row r="105" spans="1:59" ht="13.75" customHeight="1" outlineLevel="1">
      <c r="A105" s="171" t="s">
        <v>166</v>
      </c>
      <c r="B105" s="165" t="s">
        <v>167</v>
      </c>
      <c r="C105" s="165"/>
      <c r="D105" s="165" t="s">
        <v>168</v>
      </c>
      <c r="E105" s="168"/>
      <c r="F105" s="168" t="s">
        <v>225</v>
      </c>
      <c r="G105" s="168" t="s">
        <v>4</v>
      </c>
      <c r="H105" s="168"/>
      <c r="I105" s="168" t="s">
        <v>708</v>
      </c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X105" s="120">
        <v>0</v>
      </c>
      <c r="Y105" s="120">
        <v>0</v>
      </c>
      <c r="Z105" s="118">
        <v>0</v>
      </c>
      <c r="AA105" s="120">
        <v>0</v>
      </c>
      <c r="AB105" s="119">
        <v>206.05661113104881</v>
      </c>
      <c r="AC105" s="119">
        <v>118.53463662349486</v>
      </c>
      <c r="AD105" s="119">
        <v>220.11809254986301</v>
      </c>
      <c r="AE105" s="119">
        <v>315.22882914131611</v>
      </c>
      <c r="AF105" s="119">
        <v>237.01968956010873</v>
      </c>
      <c r="AG105" s="118">
        <v>231.16057953657807</v>
      </c>
      <c r="AH105" s="118">
        <v>194.82938109473596</v>
      </c>
      <c r="AI105" s="118">
        <v>192.10298128950569</v>
      </c>
      <c r="AJ105" s="118">
        <v>203.49097297180475</v>
      </c>
      <c r="AK105" s="118">
        <v>208.54634355798299</v>
      </c>
      <c r="AL105" s="118">
        <v>211.4670035901448</v>
      </c>
      <c r="AM105" s="118">
        <v>214.42856904231445</v>
      </c>
      <c r="AN105" s="182">
        <v>216.93745009276941</v>
      </c>
      <c r="AO105" s="182">
        <v>219.4713819167238</v>
      </c>
      <c r="AP105" s="182">
        <v>222.03376229428423</v>
      </c>
      <c r="AQ105" s="182">
        <v>224.62489129686639</v>
      </c>
      <c r="AR105" s="182">
        <v>227.2450718233996</v>
      </c>
      <c r="AS105" s="182">
        <v>229.8946096206962</v>
      </c>
      <c r="AT105" s="182">
        <v>232.57381330383592</v>
      </c>
      <c r="AU105" s="182">
        <v>235.28299437656383</v>
      </c>
      <c r="AV105" s="182">
        <v>238.02246725169718</v>
      </c>
      <c r="AW105" s="182">
        <v>240.7925492715373</v>
      </c>
      <c r="AX105" s="182">
        <v>243.59356072828314</v>
      </c>
      <c r="AY105" s="182">
        <v>246.42582488444251</v>
      </c>
      <c r="AZ105" s="182">
        <v>249.28966799323615</v>
      </c>
      <c r="BA105" s="182">
        <v>252.18541931899205</v>
      </c>
      <c r="BB105" s="182">
        <v>255.1134111575237</v>
      </c>
      <c r="BC105" s="182">
        <v>243.46047658263055</v>
      </c>
      <c r="BD105" s="182">
        <v>246.86116556567296</v>
      </c>
      <c r="BE105" s="182">
        <v>250.30946419447793</v>
      </c>
      <c r="BF105" s="182">
        <v>253.80603900408619</v>
      </c>
      <c r="BG105" s="182">
        <v>257.35156586102892</v>
      </c>
    </row>
    <row r="106" spans="1:59" ht="13.75" customHeight="1" outlineLevel="1">
      <c r="B106" s="170"/>
      <c r="C106" s="170"/>
      <c r="D106" s="170"/>
      <c r="E106" s="168"/>
      <c r="F106" s="168"/>
      <c r="G106" s="168"/>
      <c r="H106" s="168"/>
      <c r="I106" s="168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</row>
    <row r="107" spans="1:59" ht="13.75" customHeight="1" outlineLevel="1">
      <c r="B107" s="170"/>
      <c r="C107" s="170"/>
      <c r="D107" s="170"/>
      <c r="E107" s="168"/>
      <c r="F107" s="168"/>
      <c r="G107" s="168"/>
      <c r="H107" s="168"/>
      <c r="I107" s="168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</row>
    <row r="108" spans="1:59" ht="13.75" customHeight="1" outlineLevel="1">
      <c r="B108" s="170"/>
      <c r="C108" s="170"/>
      <c r="D108" s="170"/>
      <c r="E108" s="168"/>
      <c r="F108" s="168"/>
      <c r="G108" s="168"/>
      <c r="H108" s="168"/>
      <c r="I108" s="168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</row>
    <row r="109" spans="1:59" ht="13.75" customHeight="1" outlineLevel="1">
      <c r="B109" s="170"/>
      <c r="C109" s="170"/>
      <c r="D109" s="170"/>
      <c r="E109" s="168"/>
      <c r="F109" s="168"/>
      <c r="G109" s="168"/>
      <c r="H109" s="168"/>
      <c r="I109" s="168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</row>
    <row r="110" spans="1:59" ht="13.75" customHeight="1" outlineLevel="1">
      <c r="B110" s="170"/>
      <c r="C110" s="170"/>
      <c r="D110" s="170"/>
      <c r="E110" s="168"/>
      <c r="F110" s="168"/>
      <c r="G110" s="168"/>
      <c r="H110" s="168"/>
      <c r="I110" s="168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</row>
    <row r="111" spans="1:59" ht="13.75" customHeight="1" outlineLevel="1">
      <c r="B111" s="170"/>
      <c r="C111" s="170"/>
      <c r="D111" s="170"/>
      <c r="E111" s="168"/>
      <c r="F111" s="168"/>
      <c r="G111" s="168"/>
      <c r="H111" s="168"/>
      <c r="I111" s="168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  <c r="BG111" s="140"/>
    </row>
    <row r="112" spans="1:59" ht="13.75" customHeight="1" outlineLevel="1">
      <c r="B112" s="170"/>
      <c r="C112" s="170"/>
      <c r="D112" s="170"/>
      <c r="E112" s="168"/>
      <c r="F112" s="168"/>
      <c r="G112" s="168"/>
      <c r="H112" s="168"/>
      <c r="I112" s="168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  <c r="BB112" s="140"/>
      <c r="BC112" s="140"/>
      <c r="BD112" s="140"/>
      <c r="BE112" s="140"/>
      <c r="BF112" s="140"/>
      <c r="BG112" s="140"/>
    </row>
    <row r="113" spans="1:59" ht="13.75" customHeight="1" outlineLevel="1">
      <c r="B113" s="170"/>
      <c r="C113" s="170"/>
      <c r="D113" s="170"/>
      <c r="E113" s="168"/>
      <c r="F113" s="168"/>
      <c r="G113" s="168"/>
      <c r="H113" s="168"/>
      <c r="I113" s="168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</row>
    <row r="114" spans="1:59" ht="13.75" customHeight="1" outlineLevel="1">
      <c r="B114" s="170"/>
      <c r="C114" s="170"/>
      <c r="D114" s="170"/>
      <c r="E114" s="168"/>
      <c r="F114" s="168"/>
      <c r="G114" s="168"/>
      <c r="H114" s="168"/>
      <c r="I114" s="168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</row>
    <row r="115" spans="1:59" ht="13.75" customHeight="1" outlineLevel="1">
      <c r="B115" s="170"/>
      <c r="C115" s="170"/>
      <c r="D115" s="170"/>
      <c r="E115" s="168"/>
      <c r="F115" s="168"/>
      <c r="G115" s="168"/>
      <c r="H115" s="168"/>
      <c r="I115" s="168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</row>
    <row r="116" spans="1:59" ht="13.75" customHeight="1" outlineLevel="1">
      <c r="B116" s="170"/>
      <c r="C116" s="170"/>
      <c r="D116" s="170"/>
      <c r="E116" s="168"/>
      <c r="F116" s="168"/>
      <c r="G116" s="168"/>
      <c r="H116" s="168"/>
      <c r="I116" s="168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</row>
    <row r="117" spans="1:59" ht="13.75" customHeight="1" outlineLevel="1">
      <c r="B117" s="170"/>
      <c r="C117" s="170"/>
      <c r="D117" s="170"/>
      <c r="E117" s="168"/>
      <c r="F117" s="168"/>
      <c r="G117" s="168"/>
      <c r="H117" s="168"/>
      <c r="I117" s="168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</row>
    <row r="118" spans="1:59" ht="13.75" customHeight="1" outlineLevel="1">
      <c r="B118" s="170"/>
      <c r="C118" s="170"/>
      <c r="D118" s="170"/>
      <c r="E118" s="168"/>
      <c r="F118" s="168"/>
      <c r="G118" s="168"/>
      <c r="H118" s="168"/>
      <c r="I118" s="168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</row>
    <row r="119" spans="1:59" ht="13.75" customHeight="1" outlineLevel="1">
      <c r="B119" s="170"/>
      <c r="C119" s="170"/>
      <c r="D119" s="170"/>
      <c r="E119" s="168"/>
      <c r="F119" s="168"/>
      <c r="G119" s="168"/>
      <c r="H119" s="168"/>
      <c r="I119" s="168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</row>
    <row r="120" spans="1:59" ht="13.75" customHeight="1" outlineLevel="1">
      <c r="B120" s="170"/>
      <c r="C120" s="170"/>
      <c r="D120" s="170"/>
      <c r="E120" s="168"/>
      <c r="F120" s="168"/>
      <c r="G120" s="168"/>
      <c r="H120" s="168"/>
      <c r="I120" s="168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</row>
    <row r="121" spans="1:59" ht="13.75" customHeight="1">
      <c r="A121" s="141" t="s">
        <v>166</v>
      </c>
      <c r="B121" s="170" t="s">
        <v>227</v>
      </c>
      <c r="C121" s="170"/>
      <c r="D121" s="170" t="s">
        <v>168</v>
      </c>
      <c r="F121" s="168" t="s">
        <v>228</v>
      </c>
      <c r="G121" s="168" t="s">
        <v>4</v>
      </c>
      <c r="I121" s="168" t="s">
        <v>229</v>
      </c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12"/>
      <c r="V121" s="112"/>
      <c r="W121" s="112"/>
      <c r="X121" s="128">
        <v>273.13583333333332</v>
      </c>
      <c r="Y121" s="128">
        <v>197.9341666666667</v>
      </c>
      <c r="Z121" s="128">
        <v>221.37333333333333</v>
      </c>
      <c r="AA121" s="128">
        <v>250.93750000000003</v>
      </c>
      <c r="AB121" s="128">
        <v>239.15690000000001</v>
      </c>
      <c r="AC121" s="128">
        <v>225.57351190476189</v>
      </c>
      <c r="AD121" s="128">
        <v>482.92708333333331</v>
      </c>
      <c r="AE121" s="128">
        <v>561.79166666666663</v>
      </c>
      <c r="AF121" s="128">
        <v>315.15907928917011</v>
      </c>
      <c r="AG121" s="150">
        <v>494.6849819300275</v>
      </c>
      <c r="AH121" s="150">
        <v>457.99731232074572</v>
      </c>
      <c r="AI121" s="119">
        <v>410.84001811139842</v>
      </c>
      <c r="AJ121" s="119">
        <v>402.0651166442745</v>
      </c>
      <c r="AK121" s="119">
        <v>410.10641897715999</v>
      </c>
      <c r="AL121" s="119">
        <v>418.30854735670317</v>
      </c>
      <c r="AM121" s="119">
        <v>426.67471830383727</v>
      </c>
      <c r="AN121" s="119">
        <v>435.20821266991402</v>
      </c>
      <c r="AO121" s="119">
        <v>443.91237692331231</v>
      </c>
      <c r="AP121" s="119">
        <v>452.79062446177858</v>
      </c>
      <c r="AQ121" s="119">
        <v>461.84643695101414</v>
      </c>
      <c r="AR121" s="119">
        <v>471.08336569003444</v>
      </c>
      <c r="AS121" s="119">
        <v>480.50503300383514</v>
      </c>
      <c r="AT121" s="119">
        <v>490.11513366391188</v>
      </c>
      <c r="AU121" s="119">
        <v>499.91743633719011</v>
      </c>
      <c r="AV121" s="119">
        <v>509.91578506393392</v>
      </c>
      <c r="AW121" s="119">
        <v>520.11410076521258</v>
      </c>
      <c r="AX121" s="119">
        <v>530.51638278051689</v>
      </c>
      <c r="AY121" s="119">
        <v>541.12671043612727</v>
      </c>
      <c r="AZ121" s="119">
        <v>551.94924464484984</v>
      </c>
      <c r="BA121" s="119">
        <v>562.98822953774686</v>
      </c>
      <c r="BB121" s="119">
        <v>574.24799412850177</v>
      </c>
      <c r="BC121" s="119">
        <f t="shared" ref="BC121:BG126" si="64">BB121*(1+((BB121-BA121)/BA121))</f>
        <v>585.7329540110718</v>
      </c>
      <c r="BD121" s="119">
        <f t="shared" si="64"/>
        <v>597.44761309129319</v>
      </c>
      <c r="BE121" s="119">
        <f t="shared" si="64"/>
        <v>609.39656535311906</v>
      </c>
      <c r="BF121" s="119">
        <f t="shared" si="64"/>
        <v>621.58449666018146</v>
      </c>
      <c r="BG121" s="119">
        <f t="shared" si="64"/>
        <v>634.0161865933851</v>
      </c>
    </row>
    <row r="122" spans="1:59" ht="13.75" customHeight="1">
      <c r="A122" s="141" t="s">
        <v>166</v>
      </c>
      <c r="B122" s="170" t="s">
        <v>227</v>
      </c>
      <c r="C122" s="170"/>
      <c r="D122" s="170" t="s">
        <v>168</v>
      </c>
      <c r="E122" s="168"/>
      <c r="F122" s="168" t="s">
        <v>230</v>
      </c>
      <c r="G122" s="168" t="s">
        <v>4</v>
      </c>
      <c r="H122" s="168"/>
      <c r="I122" s="168" t="s">
        <v>229</v>
      </c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12"/>
      <c r="V122" s="112"/>
      <c r="W122" s="112"/>
      <c r="X122" s="128">
        <v>459</v>
      </c>
      <c r="Y122" s="128">
        <v>345</v>
      </c>
      <c r="Z122" s="128">
        <v>347.72549019607845</v>
      </c>
      <c r="AA122" s="128">
        <v>412.49019607843138</v>
      </c>
      <c r="AB122" s="128">
        <v>338.1</v>
      </c>
      <c r="AC122" s="128">
        <v>310</v>
      </c>
      <c r="AD122" s="128">
        <v>653.3125</v>
      </c>
      <c r="AE122" s="128">
        <v>835.53125</v>
      </c>
      <c r="AF122" s="128">
        <v>519.35082102237618</v>
      </c>
      <c r="AG122" s="150">
        <v>632.95617102162032</v>
      </c>
      <c r="AH122" s="150">
        <v>566.46322819417719</v>
      </c>
      <c r="AI122" s="119">
        <v>511.66498954080578</v>
      </c>
      <c r="AJ122" s="119">
        <v>511.85439152101196</v>
      </c>
      <c r="AK122" s="119">
        <v>524.57382483774325</v>
      </c>
      <c r="AL122" s="119">
        <v>536.7102881811478</v>
      </c>
      <c r="AM122" s="119">
        <v>548.98195153013341</v>
      </c>
      <c r="AN122" s="119">
        <v>561.18305461641773</v>
      </c>
      <c r="AO122" s="119">
        <v>573.49318905066025</v>
      </c>
      <c r="AP122" s="119">
        <v>586.02724856942677</v>
      </c>
      <c r="AQ122" s="119">
        <v>598.7882500427387</v>
      </c>
      <c r="AR122" s="119">
        <v>611.77980106186681</v>
      </c>
      <c r="AS122" s="119">
        <v>625.03543440867088</v>
      </c>
      <c r="AT122" s="119">
        <v>638.55451107436534</v>
      </c>
      <c r="AU122" s="119">
        <v>652.31575840639334</v>
      </c>
      <c r="AV122" s="119">
        <v>666.32401981808164</v>
      </c>
      <c r="AW122" s="119">
        <v>680.58423559102346</v>
      </c>
      <c r="AX122" s="119">
        <v>695.10144481244379</v>
      </c>
      <c r="AY122" s="119">
        <v>709.88078735131216</v>
      </c>
      <c r="AZ122" s="119">
        <v>725.00213159402256</v>
      </c>
      <c r="BA122" s="119">
        <v>740.47477318286315</v>
      </c>
      <c r="BB122" s="119">
        <v>756.30832358852956</v>
      </c>
      <c r="BC122" s="119">
        <f t="shared" si="64"/>
        <v>772.4804423391663</v>
      </c>
      <c r="BD122" s="119">
        <f t="shared" si="64"/>
        <v>788.99836903178596</v>
      </c>
      <c r="BE122" s="119">
        <f t="shared" si="64"/>
        <v>805.86949806749215</v>
      </c>
      <c r="BF122" s="119">
        <f t="shared" si="64"/>
        <v>823.1013819616511</v>
      </c>
      <c r="BG122" s="119">
        <f t="shared" si="64"/>
        <v>840.70173472484385</v>
      </c>
    </row>
    <row r="123" spans="1:59" ht="13.75" customHeight="1">
      <c r="A123" s="141" t="s">
        <v>166</v>
      </c>
      <c r="B123" s="170" t="s">
        <v>227</v>
      </c>
      <c r="C123" s="170"/>
      <c r="D123" s="170" t="s">
        <v>168</v>
      </c>
      <c r="E123" s="168"/>
      <c r="F123" s="168" t="s">
        <v>231</v>
      </c>
      <c r="G123" s="168" t="s">
        <v>4</v>
      </c>
      <c r="H123" s="168"/>
      <c r="I123" s="168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12"/>
      <c r="V123" s="112"/>
      <c r="W123" s="112"/>
      <c r="X123" s="128">
        <v>123.48039215686275</v>
      </c>
      <c r="Y123" s="128">
        <v>107.12745098039215</v>
      </c>
      <c r="Z123" s="128">
        <v>81.666666666666671</v>
      </c>
      <c r="AA123" s="128">
        <v>82.303921568627445</v>
      </c>
      <c r="AB123" s="119">
        <v>81.5</v>
      </c>
      <c r="AC123" s="119">
        <v>76.884615384615387</v>
      </c>
      <c r="AD123" s="119">
        <v>113.27291666666667</v>
      </c>
      <c r="AE123" s="119">
        <v>279.5</v>
      </c>
      <c r="AF123" s="119">
        <v>242.33333333333334</v>
      </c>
      <c r="AG123" s="119">
        <v>203.98735438674416</v>
      </c>
      <c r="AH123" s="119">
        <v>153.3179162280355</v>
      </c>
      <c r="AI123" s="119">
        <v>127.23151752948881</v>
      </c>
      <c r="AJ123" s="119">
        <v>129.77614788007858</v>
      </c>
      <c r="AK123" s="119">
        <v>132.37167083768017</v>
      </c>
      <c r="AL123" s="119">
        <v>135.01910425443378</v>
      </c>
      <c r="AM123" s="119">
        <v>137.71948633952246</v>
      </c>
      <c r="AN123" s="119">
        <v>140.47387606631293</v>
      </c>
      <c r="AO123" s="119">
        <v>143.2833535876392</v>
      </c>
      <c r="AP123" s="119">
        <v>146.14902065939199</v>
      </c>
      <c r="AQ123" s="119">
        <v>149.07200107257984</v>
      </c>
      <c r="AR123" s="119">
        <v>152.05344109403143</v>
      </c>
      <c r="AS123" s="119">
        <v>155.09450991591206</v>
      </c>
      <c r="AT123" s="119">
        <v>158.1964001142303</v>
      </c>
      <c r="AU123" s="119">
        <v>161.36032811651492</v>
      </c>
      <c r="AV123" s="119">
        <v>164.58753467884523</v>
      </c>
      <c r="AW123" s="119">
        <v>167.87928537242215</v>
      </c>
      <c r="AX123" s="119">
        <v>171.23687107987058</v>
      </c>
      <c r="AY123" s="119">
        <v>174.66160850146801</v>
      </c>
      <c r="AZ123" s="119">
        <v>178.15484067149737</v>
      </c>
      <c r="BA123" s="119">
        <v>181.71793748492732</v>
      </c>
      <c r="BB123" s="119">
        <v>185.35229623462587</v>
      </c>
      <c r="BC123" s="119">
        <f t="shared" si="64"/>
        <v>189.05934215931839</v>
      </c>
      <c r="BD123" s="119">
        <f t="shared" si="64"/>
        <v>192.84052900250475</v>
      </c>
      <c r="BE123" s="119">
        <f t="shared" si="64"/>
        <v>196.69733958255486</v>
      </c>
      <c r="BF123" s="119">
        <f t="shared" si="64"/>
        <v>200.63128637420596</v>
      </c>
      <c r="BG123" s="119">
        <f t="shared" si="64"/>
        <v>204.64391210169009</v>
      </c>
    </row>
    <row r="124" spans="1:59" ht="13.75" customHeight="1">
      <c r="A124" s="141" t="s">
        <v>166</v>
      </c>
      <c r="B124" s="170" t="s">
        <v>227</v>
      </c>
      <c r="C124" s="170"/>
      <c r="D124" s="170" t="s">
        <v>168</v>
      </c>
      <c r="E124" s="168"/>
      <c r="F124" s="168" t="s">
        <v>232</v>
      </c>
      <c r="G124" s="168" t="s">
        <v>4</v>
      </c>
      <c r="H124" s="168"/>
      <c r="I124" s="168" t="s">
        <v>229</v>
      </c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12"/>
      <c r="V124" s="112"/>
      <c r="W124" s="112"/>
      <c r="X124" s="128">
        <v>380.76916666666665</v>
      </c>
      <c r="Y124" s="128">
        <v>233.97833333333335</v>
      </c>
      <c r="Z124" s="128">
        <v>263.95416666666671</v>
      </c>
      <c r="AA124" s="128">
        <v>283.23666666666668</v>
      </c>
      <c r="AB124" s="128">
        <v>230.45099999999999</v>
      </c>
      <c r="AC124" s="128">
        <v>203.54999999999998</v>
      </c>
      <c r="AD124" s="128">
        <v>558</v>
      </c>
      <c r="AE124" s="128">
        <v>1126.5311749396171</v>
      </c>
      <c r="AF124" s="128">
        <v>471.14114067082141</v>
      </c>
      <c r="AG124" s="128">
        <v>675.11708806858883</v>
      </c>
      <c r="AH124" s="119">
        <v>626.30735658250296</v>
      </c>
      <c r="AI124" s="119">
        <v>559.91303723368083</v>
      </c>
      <c r="AJ124" s="119">
        <v>561.66249496778607</v>
      </c>
      <c r="AK124" s="119">
        <v>590.12614294859509</v>
      </c>
      <c r="AL124" s="119">
        <v>613.34680980195878</v>
      </c>
      <c r="AM124" s="119">
        <v>636.28551041404455</v>
      </c>
      <c r="AN124" s="119">
        <v>657.48961818529267</v>
      </c>
      <c r="AO124" s="119">
        <v>678.18081374581379</v>
      </c>
      <c r="AP124" s="119">
        <v>699.1312004357236</v>
      </c>
      <c r="AQ124" s="119">
        <v>720.33581663425991</v>
      </c>
      <c r="AR124" s="119">
        <v>741.79328297613642</v>
      </c>
      <c r="AS124" s="119">
        <v>763.70940771900405</v>
      </c>
      <c r="AT124" s="119">
        <v>786.05226771735352</v>
      </c>
      <c r="AU124" s="119">
        <v>808.64616830957152</v>
      </c>
      <c r="AV124" s="119">
        <v>831.4961303075354</v>
      </c>
      <c r="AW124" s="119">
        <v>854.60727493935997</v>
      </c>
      <c r="AX124" s="119">
        <v>877.98482585772263</v>
      </c>
      <c r="AY124" s="119">
        <v>901.63411118835393</v>
      </c>
      <c r="AZ124" s="119">
        <v>926.07855591157488</v>
      </c>
      <c r="BA124" s="119">
        <v>951.3511080251767</v>
      </c>
      <c r="BB124" s="119">
        <v>977.48627625374377</v>
      </c>
      <c r="BC124" s="119">
        <f t="shared" si="64"/>
        <v>1004.3394202249926</v>
      </c>
      <c r="BD124" s="119">
        <f t="shared" si="64"/>
        <v>1031.930263904829</v>
      </c>
      <c r="BE124" s="119">
        <f t="shared" si="64"/>
        <v>1060.2790731087055</v>
      </c>
      <c r="BF124" s="119">
        <f t="shared" si="64"/>
        <v>1089.406670387114</v>
      </c>
      <c r="BG124" s="119">
        <f t="shared" si="64"/>
        <v>1119.3344503200058</v>
      </c>
    </row>
    <row r="125" spans="1:59" ht="13.75" customHeight="1">
      <c r="A125" s="141" t="s">
        <v>166</v>
      </c>
      <c r="B125" s="170" t="s">
        <v>227</v>
      </c>
      <c r="C125" s="170"/>
      <c r="D125" s="170" t="s">
        <v>168</v>
      </c>
      <c r="E125" s="168"/>
      <c r="F125" s="168" t="s">
        <v>233</v>
      </c>
      <c r="G125" s="168" t="s">
        <v>4</v>
      </c>
      <c r="H125" s="168"/>
      <c r="I125" s="168" t="s">
        <v>229</v>
      </c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12"/>
      <c r="V125" s="112"/>
      <c r="W125" s="112"/>
      <c r="X125" s="128">
        <v>224</v>
      </c>
      <c r="Y125" s="128">
        <v>162.92583006443252</v>
      </c>
      <c r="Z125" s="128">
        <v>190.91176470588235</v>
      </c>
      <c r="AA125" s="128">
        <v>187</v>
      </c>
      <c r="AB125" s="128">
        <v>184.40199999999999</v>
      </c>
      <c r="AC125" s="128">
        <v>166.27470238095239</v>
      </c>
      <c r="AD125" s="128">
        <v>350</v>
      </c>
      <c r="AE125" s="128">
        <v>513.77083333333337</v>
      </c>
      <c r="AF125" s="128">
        <v>279.28897840718037</v>
      </c>
      <c r="AG125" s="128">
        <v>363.41989597744276</v>
      </c>
      <c r="AH125" s="119">
        <v>343.03695210885326</v>
      </c>
      <c r="AI125" s="119">
        <v>315.60974328594415</v>
      </c>
      <c r="AJ125" s="119">
        <v>316.5025186772632</v>
      </c>
      <c r="AK125" s="119">
        <v>330.24564729515464</v>
      </c>
      <c r="AL125" s="119">
        <v>341.76301754097045</v>
      </c>
      <c r="AM125" s="119">
        <v>353.18961839636808</v>
      </c>
      <c r="AN125" s="119">
        <v>363.90109343673481</v>
      </c>
      <c r="AO125" s="119">
        <v>374.42367249479696</v>
      </c>
      <c r="AP125" s="119">
        <v>385.09017507672502</v>
      </c>
      <c r="AQ125" s="119">
        <v>395.89911475295037</v>
      </c>
      <c r="AR125" s="119">
        <v>406.85055926126608</v>
      </c>
      <c r="AS125" s="119">
        <v>418.03372842420958</v>
      </c>
      <c r="AT125" s="119">
        <v>429.43557576277362</v>
      </c>
      <c r="AU125" s="119">
        <v>440.98121336874095</v>
      </c>
      <c r="AV125" s="119">
        <v>452.67351704745977</v>
      </c>
      <c r="AW125" s="119">
        <v>464.51542012038493</v>
      </c>
      <c r="AX125" s="119">
        <v>476.50991457540067</v>
      </c>
      <c r="AY125" s="119">
        <v>488.66005224014879</v>
      </c>
      <c r="AZ125" s="119">
        <v>501.19180226727485</v>
      </c>
      <c r="BA125" s="119">
        <v>514.12013013620981</v>
      </c>
      <c r="BB125" s="119">
        <v>527.46068860542653</v>
      </c>
      <c r="BC125" s="119">
        <f t="shared" si="64"/>
        <v>541.14741227969637</v>
      </c>
      <c r="BD125" s="119">
        <f t="shared" si="64"/>
        <v>555.1892835677744</v>
      </c>
      <c r="BE125" s="119">
        <f t="shared" si="64"/>
        <v>569.59551795691641</v>
      </c>
      <c r="BF125" s="119">
        <f t="shared" si="64"/>
        <v>584.37557006087661</v>
      </c>
      <c r="BG125" s="119">
        <f t="shared" si="64"/>
        <v>599.53913982484119</v>
      </c>
    </row>
    <row r="126" spans="1:59" ht="13.75" customHeight="1">
      <c r="A126" s="141" t="s">
        <v>166</v>
      </c>
      <c r="B126" s="170" t="s">
        <v>227</v>
      </c>
      <c r="C126" s="170"/>
      <c r="D126" s="170" t="s">
        <v>168</v>
      </c>
      <c r="E126" s="168"/>
      <c r="F126" s="168" t="s">
        <v>234</v>
      </c>
      <c r="G126" s="168" t="s">
        <v>4</v>
      </c>
      <c r="H126" s="168"/>
      <c r="I126" s="168" t="s">
        <v>229</v>
      </c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12"/>
      <c r="V126" s="112"/>
      <c r="W126" s="128">
        <v>321</v>
      </c>
      <c r="X126" s="128">
        <v>323</v>
      </c>
      <c r="Y126" s="128">
        <v>255</v>
      </c>
      <c r="Z126" s="128">
        <v>251.33333333333334</v>
      </c>
      <c r="AA126" s="128">
        <v>287.19607843137254</v>
      </c>
      <c r="AB126" s="128">
        <v>295.89999999999998</v>
      </c>
      <c r="AC126" s="128">
        <v>241.7</v>
      </c>
      <c r="AD126" s="128">
        <v>406.875</v>
      </c>
      <c r="AE126" s="128">
        <v>791.84375</v>
      </c>
      <c r="AF126" s="128">
        <v>414.97806976571701</v>
      </c>
      <c r="AG126" s="128">
        <v>449.46381348311905</v>
      </c>
      <c r="AH126" s="119">
        <v>416.85308910359754</v>
      </c>
      <c r="AI126" s="119">
        <v>386.93781272485461</v>
      </c>
      <c r="AJ126" s="119">
        <v>394.67656897935171</v>
      </c>
      <c r="AK126" s="119">
        <v>402.57010035893876</v>
      </c>
      <c r="AL126" s="119">
        <v>410.62150236611757</v>
      </c>
      <c r="AM126" s="119">
        <v>418.83393241343992</v>
      </c>
      <c r="AN126" s="119">
        <v>427.21061106170873</v>
      </c>
      <c r="AO126" s="119">
        <v>435.75482328294294</v>
      </c>
      <c r="AP126" s="119">
        <v>444.4699197486018</v>
      </c>
      <c r="AQ126" s="119">
        <v>453.35931814357383</v>
      </c>
      <c r="AR126" s="119">
        <v>462.42650450644533</v>
      </c>
      <c r="AS126" s="119">
        <v>471.67503459657422</v>
      </c>
      <c r="AT126" s="119">
        <v>481.10853528850572</v>
      </c>
      <c r="AU126" s="119">
        <v>490.73070599427587</v>
      </c>
      <c r="AV126" s="119">
        <v>500.54532011416137</v>
      </c>
      <c r="AW126" s="119">
        <v>510.55622651644461</v>
      </c>
      <c r="AX126" s="119">
        <v>520.76735104677346</v>
      </c>
      <c r="AY126" s="119">
        <v>531.18269806770888</v>
      </c>
      <c r="AZ126" s="119">
        <v>541.80635202906308</v>
      </c>
      <c r="BA126" s="119">
        <v>552.64247906964431</v>
      </c>
      <c r="BB126" s="119">
        <v>563.69532865103724</v>
      </c>
      <c r="BC126" s="119">
        <f t="shared" si="64"/>
        <v>574.96923522405802</v>
      </c>
      <c r="BD126" s="119">
        <f t="shared" si="64"/>
        <v>586.46861992853917</v>
      </c>
      <c r="BE126" s="119">
        <f t="shared" si="64"/>
        <v>598.19799232711</v>
      </c>
      <c r="BF126" s="119">
        <f>BE126*(1+((BE126-BD126)/BD126))</f>
        <v>610.16195217365225</v>
      </c>
      <c r="BG126" s="119">
        <f>BF126*(1+((BF126-BE126)/BE126))</f>
        <v>622.36519121712536</v>
      </c>
    </row>
    <row r="127" spans="1:59" ht="13.75" customHeight="1">
      <c r="A127" s="141" t="s">
        <v>166</v>
      </c>
      <c r="B127" s="170" t="s">
        <v>227</v>
      </c>
      <c r="C127" s="170"/>
      <c r="D127" s="170" t="s">
        <v>168</v>
      </c>
      <c r="E127" s="168"/>
      <c r="F127" s="168" t="s">
        <v>235</v>
      </c>
      <c r="G127" s="168" t="s">
        <v>4</v>
      </c>
      <c r="H127" s="168"/>
      <c r="I127" s="168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X127" s="128">
        <v>294</v>
      </c>
      <c r="Y127" s="128">
        <v>235</v>
      </c>
      <c r="Z127" s="128">
        <v>235</v>
      </c>
      <c r="AA127" s="119">
        <v>270</v>
      </c>
      <c r="AB127" s="119">
        <v>265</v>
      </c>
      <c r="AC127" s="119">
        <v>239.12</v>
      </c>
      <c r="AD127" s="119">
        <v>312</v>
      </c>
      <c r="AE127" s="119">
        <f>AE126</f>
        <v>791.84375</v>
      </c>
      <c r="AF127" s="119">
        <f t="shared" ref="AF127:BG127" si="65">AF126</f>
        <v>414.97806976571701</v>
      </c>
      <c r="AG127" s="119">
        <f t="shared" si="65"/>
        <v>449.46381348311905</v>
      </c>
      <c r="AH127" s="119">
        <f t="shared" si="65"/>
        <v>416.85308910359754</v>
      </c>
      <c r="AI127" s="119">
        <f t="shared" si="65"/>
        <v>386.93781272485461</v>
      </c>
      <c r="AJ127" s="119">
        <f t="shared" si="65"/>
        <v>394.67656897935171</v>
      </c>
      <c r="AK127" s="119">
        <f t="shared" si="65"/>
        <v>402.57010035893876</v>
      </c>
      <c r="AL127" s="119">
        <f t="shared" si="65"/>
        <v>410.62150236611757</v>
      </c>
      <c r="AM127" s="119">
        <f t="shared" si="65"/>
        <v>418.83393241343992</v>
      </c>
      <c r="AN127" s="119">
        <f t="shared" si="65"/>
        <v>427.21061106170873</v>
      </c>
      <c r="AO127" s="119">
        <f t="shared" si="65"/>
        <v>435.75482328294294</v>
      </c>
      <c r="AP127" s="119">
        <f t="shared" si="65"/>
        <v>444.4699197486018</v>
      </c>
      <c r="AQ127" s="119">
        <f t="shared" si="65"/>
        <v>453.35931814357383</v>
      </c>
      <c r="AR127" s="119">
        <f t="shared" si="65"/>
        <v>462.42650450644533</v>
      </c>
      <c r="AS127" s="119">
        <f t="shared" si="65"/>
        <v>471.67503459657422</v>
      </c>
      <c r="AT127" s="119">
        <f t="shared" si="65"/>
        <v>481.10853528850572</v>
      </c>
      <c r="AU127" s="119">
        <f t="shared" si="65"/>
        <v>490.73070599427587</v>
      </c>
      <c r="AV127" s="119">
        <f t="shared" si="65"/>
        <v>500.54532011416137</v>
      </c>
      <c r="AW127" s="119">
        <f t="shared" si="65"/>
        <v>510.55622651644461</v>
      </c>
      <c r="AX127" s="119">
        <f t="shared" si="65"/>
        <v>520.76735104677346</v>
      </c>
      <c r="AY127" s="119">
        <f t="shared" si="65"/>
        <v>531.18269806770888</v>
      </c>
      <c r="AZ127" s="119">
        <f t="shared" si="65"/>
        <v>541.80635202906308</v>
      </c>
      <c r="BA127" s="119">
        <f t="shared" si="65"/>
        <v>552.64247906964431</v>
      </c>
      <c r="BB127" s="119">
        <f t="shared" si="65"/>
        <v>563.69532865103724</v>
      </c>
      <c r="BC127" s="119">
        <f t="shared" si="65"/>
        <v>574.96923522405802</v>
      </c>
      <c r="BD127" s="119">
        <f t="shared" si="65"/>
        <v>586.46861992853917</v>
      </c>
      <c r="BE127" s="119">
        <f t="shared" si="65"/>
        <v>598.19799232711</v>
      </c>
      <c r="BF127" s="119">
        <f t="shared" si="65"/>
        <v>610.16195217365225</v>
      </c>
      <c r="BG127" s="119">
        <f t="shared" si="65"/>
        <v>622.36519121712536</v>
      </c>
    </row>
    <row r="128" spans="1:59" ht="13.75" customHeight="1">
      <c r="A128" s="141" t="s">
        <v>166</v>
      </c>
      <c r="B128" s="170" t="s">
        <v>227</v>
      </c>
      <c r="C128" s="170"/>
      <c r="D128" s="170" t="s">
        <v>168</v>
      </c>
      <c r="E128" s="168"/>
      <c r="F128" s="168" t="s">
        <v>236</v>
      </c>
      <c r="G128" s="168" t="s">
        <v>237</v>
      </c>
      <c r="H128" s="168"/>
      <c r="I128" s="168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X128" s="120">
        <v>1</v>
      </c>
      <c r="Y128" s="120">
        <v>1</v>
      </c>
      <c r="Z128" s="120">
        <v>1</v>
      </c>
      <c r="AA128" s="120">
        <v>1</v>
      </c>
      <c r="AB128" s="120">
        <v>1</v>
      </c>
      <c r="AC128" s="120">
        <v>1</v>
      </c>
      <c r="AD128" s="116">
        <v>3.5</v>
      </c>
      <c r="AE128" s="116">
        <v>8.75</v>
      </c>
      <c r="AF128" s="116">
        <v>8.75</v>
      </c>
      <c r="AG128" s="116">
        <v>8.75</v>
      </c>
      <c r="AH128" s="116">
        <v>8.75</v>
      </c>
      <c r="AI128" s="116">
        <v>8.75</v>
      </c>
      <c r="AJ128" s="116">
        <v>8.75</v>
      </c>
      <c r="AK128" s="116">
        <v>8.75</v>
      </c>
      <c r="AL128" s="116">
        <v>8.75</v>
      </c>
      <c r="AM128" s="116">
        <v>8.75</v>
      </c>
      <c r="AN128" s="116">
        <v>8.75</v>
      </c>
      <c r="AO128" s="116">
        <v>8.75</v>
      </c>
      <c r="AP128" s="116">
        <v>8.75</v>
      </c>
      <c r="AQ128" s="116">
        <v>8.75</v>
      </c>
      <c r="AR128" s="116">
        <v>8.75</v>
      </c>
      <c r="AS128" s="116">
        <v>8.75</v>
      </c>
      <c r="AT128" s="116">
        <v>8.75</v>
      </c>
      <c r="AU128" s="116">
        <v>8.75</v>
      </c>
      <c r="AV128" s="116">
        <v>8.75</v>
      </c>
      <c r="AW128" s="116">
        <v>8.75</v>
      </c>
      <c r="AX128" s="116">
        <v>8.75</v>
      </c>
      <c r="AY128" s="116">
        <v>8.75</v>
      </c>
      <c r="AZ128" s="116">
        <f>AY128</f>
        <v>8.75</v>
      </c>
      <c r="BA128" s="116">
        <f t="shared" ref="BA128:BG133" si="66">AZ128</f>
        <v>8.75</v>
      </c>
      <c r="BB128" s="116">
        <f t="shared" si="66"/>
        <v>8.75</v>
      </c>
      <c r="BC128" s="116">
        <f t="shared" si="66"/>
        <v>8.75</v>
      </c>
      <c r="BD128" s="116">
        <f t="shared" si="66"/>
        <v>8.75</v>
      </c>
      <c r="BE128" s="116">
        <f t="shared" si="66"/>
        <v>8.75</v>
      </c>
      <c r="BF128" s="116">
        <f t="shared" si="66"/>
        <v>8.75</v>
      </c>
      <c r="BG128" s="116">
        <f t="shared" si="66"/>
        <v>8.75</v>
      </c>
    </row>
    <row r="129" spans="1:59" ht="13.75" customHeight="1">
      <c r="A129" s="141" t="s">
        <v>166</v>
      </c>
      <c r="B129" s="170" t="s">
        <v>227</v>
      </c>
      <c r="C129" s="170"/>
      <c r="D129" s="170" t="s">
        <v>168</v>
      </c>
      <c r="E129" s="168"/>
      <c r="F129" s="168" t="s">
        <v>238</v>
      </c>
      <c r="G129" s="168" t="s">
        <v>3</v>
      </c>
      <c r="H129" s="168"/>
      <c r="I129" s="168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X129" s="123">
        <v>0.31900000000000001</v>
      </c>
      <c r="Y129" s="123">
        <v>0.31900000000000001</v>
      </c>
      <c r="Z129" s="123">
        <v>0.31900000000000001</v>
      </c>
      <c r="AA129" s="123">
        <v>0.31900000000000001</v>
      </c>
      <c r="AB129" s="123">
        <v>0.31900000000000001</v>
      </c>
      <c r="AC129" s="123">
        <v>0.31900000000000001</v>
      </c>
      <c r="AD129" s="123">
        <v>0.31900000000000001</v>
      </c>
      <c r="AE129" s="123">
        <v>0.31900000000000001</v>
      </c>
      <c r="AF129" s="123">
        <v>0.31900000000000001</v>
      </c>
      <c r="AG129" s="123">
        <v>0.31900000000000001</v>
      </c>
      <c r="AH129" s="123">
        <v>0.31900000000000001</v>
      </c>
      <c r="AI129" s="123">
        <v>0.31900000000000001</v>
      </c>
      <c r="AJ129" s="123">
        <v>0.31900000000000001</v>
      </c>
      <c r="AK129" s="123">
        <v>0.31900000000000001</v>
      </c>
      <c r="AL129" s="123">
        <v>0.31900000000000001</v>
      </c>
      <c r="AM129" s="123">
        <v>0.31900000000000001</v>
      </c>
      <c r="AN129" s="123">
        <v>0.31900000000000001</v>
      </c>
      <c r="AO129" s="123">
        <v>0.31900000000000001</v>
      </c>
      <c r="AP129" s="123">
        <v>0.31900000000000001</v>
      </c>
      <c r="AQ129" s="123">
        <v>0.31900000000000001</v>
      </c>
      <c r="AR129" s="123">
        <v>0.31900000000000001</v>
      </c>
      <c r="AS129" s="123">
        <v>0.31900000000000001</v>
      </c>
      <c r="AT129" s="123">
        <v>0.31900000000000001</v>
      </c>
      <c r="AU129" s="123">
        <v>0.31900000000000001</v>
      </c>
      <c r="AV129" s="123">
        <v>0.31900000000000001</v>
      </c>
      <c r="AW129" s="123">
        <v>0.31900000000000001</v>
      </c>
      <c r="AX129" s="123">
        <v>0.31900000000000001</v>
      </c>
      <c r="AY129" s="123">
        <v>0.31900000000000001</v>
      </c>
      <c r="AZ129" s="123">
        <f t="shared" ref="AZ129:BB133" si="67">AY129</f>
        <v>0.31900000000000001</v>
      </c>
      <c r="BA129" s="123">
        <f t="shared" si="67"/>
        <v>0.31900000000000001</v>
      </c>
      <c r="BB129" s="123">
        <f t="shared" si="67"/>
        <v>0.31900000000000001</v>
      </c>
      <c r="BC129" s="123">
        <f t="shared" si="66"/>
        <v>0.31900000000000001</v>
      </c>
      <c r="BD129" s="123">
        <f t="shared" si="66"/>
        <v>0.31900000000000001</v>
      </c>
      <c r="BE129" s="123">
        <f t="shared" si="66"/>
        <v>0.31900000000000001</v>
      </c>
      <c r="BF129" s="123">
        <f t="shared" si="66"/>
        <v>0.31900000000000001</v>
      </c>
      <c r="BG129" s="123">
        <f t="shared" si="66"/>
        <v>0.31900000000000001</v>
      </c>
    </row>
    <row r="130" spans="1:59" ht="13.75" customHeight="1">
      <c r="A130" s="141" t="s">
        <v>166</v>
      </c>
      <c r="B130" s="170" t="s">
        <v>227</v>
      </c>
      <c r="C130" s="170"/>
      <c r="D130" s="170" t="s">
        <v>168</v>
      </c>
      <c r="E130" s="168"/>
      <c r="F130" s="168" t="s">
        <v>239</v>
      </c>
      <c r="G130" s="168" t="s">
        <v>3</v>
      </c>
      <c r="H130" s="168"/>
      <c r="I130" s="168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X130" s="123">
        <v>0.34</v>
      </c>
      <c r="Y130" s="123">
        <v>0.34</v>
      </c>
      <c r="Z130" s="123">
        <v>0.34</v>
      </c>
      <c r="AA130" s="123">
        <v>0.34</v>
      </c>
      <c r="AB130" s="123">
        <v>0.34</v>
      </c>
      <c r="AC130" s="123">
        <v>0.34</v>
      </c>
      <c r="AD130" s="123">
        <v>0.34</v>
      </c>
      <c r="AE130" s="123">
        <v>0.34</v>
      </c>
      <c r="AF130" s="123">
        <v>0.34</v>
      </c>
      <c r="AG130" s="123">
        <v>0.34</v>
      </c>
      <c r="AH130" s="123">
        <v>0.34</v>
      </c>
      <c r="AI130" s="123">
        <v>0.34</v>
      </c>
      <c r="AJ130" s="123">
        <v>0.34</v>
      </c>
      <c r="AK130" s="123">
        <v>0.34</v>
      </c>
      <c r="AL130" s="123">
        <v>0.34</v>
      </c>
      <c r="AM130" s="123">
        <v>0.34</v>
      </c>
      <c r="AN130" s="123">
        <v>0.34</v>
      </c>
      <c r="AO130" s="123">
        <v>0.34</v>
      </c>
      <c r="AP130" s="123">
        <v>0.34</v>
      </c>
      <c r="AQ130" s="123">
        <v>0.34</v>
      </c>
      <c r="AR130" s="123">
        <v>0.34</v>
      </c>
      <c r="AS130" s="123">
        <v>0.34</v>
      </c>
      <c r="AT130" s="123">
        <v>0.34</v>
      </c>
      <c r="AU130" s="123">
        <v>0.34</v>
      </c>
      <c r="AV130" s="123">
        <v>0.34</v>
      </c>
      <c r="AW130" s="123">
        <v>0.34</v>
      </c>
      <c r="AX130" s="123">
        <v>0.34</v>
      </c>
      <c r="AY130" s="123">
        <v>0.34</v>
      </c>
      <c r="AZ130" s="123">
        <f t="shared" si="67"/>
        <v>0.34</v>
      </c>
      <c r="BA130" s="123">
        <f t="shared" si="67"/>
        <v>0.34</v>
      </c>
      <c r="BB130" s="123">
        <f t="shared" si="67"/>
        <v>0.34</v>
      </c>
      <c r="BC130" s="123">
        <f t="shared" si="66"/>
        <v>0.34</v>
      </c>
      <c r="BD130" s="123">
        <f t="shared" si="66"/>
        <v>0.34</v>
      </c>
      <c r="BE130" s="123">
        <f t="shared" si="66"/>
        <v>0.34</v>
      </c>
      <c r="BF130" s="123">
        <f t="shared" si="66"/>
        <v>0.34</v>
      </c>
      <c r="BG130" s="123">
        <f t="shared" si="66"/>
        <v>0.34</v>
      </c>
    </row>
    <row r="131" spans="1:59" ht="13.75" customHeight="1">
      <c r="A131" s="141" t="s">
        <v>166</v>
      </c>
      <c r="B131" s="170" t="s">
        <v>227</v>
      </c>
      <c r="C131" s="170"/>
      <c r="D131" s="170" t="s">
        <v>168</v>
      </c>
      <c r="E131" s="168"/>
      <c r="F131" s="168" t="s">
        <v>240</v>
      </c>
      <c r="G131" s="168" t="s">
        <v>3</v>
      </c>
      <c r="H131" s="168"/>
      <c r="I131" s="168" t="s">
        <v>241</v>
      </c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X131" s="114"/>
      <c r="Y131" s="123"/>
      <c r="Z131" s="123"/>
      <c r="AA131" s="123"/>
      <c r="AB131" s="123"/>
      <c r="AC131" s="123"/>
      <c r="AD131" s="114">
        <v>0.2094</v>
      </c>
      <c r="AE131" s="114">
        <v>0.2094</v>
      </c>
      <c r="AF131" s="114">
        <v>0.2094</v>
      </c>
      <c r="AG131" s="114">
        <v>0.2094</v>
      </c>
      <c r="AH131" s="114">
        <v>0.2094</v>
      </c>
      <c r="AI131" s="114">
        <v>0.2094</v>
      </c>
      <c r="AJ131" s="114">
        <v>0.2094</v>
      </c>
      <c r="AK131" s="114">
        <v>0.2094</v>
      </c>
      <c r="AL131" s="114">
        <v>0.2094</v>
      </c>
      <c r="AM131" s="114">
        <v>0.2094</v>
      </c>
      <c r="AN131" s="114">
        <v>0.2094</v>
      </c>
      <c r="AO131" s="114">
        <v>0.2094</v>
      </c>
      <c r="AP131" s="114">
        <v>0.2094</v>
      </c>
      <c r="AQ131" s="114">
        <v>0.2094</v>
      </c>
      <c r="AR131" s="114">
        <v>0.2094</v>
      </c>
      <c r="AS131" s="114">
        <v>0.2094</v>
      </c>
      <c r="AT131" s="114">
        <v>0.2094</v>
      </c>
      <c r="AU131" s="114">
        <v>0.2094</v>
      </c>
      <c r="AV131" s="114">
        <v>0.2094</v>
      </c>
      <c r="AW131" s="114">
        <v>0.2094</v>
      </c>
      <c r="AX131" s="114">
        <v>0.2094</v>
      </c>
      <c r="AY131" s="114">
        <v>0.2094</v>
      </c>
      <c r="AZ131" s="114">
        <f t="shared" si="67"/>
        <v>0.2094</v>
      </c>
      <c r="BA131" s="114">
        <f t="shared" si="67"/>
        <v>0.2094</v>
      </c>
      <c r="BB131" s="114">
        <f t="shared" si="67"/>
        <v>0.2094</v>
      </c>
      <c r="BC131" s="114">
        <f t="shared" si="66"/>
        <v>0.2094</v>
      </c>
      <c r="BD131" s="114">
        <f t="shared" si="66"/>
        <v>0.2094</v>
      </c>
      <c r="BE131" s="114">
        <f t="shared" si="66"/>
        <v>0.2094</v>
      </c>
      <c r="BF131" s="114">
        <f t="shared" si="66"/>
        <v>0.2094</v>
      </c>
      <c r="BG131" s="114">
        <f t="shared" si="66"/>
        <v>0.2094</v>
      </c>
    </row>
    <row r="132" spans="1:59" ht="13.75" customHeight="1">
      <c r="A132" s="141" t="s">
        <v>166</v>
      </c>
      <c r="B132" s="170" t="s">
        <v>227</v>
      </c>
      <c r="C132" s="170"/>
      <c r="D132" s="170" t="s">
        <v>168</v>
      </c>
      <c r="E132" s="168"/>
      <c r="F132" s="168" t="s">
        <v>242</v>
      </c>
      <c r="G132" s="168" t="s">
        <v>3</v>
      </c>
      <c r="H132" s="168"/>
      <c r="I132" s="168" t="s">
        <v>241</v>
      </c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X132" s="114"/>
      <c r="Y132" s="123"/>
      <c r="Z132" s="123"/>
      <c r="AA132" s="123"/>
      <c r="AB132" s="123"/>
      <c r="AC132" s="123"/>
      <c r="AD132" s="114">
        <v>0.72499999999999998</v>
      </c>
      <c r="AE132" s="114">
        <v>0.72499999999999998</v>
      </c>
      <c r="AF132" s="114">
        <v>0.72499999999999998</v>
      </c>
      <c r="AG132" s="114">
        <v>0.72499999999999998</v>
      </c>
      <c r="AH132" s="114">
        <v>0.72499999999999998</v>
      </c>
      <c r="AI132" s="114">
        <v>0.72499999999999998</v>
      </c>
      <c r="AJ132" s="114">
        <v>0.72499999999999998</v>
      </c>
      <c r="AK132" s="114">
        <v>0.72499999999999998</v>
      </c>
      <c r="AL132" s="114">
        <v>0.72499999999999998</v>
      </c>
      <c r="AM132" s="114">
        <v>0.72499999999999998</v>
      </c>
      <c r="AN132" s="114">
        <v>0.72499999999999998</v>
      </c>
      <c r="AO132" s="114">
        <v>0.72499999999999998</v>
      </c>
      <c r="AP132" s="114">
        <v>0.72499999999999998</v>
      </c>
      <c r="AQ132" s="114">
        <v>0.72499999999999998</v>
      </c>
      <c r="AR132" s="114">
        <v>0.72499999999999998</v>
      </c>
      <c r="AS132" s="114">
        <v>0.72499999999999998</v>
      </c>
      <c r="AT132" s="114">
        <v>0.72499999999999998</v>
      </c>
      <c r="AU132" s="114">
        <v>0.72499999999999998</v>
      </c>
      <c r="AV132" s="114">
        <v>0.72499999999999998</v>
      </c>
      <c r="AW132" s="114">
        <v>0.72499999999999998</v>
      </c>
      <c r="AX132" s="114">
        <v>0.72499999999999998</v>
      </c>
      <c r="AY132" s="114">
        <v>0.72499999999999998</v>
      </c>
      <c r="AZ132" s="114">
        <f t="shared" si="67"/>
        <v>0.72499999999999998</v>
      </c>
      <c r="BA132" s="114">
        <f t="shared" si="67"/>
        <v>0.72499999999999998</v>
      </c>
      <c r="BB132" s="114">
        <f t="shared" si="67"/>
        <v>0.72499999999999998</v>
      </c>
      <c r="BC132" s="114">
        <f t="shared" si="66"/>
        <v>0.72499999999999998</v>
      </c>
      <c r="BD132" s="114">
        <f t="shared" si="66"/>
        <v>0.72499999999999998</v>
      </c>
      <c r="BE132" s="114">
        <f t="shared" si="66"/>
        <v>0.72499999999999998</v>
      </c>
      <c r="BF132" s="114">
        <f t="shared" si="66"/>
        <v>0.72499999999999998</v>
      </c>
      <c r="BG132" s="114">
        <f t="shared" si="66"/>
        <v>0.72499999999999998</v>
      </c>
    </row>
    <row r="133" spans="1:59" ht="13.75" customHeight="1">
      <c r="A133" s="141" t="s">
        <v>166</v>
      </c>
      <c r="B133" s="170" t="s">
        <v>227</v>
      </c>
      <c r="C133" s="170"/>
      <c r="D133" s="170" t="s">
        <v>168</v>
      </c>
      <c r="E133" s="168"/>
      <c r="F133" s="168" t="s">
        <v>243</v>
      </c>
      <c r="G133" s="168" t="s">
        <v>3</v>
      </c>
      <c r="H133" s="168"/>
      <c r="I133" s="168" t="s">
        <v>241</v>
      </c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X133" s="114"/>
      <c r="Y133" s="123"/>
      <c r="Z133" s="123"/>
      <c r="AA133" s="123"/>
      <c r="AB133" s="123"/>
      <c r="AC133" s="123"/>
      <c r="AD133" s="114">
        <v>0.32919999999999999</v>
      </c>
      <c r="AE133" s="114">
        <v>0.32919999999999999</v>
      </c>
      <c r="AF133" s="114">
        <v>0.32919999999999999</v>
      </c>
      <c r="AG133" s="114">
        <v>0.32919999999999999</v>
      </c>
      <c r="AH133" s="114">
        <v>0.32919999999999999</v>
      </c>
      <c r="AI133" s="114">
        <v>0.32919999999999999</v>
      </c>
      <c r="AJ133" s="114">
        <v>0.32919999999999999</v>
      </c>
      <c r="AK133" s="114">
        <v>0.32919999999999999</v>
      </c>
      <c r="AL133" s="114">
        <v>0.32919999999999999</v>
      </c>
      <c r="AM133" s="114">
        <v>0.32919999999999999</v>
      </c>
      <c r="AN133" s="114">
        <v>0.32919999999999999</v>
      </c>
      <c r="AO133" s="114">
        <v>0.32919999999999999</v>
      </c>
      <c r="AP133" s="114">
        <v>0.32919999999999999</v>
      </c>
      <c r="AQ133" s="114">
        <v>0.32919999999999999</v>
      </c>
      <c r="AR133" s="114">
        <v>0.32919999999999999</v>
      </c>
      <c r="AS133" s="114">
        <v>0.32919999999999999</v>
      </c>
      <c r="AT133" s="114">
        <v>0.32919999999999999</v>
      </c>
      <c r="AU133" s="114">
        <v>0.32919999999999999</v>
      </c>
      <c r="AV133" s="114">
        <v>0.32919999999999999</v>
      </c>
      <c r="AW133" s="114">
        <v>0.32919999999999999</v>
      </c>
      <c r="AX133" s="114">
        <v>0.32919999999999999</v>
      </c>
      <c r="AY133" s="114">
        <v>0.32919999999999999</v>
      </c>
      <c r="AZ133" s="114">
        <f t="shared" si="67"/>
        <v>0.32919999999999999</v>
      </c>
      <c r="BA133" s="114">
        <f t="shared" si="67"/>
        <v>0.32919999999999999</v>
      </c>
      <c r="BB133" s="114">
        <f t="shared" si="67"/>
        <v>0.32919999999999999</v>
      </c>
      <c r="BC133" s="114">
        <f t="shared" si="66"/>
        <v>0.32919999999999999</v>
      </c>
      <c r="BD133" s="114">
        <f t="shared" si="66"/>
        <v>0.32919999999999999</v>
      </c>
      <c r="BE133" s="114">
        <f t="shared" si="66"/>
        <v>0.32919999999999999</v>
      </c>
      <c r="BF133" s="114">
        <f t="shared" si="66"/>
        <v>0.32919999999999999</v>
      </c>
      <c r="BG133" s="114">
        <f t="shared" si="66"/>
        <v>0.32919999999999999</v>
      </c>
    </row>
    <row r="134" spans="1:59" ht="13.75" customHeight="1" outlineLevel="1">
      <c r="A134" s="171" t="s">
        <v>166</v>
      </c>
      <c r="B134" s="165" t="s">
        <v>227</v>
      </c>
      <c r="C134" s="165"/>
      <c r="D134" s="165" t="s">
        <v>168</v>
      </c>
      <c r="E134" s="167"/>
      <c r="F134" s="168" t="s">
        <v>244</v>
      </c>
      <c r="G134" s="168" t="s">
        <v>4</v>
      </c>
      <c r="H134" s="168"/>
      <c r="I134" s="168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X134" s="120"/>
      <c r="Y134" s="120"/>
      <c r="Z134" s="120"/>
      <c r="AA134" s="120"/>
      <c r="AB134" s="120"/>
      <c r="AC134" s="109"/>
      <c r="AD134" s="119">
        <v>417.84375</v>
      </c>
      <c r="AE134" s="119">
        <v>606.07291666666663</v>
      </c>
      <c r="AF134" s="119">
        <v>434.72268819685473</v>
      </c>
      <c r="AG134" s="120">
        <v>468.47394937259509</v>
      </c>
      <c r="AH134" s="120">
        <v>439.91499991317028</v>
      </c>
      <c r="AI134" s="161">
        <v>403.26095992906227</v>
      </c>
      <c r="AJ134" s="161">
        <v>408.91016412983481</v>
      </c>
      <c r="AK134" s="161">
        <v>415.02691543371003</v>
      </c>
      <c r="AL134" s="161">
        <v>423.48610508317302</v>
      </c>
      <c r="AM134" s="161">
        <v>430.66178871264918</v>
      </c>
      <c r="AN134" s="128">
        <v>437.78338499112812</v>
      </c>
      <c r="AO134" s="128">
        <v>444.96299911479281</v>
      </c>
      <c r="AP134" s="128">
        <v>452.272274611049</v>
      </c>
      <c r="AQ134" s="128">
        <v>459.71289070156416</v>
      </c>
      <c r="AR134" s="128">
        <v>467.28689185869695</v>
      </c>
      <c r="AS134" s="128">
        <v>475.0150315195861</v>
      </c>
      <c r="AT134" s="128">
        <v>482.89669007610797</v>
      </c>
      <c r="AU134" s="128">
        <v>490.91834063181221</v>
      </c>
      <c r="AV134" s="128">
        <v>499.08278302668242</v>
      </c>
      <c r="AW134" s="128">
        <v>507.3928730975021</v>
      </c>
      <c r="AX134" s="128">
        <v>515.85152379778992</v>
      </c>
      <c r="AY134" s="128">
        <v>524.46170634013549</v>
      </c>
      <c r="AZ134" s="128">
        <v>533.27311724938613</v>
      </c>
      <c r="BA134" s="128">
        <v>542.29131666449928</v>
      </c>
      <c r="BB134" s="128">
        <v>551.52205716763467</v>
      </c>
      <c r="BC134" s="128">
        <f>BB134*(1+2%)</f>
        <v>562.5524983109874</v>
      </c>
      <c r="BD134" s="128">
        <f t="shared" ref="BD134:BG134" si="68">BC134*(1+2%)</f>
        <v>573.80354827720714</v>
      </c>
      <c r="BE134" s="128">
        <f t="shared" si="68"/>
        <v>585.27961924275132</v>
      </c>
      <c r="BF134" s="128">
        <f t="shared" si="68"/>
        <v>596.9852116276063</v>
      </c>
      <c r="BG134" s="128">
        <f t="shared" si="68"/>
        <v>608.92491586015842</v>
      </c>
    </row>
    <row r="135" spans="1:59" ht="13.75" customHeight="1" outlineLevel="1">
      <c r="B135" s="170"/>
      <c r="C135" s="170"/>
      <c r="D135" s="170"/>
      <c r="E135" s="168"/>
      <c r="F135" s="168"/>
      <c r="G135" s="168"/>
      <c r="H135" s="168"/>
      <c r="I135" s="168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X135" s="120"/>
      <c r="Y135" s="120"/>
      <c r="Z135" s="120"/>
      <c r="AA135" s="120"/>
      <c r="AB135" s="120"/>
      <c r="AC135" s="109"/>
      <c r="AD135" s="109"/>
      <c r="AE135" s="109"/>
      <c r="AF135" s="109"/>
      <c r="AG135" s="120"/>
      <c r="AH135" s="120"/>
      <c r="AI135" s="161"/>
      <c r="AJ135" s="161"/>
      <c r="AK135" s="161"/>
      <c r="AL135" s="161"/>
      <c r="AM135" s="161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</row>
    <row r="136" spans="1:59" ht="13.75" customHeight="1" outlineLevel="1">
      <c r="B136" s="170"/>
      <c r="C136" s="170"/>
      <c r="D136" s="170"/>
      <c r="E136" s="168"/>
      <c r="F136" s="168"/>
      <c r="G136" s="168"/>
      <c r="H136" s="168"/>
      <c r="I136" s="168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X136" s="120"/>
      <c r="Y136" s="120"/>
      <c r="Z136" s="120"/>
      <c r="AA136" s="120"/>
      <c r="AB136" s="120"/>
      <c r="AC136" s="109"/>
      <c r="AD136" s="109"/>
      <c r="AE136" s="109"/>
      <c r="AF136" s="109"/>
      <c r="AG136" s="120"/>
      <c r="AH136" s="120"/>
      <c r="AI136" s="161"/>
      <c r="AJ136" s="161"/>
      <c r="AK136" s="161"/>
      <c r="AL136" s="161"/>
      <c r="AM136" s="161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</row>
    <row r="137" spans="1:59" ht="13.75" customHeight="1" outlineLevel="1">
      <c r="B137" s="170"/>
      <c r="C137" s="170"/>
      <c r="D137" s="170"/>
      <c r="E137" s="168"/>
      <c r="F137" s="168"/>
      <c r="G137" s="168"/>
      <c r="H137" s="168"/>
      <c r="I137" s="168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X137" s="120"/>
      <c r="Y137" s="120"/>
      <c r="Z137" s="120"/>
      <c r="AA137" s="120"/>
      <c r="AB137" s="120"/>
      <c r="AC137" s="109"/>
      <c r="AD137" s="109"/>
      <c r="AE137" s="109"/>
      <c r="AF137" s="109"/>
      <c r="AG137" s="120"/>
      <c r="AH137" s="120"/>
      <c r="AI137" s="161"/>
      <c r="AJ137" s="161"/>
      <c r="AK137" s="161"/>
      <c r="AL137" s="161"/>
      <c r="AM137" s="161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</row>
    <row r="138" spans="1:59" ht="13.75" customHeight="1" outlineLevel="1">
      <c r="B138" s="170"/>
      <c r="C138" s="170"/>
      <c r="D138" s="170"/>
      <c r="E138" s="168"/>
      <c r="F138" s="168"/>
      <c r="G138" s="168"/>
      <c r="H138" s="168"/>
      <c r="I138" s="168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X138" s="120"/>
      <c r="Y138" s="120"/>
      <c r="Z138" s="120"/>
      <c r="AA138" s="120"/>
      <c r="AB138" s="120"/>
      <c r="AC138" s="109"/>
      <c r="AD138" s="109"/>
      <c r="AE138" s="109"/>
      <c r="AF138" s="109"/>
      <c r="AG138" s="120"/>
      <c r="AH138" s="120"/>
      <c r="AI138" s="161"/>
      <c r="AJ138" s="161"/>
      <c r="AK138" s="161"/>
      <c r="AL138" s="161"/>
      <c r="AM138" s="161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</row>
    <row r="139" spans="1:59" ht="13.75" customHeight="1" outlineLevel="1">
      <c r="B139" s="170"/>
      <c r="C139" s="170"/>
      <c r="D139" s="170"/>
      <c r="E139" s="168"/>
      <c r="F139" s="168"/>
      <c r="G139" s="168"/>
      <c r="H139" s="168"/>
      <c r="I139" s="168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X139" s="120"/>
      <c r="Y139" s="120"/>
      <c r="Z139" s="120"/>
      <c r="AA139" s="120"/>
      <c r="AB139" s="120"/>
      <c r="AC139" s="109"/>
      <c r="AD139" s="109"/>
      <c r="AE139" s="109"/>
      <c r="AF139" s="109"/>
      <c r="AG139" s="120"/>
      <c r="AH139" s="120"/>
      <c r="AI139" s="161"/>
      <c r="AJ139" s="161"/>
      <c r="AK139" s="161"/>
      <c r="AL139" s="161"/>
      <c r="AM139" s="161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</row>
    <row r="140" spans="1:59" ht="13.75" customHeight="1" outlineLevel="1">
      <c r="B140" s="170"/>
      <c r="C140" s="170"/>
      <c r="D140" s="170"/>
      <c r="E140" s="168"/>
      <c r="F140" s="168"/>
      <c r="G140" s="168"/>
      <c r="H140" s="168"/>
      <c r="I140" s="168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X140" s="120"/>
      <c r="Y140" s="120"/>
      <c r="Z140" s="120"/>
      <c r="AA140" s="120"/>
      <c r="AB140" s="120"/>
      <c r="AC140" s="109"/>
      <c r="AD140" s="109"/>
      <c r="AE140" s="109"/>
      <c r="AF140" s="109"/>
      <c r="AG140" s="120"/>
      <c r="AH140" s="120"/>
      <c r="AI140" s="161"/>
      <c r="AJ140" s="161"/>
      <c r="AK140" s="161"/>
      <c r="AL140" s="161"/>
      <c r="AM140" s="161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</row>
    <row r="141" spans="1:59" ht="13.75" customHeight="1" outlineLevel="1">
      <c r="B141" s="170"/>
      <c r="C141" s="170"/>
      <c r="D141" s="170"/>
      <c r="E141" s="168"/>
      <c r="F141" s="168"/>
      <c r="G141" s="168"/>
      <c r="H141" s="168"/>
      <c r="I141" s="168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X141" s="120"/>
      <c r="Y141" s="120"/>
      <c r="Z141" s="120"/>
      <c r="AA141" s="120"/>
      <c r="AB141" s="120"/>
      <c r="AC141" s="109"/>
      <c r="AD141" s="109"/>
      <c r="AE141" s="109"/>
      <c r="AF141" s="109"/>
      <c r="AG141" s="120"/>
      <c r="AH141" s="120"/>
      <c r="AI141" s="161"/>
      <c r="AJ141" s="161"/>
      <c r="AK141" s="161"/>
      <c r="AL141" s="161"/>
      <c r="AM141" s="161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</row>
    <row r="142" spans="1:59" ht="13.75" customHeight="1" outlineLevel="1">
      <c r="B142" s="170"/>
      <c r="C142" s="170"/>
      <c r="D142" s="170"/>
      <c r="E142" s="168"/>
      <c r="F142" s="168"/>
      <c r="G142" s="168"/>
      <c r="H142" s="168"/>
      <c r="I142" s="168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X142" s="120"/>
      <c r="Y142" s="120"/>
      <c r="Z142" s="120"/>
      <c r="AA142" s="120"/>
      <c r="AB142" s="120"/>
      <c r="AC142" s="109"/>
      <c r="AD142" s="109"/>
      <c r="AE142" s="109"/>
      <c r="AF142" s="109"/>
      <c r="AG142" s="120"/>
      <c r="AH142" s="120"/>
      <c r="AI142" s="161"/>
      <c r="AJ142" s="161"/>
      <c r="AK142" s="161"/>
      <c r="AL142" s="161"/>
      <c r="AM142" s="161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</row>
    <row r="143" spans="1:59" ht="13.75" customHeight="1" outlineLevel="1">
      <c r="B143" s="170"/>
      <c r="C143" s="170"/>
      <c r="D143" s="170"/>
      <c r="E143" s="168"/>
      <c r="F143" s="168"/>
      <c r="G143" s="168"/>
      <c r="H143" s="168"/>
      <c r="I143" s="168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X143" s="120"/>
      <c r="Y143" s="120"/>
      <c r="Z143" s="120"/>
      <c r="AA143" s="120"/>
      <c r="AB143" s="120"/>
      <c r="AC143" s="109"/>
      <c r="AD143" s="109"/>
      <c r="AE143" s="109"/>
      <c r="AF143" s="109"/>
      <c r="AG143" s="120"/>
      <c r="AH143" s="120"/>
      <c r="AI143" s="161"/>
      <c r="AJ143" s="161"/>
      <c r="AK143" s="161"/>
      <c r="AL143" s="161"/>
      <c r="AM143" s="161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</row>
    <row r="144" spans="1:59" ht="13.75" customHeight="1" outlineLevel="1">
      <c r="B144" s="170"/>
      <c r="C144" s="170"/>
      <c r="D144" s="170"/>
      <c r="E144" s="168"/>
      <c r="F144" s="168"/>
      <c r="G144" s="168"/>
      <c r="H144" s="168"/>
      <c r="I144" s="168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X144" s="120"/>
      <c r="Y144" s="120"/>
      <c r="Z144" s="120"/>
      <c r="AA144" s="120"/>
      <c r="AB144" s="120"/>
      <c r="AC144" s="109"/>
      <c r="AD144" s="109"/>
      <c r="AE144" s="109"/>
      <c r="AF144" s="109"/>
      <c r="AG144" s="120"/>
      <c r="AH144" s="120"/>
      <c r="AI144" s="161"/>
      <c r="AJ144" s="161"/>
      <c r="AK144" s="161"/>
      <c r="AL144" s="161"/>
      <c r="AM144" s="161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107"/>
      <c r="AZ144" s="107"/>
      <c r="BA144" s="107"/>
      <c r="BB144" s="107"/>
      <c r="BC144" s="107"/>
      <c r="BD144" s="107"/>
      <c r="BE144" s="107"/>
      <c r="BF144" s="107"/>
      <c r="BG144" s="107"/>
    </row>
    <row r="145" spans="1:59" ht="13.75" customHeight="1" outlineLevel="1">
      <c r="B145" s="170"/>
      <c r="C145" s="170"/>
      <c r="D145" s="170"/>
      <c r="E145" s="168"/>
      <c r="F145" s="168"/>
      <c r="G145" s="168"/>
      <c r="H145" s="168"/>
      <c r="I145" s="168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X145" s="120"/>
      <c r="Y145" s="120"/>
      <c r="Z145" s="120"/>
      <c r="AA145" s="120"/>
      <c r="AB145" s="120"/>
      <c r="AG145" s="120"/>
      <c r="AH145" s="120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107"/>
      <c r="AZ145" s="107"/>
      <c r="BA145" s="107"/>
      <c r="BB145" s="107"/>
      <c r="BC145" s="107"/>
      <c r="BD145" s="107"/>
      <c r="BE145" s="107"/>
      <c r="BF145" s="107"/>
      <c r="BG145" s="107"/>
    </row>
    <row r="146" spans="1:59" ht="13.75" customHeight="1" outlineLevel="1">
      <c r="B146" s="170"/>
      <c r="C146" s="170"/>
      <c r="D146" s="170"/>
      <c r="E146" s="168"/>
      <c r="F146" s="168"/>
      <c r="G146" s="168"/>
      <c r="H146" s="168"/>
      <c r="I146" s="168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X146" s="120"/>
      <c r="Y146" s="120"/>
      <c r="Z146" s="120"/>
      <c r="AA146" s="120"/>
      <c r="AB146" s="120"/>
      <c r="AG146" s="120"/>
      <c r="AH146" s="120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/>
      <c r="BC146" s="107"/>
      <c r="BD146" s="107"/>
      <c r="BE146" s="107"/>
      <c r="BF146" s="107"/>
      <c r="BG146" s="107"/>
    </row>
    <row r="147" spans="1:59" ht="13.75" customHeight="1" outlineLevel="1">
      <c r="B147" s="170"/>
      <c r="C147" s="170"/>
      <c r="D147" s="170"/>
      <c r="E147" s="168"/>
      <c r="F147" s="168"/>
      <c r="G147" s="168"/>
      <c r="H147" s="168"/>
      <c r="I147" s="168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X147" s="120"/>
      <c r="Y147" s="120"/>
      <c r="Z147" s="120"/>
      <c r="AA147" s="120"/>
      <c r="AB147" s="120"/>
      <c r="AG147" s="120"/>
      <c r="AH147" s="120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107"/>
      <c r="AZ147" s="107"/>
      <c r="BA147" s="107"/>
      <c r="BB147" s="107"/>
      <c r="BC147" s="107"/>
      <c r="BD147" s="107"/>
      <c r="BE147" s="107"/>
      <c r="BF147" s="107"/>
      <c r="BG147" s="107"/>
    </row>
    <row r="148" spans="1:59" ht="13.75" customHeight="1" outlineLevel="1">
      <c r="B148" s="170"/>
      <c r="C148" s="170"/>
      <c r="D148" s="170"/>
      <c r="E148" s="168"/>
      <c r="F148" s="168"/>
      <c r="G148" s="168"/>
      <c r="H148" s="168"/>
      <c r="I148" s="168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X148" s="120"/>
      <c r="Y148" s="120"/>
      <c r="Z148" s="120"/>
      <c r="AA148" s="120"/>
      <c r="AB148" s="120"/>
      <c r="AG148" s="120"/>
      <c r="AH148" s="120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7"/>
      <c r="BF148" s="107"/>
      <c r="BG148" s="107"/>
    </row>
    <row r="149" spans="1:59" ht="13.75" customHeight="1" outlineLevel="1">
      <c r="B149" s="170"/>
      <c r="C149" s="170"/>
      <c r="D149" s="170"/>
      <c r="E149" s="168"/>
      <c r="F149" s="168"/>
      <c r="G149" s="168"/>
      <c r="H149" s="168"/>
      <c r="I149" s="168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X149" s="120"/>
      <c r="Y149" s="120"/>
      <c r="Z149" s="120"/>
      <c r="AA149" s="120"/>
      <c r="AB149" s="120"/>
      <c r="AG149" s="120"/>
      <c r="AH149" s="120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107"/>
      <c r="BA149" s="107"/>
      <c r="BB149" s="107"/>
      <c r="BC149" s="107"/>
      <c r="BD149" s="107"/>
      <c r="BE149" s="107"/>
      <c r="BF149" s="107"/>
      <c r="BG149" s="107"/>
    </row>
    <row r="150" spans="1:59" ht="13.75" customHeight="1" outlineLevel="1">
      <c r="B150" s="170"/>
      <c r="C150" s="170"/>
      <c r="D150" s="170"/>
      <c r="E150" s="168"/>
      <c r="F150" s="168"/>
      <c r="G150" s="168"/>
      <c r="H150" s="168"/>
      <c r="I150" s="168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X150" s="120"/>
      <c r="Y150" s="120"/>
      <c r="Z150" s="120"/>
      <c r="AA150" s="120"/>
      <c r="AB150" s="120"/>
      <c r="AG150" s="120"/>
      <c r="AH150" s="120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7"/>
      <c r="BF150" s="107"/>
      <c r="BG150" s="107"/>
    </row>
    <row r="151" spans="1:59" ht="13.75" customHeight="1" outlineLevel="1">
      <c r="B151" s="170"/>
      <c r="C151" s="170"/>
      <c r="D151" s="170"/>
      <c r="E151" s="168"/>
      <c r="F151" s="168"/>
      <c r="G151" s="168"/>
      <c r="H151" s="168"/>
      <c r="I151" s="168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X151" s="120"/>
      <c r="Y151" s="120"/>
      <c r="Z151" s="120"/>
      <c r="AA151" s="120"/>
      <c r="AB151" s="120"/>
      <c r="AG151" s="120"/>
      <c r="AH151" s="120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</row>
    <row r="152" spans="1:59" ht="13.75" customHeight="1">
      <c r="A152" s="141" t="s">
        <v>166</v>
      </c>
      <c r="B152" s="170" t="s">
        <v>245</v>
      </c>
      <c r="C152" s="170"/>
      <c r="D152" s="170" t="s">
        <v>168</v>
      </c>
      <c r="E152" s="168"/>
      <c r="F152" s="168" t="s">
        <v>246</v>
      </c>
      <c r="G152" s="168" t="s">
        <v>247</v>
      </c>
      <c r="H152" s="168"/>
      <c r="I152" s="168" t="s">
        <v>248</v>
      </c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12">
        <v>6.7510000000000003</v>
      </c>
      <c r="V152" s="112">
        <v>6.5810000000000004</v>
      </c>
      <c r="W152" s="125">
        <v>6.2181566666666654</v>
      </c>
      <c r="X152" s="125">
        <v>7.8529999999999998</v>
      </c>
      <c r="Y152" s="125">
        <v>8.7779441666666678</v>
      </c>
      <c r="Z152" s="125">
        <v>7.0304200000000003</v>
      </c>
      <c r="AA152" s="125">
        <v>7.845482500000001</v>
      </c>
      <c r="AB152" s="125">
        <v>10.406464166666668</v>
      </c>
      <c r="AC152" s="125">
        <v>10.975932499999999</v>
      </c>
      <c r="AD152" s="125">
        <v>13.644059166666667</v>
      </c>
      <c r="AE152" s="125">
        <v>13.225660833333333</v>
      </c>
      <c r="AF152" s="125">
        <v>10.451969187145393</v>
      </c>
      <c r="AG152" s="125">
        <v>13.406114556647651</v>
      </c>
      <c r="AH152" s="125">
        <v>13.892298277518337</v>
      </c>
      <c r="AI152" s="125">
        <v>14.974868484033097</v>
      </c>
      <c r="AJ152" s="125">
        <v>15.427109512250896</v>
      </c>
      <c r="AK152" s="125">
        <v>15.893008219520874</v>
      </c>
      <c r="AL152" s="125">
        <v>16.372977067750405</v>
      </c>
      <c r="AM152" s="125">
        <v>16.867440975196466</v>
      </c>
      <c r="AN152" s="125">
        <v>17.376837692647399</v>
      </c>
      <c r="AO152" s="125">
        <v>17.901618190965351</v>
      </c>
      <c r="AP152" s="125">
        <v>18.442247060332505</v>
      </c>
      <c r="AQ152" s="125">
        <v>18.999202921554545</v>
      </c>
      <c r="AR152" s="125">
        <v>19.572978849785493</v>
      </c>
      <c r="AS152" s="125">
        <v>20.164082811049017</v>
      </c>
      <c r="AT152" s="125">
        <v>20.773038111942697</v>
      </c>
      <c r="AU152" s="125">
        <v>21.400383862923366</v>
      </c>
      <c r="AV152" s="125">
        <v>22.046675455583653</v>
      </c>
      <c r="AW152" s="125">
        <v>22.712485054342281</v>
      </c>
      <c r="AX152" s="125">
        <v>23.398402102983418</v>
      </c>
      <c r="AY152" s="125">
        <v>24.105033846493519</v>
      </c>
      <c r="AZ152" s="125">
        <v>24.833005868657626</v>
      </c>
      <c r="BA152" s="125">
        <v>25.582962645891087</v>
      </c>
      <c r="BB152" s="125">
        <v>26.355568117796999</v>
      </c>
      <c r="BC152" s="125">
        <f>BB152*(1+((BB152-BA152)/BA152))</f>
        <v>27.151506274954468</v>
      </c>
      <c r="BD152" s="125">
        <f t="shared" ref="BD152:BG167" si="69">BC152*(1+((BC152-BB152)/BB152))</f>
        <v>27.971481764458094</v>
      </c>
      <c r="BE152" s="125">
        <f t="shared" si="69"/>
        <v>28.816220513744728</v>
      </c>
      <c r="BF152" s="125">
        <f t="shared" si="69"/>
        <v>29.686470373259819</v>
      </c>
      <c r="BG152" s="125">
        <f t="shared" si="69"/>
        <v>30.583001778532267</v>
      </c>
    </row>
    <row r="153" spans="1:59" ht="13.75" customHeight="1">
      <c r="A153" s="141" t="s">
        <v>166</v>
      </c>
      <c r="B153" s="170" t="s">
        <v>245</v>
      </c>
      <c r="C153" s="170"/>
      <c r="D153" s="170" t="s">
        <v>168</v>
      </c>
      <c r="E153" s="168"/>
      <c r="F153" s="168" t="s">
        <v>249</v>
      </c>
      <c r="G153" s="168" t="s">
        <v>250</v>
      </c>
      <c r="H153" s="168"/>
      <c r="I153" s="168" t="s">
        <v>251</v>
      </c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12">
        <v>13.603999999999999</v>
      </c>
      <c r="V153" s="112">
        <v>15.875</v>
      </c>
      <c r="W153" s="125">
        <v>19.614000000000001</v>
      </c>
      <c r="X153" s="125">
        <v>20.648</v>
      </c>
      <c r="Y153" s="125">
        <v>21.814</v>
      </c>
      <c r="Z153" s="125">
        <v>24.5</v>
      </c>
      <c r="AA153" s="125">
        <v>22.9</v>
      </c>
      <c r="AB153" s="125">
        <v>24.903728333333333</v>
      </c>
      <c r="AC153" s="125">
        <v>25.885917499999998</v>
      </c>
      <c r="AD153" s="125">
        <v>27.481773333333336</v>
      </c>
      <c r="AE153" s="125">
        <v>32.981347499999998</v>
      </c>
      <c r="AF153" s="125">
        <v>31.783900440154444</v>
      </c>
      <c r="AG153" s="125">
        <v>33.680903828321767</v>
      </c>
      <c r="AH153" s="125">
        <v>35.043501591975613</v>
      </c>
      <c r="AI153" s="125">
        <v>36.458957360652413</v>
      </c>
      <c r="AJ153" s="125">
        <v>37.917315655078511</v>
      </c>
      <c r="AK153" s="125">
        <v>39.434008281281656</v>
      </c>
      <c r="AL153" s="125">
        <v>41.011368612532927</v>
      </c>
      <c r="AM153" s="125">
        <v>42.651823357034246</v>
      </c>
      <c r="AN153" s="125">
        <v>44.357896291315619</v>
      </c>
      <c r="AO153" s="125">
        <v>46.132212142968243</v>
      </c>
      <c r="AP153" s="125">
        <v>47.977500628686975</v>
      </c>
      <c r="AQ153" s="125">
        <v>49.896600653834454</v>
      </c>
      <c r="AR153" s="125">
        <v>51.892464679987832</v>
      </c>
      <c r="AS153" s="125">
        <v>53.96816326718735</v>
      </c>
      <c r="AT153" s="125">
        <v>56.126889797874846</v>
      </c>
      <c r="AU153" s="125">
        <v>58.371965389789843</v>
      </c>
      <c r="AV153" s="125">
        <v>60.706844005381441</v>
      </c>
      <c r="AW153" s="125">
        <v>63.135117765596704</v>
      </c>
      <c r="AX153" s="125">
        <v>65.660522476220578</v>
      </c>
      <c r="AY153" s="125">
        <v>68.286943375269402</v>
      </c>
      <c r="AZ153" s="125">
        <v>71.018421110280187</v>
      </c>
      <c r="BA153" s="125">
        <v>73.859157954691398</v>
      </c>
      <c r="BB153" s="125">
        <v>76.81352427287905</v>
      </c>
      <c r="BC153" s="125">
        <f t="shared" ref="BC153:BG194" si="70">BB153*(1+((BB153-BA153)/BA153))</f>
        <v>79.886065243794221</v>
      </c>
      <c r="BD153" s="125">
        <f t="shared" si="69"/>
        <v>83.081507853545986</v>
      </c>
      <c r="BE153" s="125">
        <f t="shared" si="69"/>
        <v>86.404768167687834</v>
      </c>
      <c r="BF153" s="125">
        <f t="shared" si="69"/>
        <v>89.860958894395353</v>
      </c>
      <c r="BG153" s="125">
        <f t="shared" si="69"/>
        <v>93.455397250171174</v>
      </c>
    </row>
    <row r="154" spans="1:59" ht="13.75" customHeight="1">
      <c r="A154" s="141" t="s">
        <v>166</v>
      </c>
      <c r="B154" s="170" t="s">
        <v>245</v>
      </c>
      <c r="C154" s="170"/>
      <c r="D154" s="170" t="s">
        <v>168</v>
      </c>
      <c r="E154" s="168"/>
      <c r="F154" s="168" t="s">
        <v>252</v>
      </c>
      <c r="G154" s="168" t="s">
        <v>247</v>
      </c>
      <c r="H154" s="168"/>
      <c r="I154" s="168" t="s">
        <v>253</v>
      </c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12">
        <v>79.428640000000001</v>
      </c>
      <c r="V154" s="112">
        <v>73.473369999999989</v>
      </c>
      <c r="W154" s="125">
        <v>87.441000000000003</v>
      </c>
      <c r="X154" s="125">
        <v>93.071969696969688</v>
      </c>
      <c r="Y154" s="125">
        <v>91.719696969696983</v>
      </c>
      <c r="Z154" s="125">
        <v>80.234090909090909</v>
      </c>
      <c r="AA154" s="125">
        <v>94.245482954545437</v>
      </c>
      <c r="AB154" s="125">
        <v>99.187499999999986</v>
      </c>
      <c r="AC154" s="125">
        <v>93.625189393939394</v>
      </c>
      <c r="AD154" s="125">
        <v>126.94772727272726</v>
      </c>
      <c r="AE154" s="125">
        <v>127.97489898989897</v>
      </c>
      <c r="AF154" s="125">
        <v>153.07484848484847</v>
      </c>
      <c r="AG154" s="125">
        <v>158.18445726901803</v>
      </c>
      <c r="AH154" s="125">
        <v>160.67524534389258</v>
      </c>
      <c r="AI154" s="125">
        <v>164.72217391321854</v>
      </c>
      <c r="AJ154" s="125">
        <v>169.40028365235395</v>
      </c>
      <c r="AK154" s="125">
        <v>174.21125170808079</v>
      </c>
      <c r="AL154" s="125">
        <v>179.15885125659028</v>
      </c>
      <c r="AM154" s="125">
        <v>184.24696263227744</v>
      </c>
      <c r="AN154" s="125">
        <v>189.47957637103411</v>
      </c>
      <c r="AO154" s="125">
        <v>194.86079633997147</v>
      </c>
      <c r="AP154" s="125">
        <v>200.39484295602665</v>
      </c>
      <c r="AQ154" s="125">
        <v>206.0860564959778</v>
      </c>
      <c r="AR154" s="125">
        <v>211.93890050046357</v>
      </c>
      <c r="AS154" s="125">
        <v>217.95796527467672</v>
      </c>
      <c r="AT154" s="125">
        <v>224.14797148847754</v>
      </c>
      <c r="AU154" s="125">
        <v>230.5137738787503</v>
      </c>
      <c r="AV154" s="125">
        <v>237.06036505690682</v>
      </c>
      <c r="AW154" s="125">
        <v>243.79287942452297</v>
      </c>
      <c r="AX154" s="125">
        <v>250.71659720017942</v>
      </c>
      <c r="AY154" s="125">
        <v>257.8369485606645</v>
      </c>
      <c r="AZ154" s="125">
        <v>265.15951789978737</v>
      </c>
      <c r="BA154" s="125">
        <v>272.69004820814132</v>
      </c>
      <c r="BB154" s="125">
        <v>280.43444557725252</v>
      </c>
      <c r="BC154" s="125">
        <f t="shared" si="70"/>
        <v>288.39878383164648</v>
      </c>
      <c r="BD154" s="125">
        <f t="shared" si="69"/>
        <v>296.58930929246526</v>
      </c>
      <c r="BE154" s="125">
        <f t="shared" si="69"/>
        <v>305.01244567637127</v>
      </c>
      <c r="BF154" s="125">
        <f t="shared" si="69"/>
        <v>313.67479913358022</v>
      </c>
      <c r="BG154" s="125">
        <f t="shared" si="69"/>
        <v>322.58316342897388</v>
      </c>
    </row>
    <row r="155" spans="1:59" ht="13.75" customHeight="1">
      <c r="A155" s="141" t="s">
        <v>166</v>
      </c>
      <c r="B155" s="170" t="s">
        <v>245</v>
      </c>
      <c r="C155" s="170"/>
      <c r="D155" s="170" t="s">
        <v>168</v>
      </c>
      <c r="E155" s="168"/>
      <c r="F155" s="168" t="s">
        <v>254</v>
      </c>
      <c r="G155" s="168" t="s">
        <v>247</v>
      </c>
      <c r="H155" s="168"/>
      <c r="I155" s="168" t="s">
        <v>255</v>
      </c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12">
        <v>55.173000000000002</v>
      </c>
      <c r="V155" s="112">
        <v>54.357999999999997</v>
      </c>
      <c r="W155" s="125">
        <v>63.654000000000003</v>
      </c>
      <c r="X155" s="125">
        <v>69.732961666666668</v>
      </c>
      <c r="Y155" s="125">
        <v>72.344999999999999</v>
      </c>
      <c r="Z155" s="125">
        <v>68.057460000000006</v>
      </c>
      <c r="AA155" s="125">
        <v>70.844999999999999</v>
      </c>
      <c r="AB155" s="125">
        <v>75.598796666666658</v>
      </c>
      <c r="AC155" s="125">
        <v>73.967506363636375</v>
      </c>
      <c r="AD155" s="125">
        <v>91.302810000000008</v>
      </c>
      <c r="AE155" s="125">
        <v>101.553</v>
      </c>
      <c r="AF155" s="125">
        <v>118.38002385599893</v>
      </c>
      <c r="AG155" s="125">
        <v>122.74049251602256</v>
      </c>
      <c r="AH155" s="125">
        <v>124.67317642404527</v>
      </c>
      <c r="AI155" s="125">
        <v>127.81332062248238</v>
      </c>
      <c r="AJ155" s="125">
        <v>131.44321892816089</v>
      </c>
      <c r="AK155" s="125">
        <v>135.17620634572066</v>
      </c>
      <c r="AL155" s="125">
        <v>139.0152106059391</v>
      </c>
      <c r="AM155" s="125">
        <v>142.96324258714776</v>
      </c>
      <c r="AN155" s="125">
        <v>147.02339867662275</v>
      </c>
      <c r="AO155" s="125">
        <v>151.19886319903881</v>
      </c>
      <c r="AP155" s="125">
        <v>155.49291091389151</v>
      </c>
      <c r="AQ155" s="125">
        <v>159.90890958384603</v>
      </c>
      <c r="AR155" s="125">
        <v>164.45032261602728</v>
      </c>
      <c r="AS155" s="125">
        <v>169.12071177832246</v>
      </c>
      <c r="AT155" s="125">
        <v>173.92373999282682</v>
      </c>
      <c r="AU155" s="125">
        <v>178.86317420862312</v>
      </c>
      <c r="AV155" s="125">
        <v>183.94288835614802</v>
      </c>
      <c r="AW155" s="125">
        <v>189.16686638546261</v>
      </c>
      <c r="AX155" s="125">
        <v>194.53920539080977</v>
      </c>
      <c r="AY155" s="125">
        <v>200.06411882390876</v>
      </c>
      <c r="AZ155" s="125">
        <v>205.74593979850778</v>
      </c>
      <c r="BA155" s="125">
        <v>211.58912448878539</v>
      </c>
      <c r="BB155" s="125">
        <v>217.59825562426687</v>
      </c>
      <c r="BC155" s="125">
        <f t="shared" si="70"/>
        <v>223.77804608399603</v>
      </c>
      <c r="BD155" s="125">
        <f t="shared" si="69"/>
        <v>230.1333425927815</v>
      </c>
      <c r="BE155" s="125">
        <f t="shared" si="69"/>
        <v>236.66912952241648</v>
      </c>
      <c r="BF155" s="125">
        <f t="shared" si="69"/>
        <v>243.39053280085309</v>
      </c>
      <c r="BG155" s="125">
        <f t="shared" si="69"/>
        <v>250.30282393239733</v>
      </c>
    </row>
    <row r="156" spans="1:59" ht="13.75" customHeight="1">
      <c r="A156" s="141" t="s">
        <v>166</v>
      </c>
      <c r="B156" s="170" t="s">
        <v>245</v>
      </c>
      <c r="C156" s="170"/>
      <c r="D156" s="170" t="s">
        <v>168</v>
      </c>
      <c r="E156" s="168"/>
      <c r="F156" s="168" t="s">
        <v>256</v>
      </c>
      <c r="G156" s="168" t="s">
        <v>247</v>
      </c>
      <c r="H156" s="168"/>
      <c r="I156" s="168" t="s">
        <v>257</v>
      </c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12">
        <v>174.53289999999998</v>
      </c>
      <c r="V156" s="112">
        <v>174.41897</v>
      </c>
      <c r="W156" s="125">
        <v>154.70701166666669</v>
      </c>
      <c r="X156" s="125">
        <v>182.8590909090909</v>
      </c>
      <c r="Y156" s="125">
        <v>183.94772727272724</v>
      </c>
      <c r="Z156" s="125">
        <v>194</v>
      </c>
      <c r="AA156" s="125">
        <v>204</v>
      </c>
      <c r="AB156" s="125">
        <v>216.56287878787876</v>
      </c>
      <c r="AC156" s="125">
        <v>220.78757575757575</v>
      </c>
      <c r="AD156" s="125">
        <v>247.73757575757571</v>
      </c>
      <c r="AE156" s="125">
        <v>300.83247474747475</v>
      </c>
      <c r="AF156" s="125">
        <v>316.78786403689207</v>
      </c>
      <c r="AG156" s="125">
        <v>364.5249306153558</v>
      </c>
      <c r="AH156" s="125">
        <v>379.27218495818278</v>
      </c>
      <c r="AI156" s="125">
        <v>394.59151600986746</v>
      </c>
      <c r="AJ156" s="125">
        <v>410.37517665026218</v>
      </c>
      <c r="AK156" s="125">
        <v>426.79018371627268</v>
      </c>
      <c r="AL156" s="125">
        <v>443.86179106492358</v>
      </c>
      <c r="AM156" s="125">
        <v>461.61626270752055</v>
      </c>
      <c r="AN156" s="125">
        <v>480.0809132158214</v>
      </c>
      <c r="AO156" s="125">
        <v>499.28414974445428</v>
      </c>
      <c r="AP156" s="125">
        <v>519.25551573423252</v>
      </c>
      <c r="AQ156" s="125">
        <v>540.02573636360182</v>
      </c>
      <c r="AR156" s="125">
        <v>561.62676581814594</v>
      </c>
      <c r="AS156" s="125">
        <v>584.09183645087182</v>
      </c>
      <c r="AT156" s="125">
        <v>607.45550990890672</v>
      </c>
      <c r="AU156" s="125">
        <v>631.75373030526305</v>
      </c>
      <c r="AV156" s="125">
        <v>657.02387951747357</v>
      </c>
      <c r="AW156" s="125">
        <v>683.3048346981725</v>
      </c>
      <c r="AX156" s="125">
        <v>710.63702808609946</v>
      </c>
      <c r="AY156" s="125">
        <v>739.06250920954346</v>
      </c>
      <c r="AZ156" s="125">
        <v>768.6250095779252</v>
      </c>
      <c r="BA156" s="125">
        <v>799.37000996104223</v>
      </c>
      <c r="BB156" s="125">
        <v>831.34481035948397</v>
      </c>
      <c r="BC156" s="125">
        <f t="shared" si="70"/>
        <v>864.59860277386338</v>
      </c>
      <c r="BD156" s="125">
        <f t="shared" si="69"/>
        <v>899.18254688481795</v>
      </c>
      <c r="BE156" s="125">
        <f t="shared" si="69"/>
        <v>935.14984876021072</v>
      </c>
      <c r="BF156" s="125">
        <f t="shared" si="69"/>
        <v>972.55584271061923</v>
      </c>
      <c r="BG156" s="125">
        <f t="shared" si="69"/>
        <v>1011.458076419044</v>
      </c>
    </row>
    <row r="157" spans="1:59" ht="13.75" customHeight="1">
      <c r="A157" s="141" t="s">
        <v>166</v>
      </c>
      <c r="B157" s="170" t="s">
        <v>245</v>
      </c>
      <c r="C157" s="170"/>
      <c r="D157" s="170" t="s">
        <v>168</v>
      </c>
      <c r="E157" s="168"/>
      <c r="F157" s="168" t="s">
        <v>258</v>
      </c>
      <c r="G157" s="168" t="s">
        <v>247</v>
      </c>
      <c r="H157" s="168"/>
      <c r="I157" s="168" t="s">
        <v>259</v>
      </c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12">
        <v>73.096999999999994</v>
      </c>
      <c r="V157" s="112">
        <v>72.128</v>
      </c>
      <c r="W157" s="125">
        <v>74.36041583333332</v>
      </c>
      <c r="X157" s="125">
        <v>93.52411166666667</v>
      </c>
      <c r="Y157" s="125">
        <v>96.641687499999989</v>
      </c>
      <c r="Z157" s="125">
        <v>97.56</v>
      </c>
      <c r="AA157" s="125">
        <v>99.522999999999996</v>
      </c>
      <c r="AB157" s="125">
        <v>105.08408166666666</v>
      </c>
      <c r="AC157" s="125">
        <v>111.74640250000002</v>
      </c>
      <c r="AD157" s="125">
        <v>121.45051333333333</v>
      </c>
      <c r="AE157" s="125">
        <v>142.69550000000001</v>
      </c>
      <c r="AF157" s="125">
        <v>152.42764330769543</v>
      </c>
      <c r="AG157" s="125">
        <v>175.33316356385171</v>
      </c>
      <c r="AH157" s="125">
        <v>182.42645826236165</v>
      </c>
      <c r="AI157" s="125">
        <v>189.79491663485101</v>
      </c>
      <c r="AJ157" s="125">
        <v>197.38671330024505</v>
      </c>
      <c r="AK157" s="125">
        <v>205.28218183225485</v>
      </c>
      <c r="AL157" s="125">
        <v>213.49346910554505</v>
      </c>
      <c r="AM157" s="125">
        <v>222.03320786976687</v>
      </c>
      <c r="AN157" s="125">
        <v>230.91453618455756</v>
      </c>
      <c r="AO157" s="125">
        <v>240.15111763193988</v>
      </c>
      <c r="AP157" s="125">
        <v>249.75716233721749</v>
      </c>
      <c r="AQ157" s="125">
        <v>259.74744883070622</v>
      </c>
      <c r="AR157" s="125">
        <v>270.1373467839345</v>
      </c>
      <c r="AS157" s="125">
        <v>280.94284065529195</v>
      </c>
      <c r="AT157" s="125">
        <v>292.18055428150365</v>
      </c>
      <c r="AU157" s="125">
        <v>303.86777645276379</v>
      </c>
      <c r="AV157" s="125">
        <v>316.02248751087433</v>
      </c>
      <c r="AW157" s="125">
        <v>328.66338701130928</v>
      </c>
      <c r="AX157" s="125">
        <v>341.80992249176165</v>
      </c>
      <c r="AY157" s="125">
        <v>355.48231939143216</v>
      </c>
      <c r="AZ157" s="125">
        <v>369.70161216708948</v>
      </c>
      <c r="BA157" s="125">
        <v>384.48967665377307</v>
      </c>
      <c r="BB157" s="125">
        <v>399.86926371992405</v>
      </c>
      <c r="BC157" s="125">
        <f t="shared" si="70"/>
        <v>415.86403426872101</v>
      </c>
      <c r="BD157" s="125">
        <f t="shared" si="69"/>
        <v>432.49859563946984</v>
      </c>
      <c r="BE157" s="125">
        <f t="shared" si="69"/>
        <v>449.79853946504863</v>
      </c>
      <c r="BF157" s="125">
        <f t="shared" si="69"/>
        <v>467.79048104365057</v>
      </c>
      <c r="BG157" s="125">
        <f t="shared" si="69"/>
        <v>486.50210028539664</v>
      </c>
    </row>
    <row r="158" spans="1:59" ht="13.75" customHeight="1">
      <c r="A158" s="141" t="s">
        <v>166</v>
      </c>
      <c r="B158" s="170" t="s">
        <v>245</v>
      </c>
      <c r="C158" s="170"/>
      <c r="D158" s="170" t="s">
        <v>168</v>
      </c>
      <c r="E158" s="168"/>
      <c r="F158" s="168" t="s">
        <v>260</v>
      </c>
      <c r="G158" s="168" t="s">
        <v>247</v>
      </c>
      <c r="H158" s="168"/>
      <c r="I158" s="168" t="s">
        <v>261</v>
      </c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12">
        <v>14</v>
      </c>
      <c r="V158" s="112">
        <v>14</v>
      </c>
      <c r="W158" s="125">
        <v>11.534000000000001</v>
      </c>
      <c r="X158" s="125">
        <v>20.283999999999999</v>
      </c>
      <c r="Y158" s="125">
        <v>22.922998333333332</v>
      </c>
      <c r="Z158" s="125">
        <v>17.03256</v>
      </c>
      <c r="AA158" s="125">
        <v>18.5513075</v>
      </c>
      <c r="AB158" s="125">
        <v>18.283107323232326</v>
      </c>
      <c r="AC158" s="125">
        <v>25.990277777777777</v>
      </c>
      <c r="AD158" s="125">
        <v>42.026452020202022</v>
      </c>
      <c r="AE158" s="125">
        <v>32.784217171717167</v>
      </c>
      <c r="AF158" s="125">
        <v>26.651581092552419</v>
      </c>
      <c r="AG158" s="125">
        <v>30.46420458499432</v>
      </c>
      <c r="AH158" s="125">
        <v>32.735428868677303</v>
      </c>
      <c r="AI158" s="125">
        <v>35.286367473851264</v>
      </c>
      <c r="AJ158" s="125">
        <v>36.352015771561575</v>
      </c>
      <c r="AK158" s="125">
        <v>37.449846647862735</v>
      </c>
      <c r="AL158" s="125">
        <v>38.580832016628193</v>
      </c>
      <c r="AM158" s="125">
        <v>39.745973143530371</v>
      </c>
      <c r="AN158" s="125">
        <v>40.946301532464986</v>
      </c>
      <c r="AO158" s="125">
        <v>42.182879838745436</v>
      </c>
      <c r="AP158" s="125">
        <v>43.456802809875548</v>
      </c>
      <c r="AQ158" s="125">
        <v>44.769198254733787</v>
      </c>
      <c r="AR158" s="125">
        <v>46.121228042026743</v>
      </c>
      <c r="AS158" s="125">
        <v>47.514089128895954</v>
      </c>
      <c r="AT158" s="125">
        <v>48.949014620588613</v>
      </c>
      <c r="AU158" s="125">
        <v>50.427274862130396</v>
      </c>
      <c r="AV158" s="125">
        <v>51.950178562966734</v>
      </c>
      <c r="AW158" s="125">
        <v>53.519073955568324</v>
      </c>
      <c r="AX158" s="125">
        <v>55.135349989026487</v>
      </c>
      <c r="AY158" s="125">
        <v>56.800437558695087</v>
      </c>
      <c r="AZ158" s="125">
        <v>58.51581077296769</v>
      </c>
      <c r="BA158" s="125">
        <v>60.28298825831132</v>
      </c>
      <c r="BB158" s="125">
        <v>62.103534503712325</v>
      </c>
      <c r="BC158" s="125">
        <f t="shared" si="70"/>
        <v>63.979061245724438</v>
      </c>
      <c r="BD158" s="125">
        <f t="shared" si="69"/>
        <v>65.911228895345317</v>
      </c>
      <c r="BE158" s="125">
        <f t="shared" si="69"/>
        <v>67.90174800798475</v>
      </c>
      <c r="BF158" s="125">
        <f t="shared" si="69"/>
        <v>69.952380797825896</v>
      </c>
      <c r="BG158" s="125">
        <f t="shared" si="69"/>
        <v>72.064942697920245</v>
      </c>
    </row>
    <row r="159" spans="1:59" ht="13.75" customHeight="1">
      <c r="A159" s="141" t="s">
        <v>166</v>
      </c>
      <c r="B159" s="170" t="s">
        <v>245</v>
      </c>
      <c r="C159" s="170"/>
      <c r="D159" s="170" t="s">
        <v>168</v>
      </c>
      <c r="E159" s="168"/>
      <c r="F159" s="168" t="s">
        <v>262</v>
      </c>
      <c r="G159" s="168" t="s">
        <v>247</v>
      </c>
      <c r="H159" s="168"/>
      <c r="I159" s="168" t="s">
        <v>263</v>
      </c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12">
        <v>6.4089999999999998</v>
      </c>
      <c r="V159" s="112">
        <v>6.7149999999999999</v>
      </c>
      <c r="W159" s="125">
        <v>7.5384633333333326</v>
      </c>
      <c r="X159" s="125">
        <v>8.5952708333333341</v>
      </c>
      <c r="Y159" s="125">
        <v>9.4826116666666671</v>
      </c>
      <c r="Z159" s="125">
        <v>7.6686931602969999</v>
      </c>
      <c r="AA159" s="125">
        <v>8.1663085024709989</v>
      </c>
      <c r="AB159" s="125">
        <v>9.7845073960606044</v>
      </c>
      <c r="AC159" s="125">
        <v>12.941790822811946</v>
      </c>
      <c r="AD159" s="125">
        <v>14.160467135280747</v>
      </c>
      <c r="AE159" s="125">
        <v>13.662216776552903</v>
      </c>
      <c r="AF159" s="125">
        <v>10.438509863825693</v>
      </c>
      <c r="AG159" s="125">
        <v>13.301963166599595</v>
      </c>
      <c r="AH159" s="125">
        <v>14.142298277518337</v>
      </c>
      <c r="AI159" s="125">
        <v>15.244349965514576</v>
      </c>
      <c r="AJ159" s="125">
        <v>15.704729334473116</v>
      </c>
      <c r="AK159" s="125">
        <v>16.179012160374203</v>
      </c>
      <c r="AL159" s="125">
        <v>16.667618327617504</v>
      </c>
      <c r="AM159" s="125">
        <v>17.170980401111553</v>
      </c>
      <c r="AN159" s="125">
        <v>17.68954400922512</v>
      </c>
      <c r="AO159" s="125">
        <v>18.223768238303716</v>
      </c>
      <c r="AP159" s="125">
        <v>18.774126039100491</v>
      </c>
      <c r="AQ159" s="125">
        <v>19.341104645481327</v>
      </c>
      <c r="AR159" s="125">
        <v>19.925206005774861</v>
      </c>
      <c r="AS159" s="125">
        <v>20.526947227149261</v>
      </c>
      <c r="AT159" s="125">
        <v>21.14686103340917</v>
      </c>
      <c r="AU159" s="125">
        <v>21.78549623661813</v>
      </c>
      <c r="AV159" s="125">
        <v>22.443418222963999</v>
      </c>
      <c r="AW159" s="125">
        <v>23.12120945329751</v>
      </c>
      <c r="AX159" s="125">
        <v>23.819469978787094</v>
      </c>
      <c r="AY159" s="125">
        <v>24.538817972146465</v>
      </c>
      <c r="AZ159" s="125">
        <v>25.279890274905288</v>
      </c>
      <c r="BA159" s="125">
        <v>26.043342961207426</v>
      </c>
      <c r="BB159" s="125">
        <v>26.829851918635892</v>
      </c>
      <c r="BC159" s="125">
        <f t="shared" si="70"/>
        <v>27.640113446578695</v>
      </c>
      <c r="BD159" s="125">
        <f t="shared" si="69"/>
        <v>28.474844872665372</v>
      </c>
      <c r="BE159" s="125">
        <f t="shared" si="69"/>
        <v>29.334785187819865</v>
      </c>
      <c r="BF159" s="125">
        <f t="shared" si="69"/>
        <v>30.220695700492026</v>
      </c>
      <c r="BG159" s="125">
        <f t="shared" si="69"/>
        <v>31.133360710646887</v>
      </c>
    </row>
    <row r="160" spans="1:59" ht="13.75" customHeight="1">
      <c r="A160" s="141" t="s">
        <v>166</v>
      </c>
      <c r="B160" s="170" t="s">
        <v>245</v>
      </c>
      <c r="C160" s="170"/>
      <c r="D160" s="170" t="s">
        <v>168</v>
      </c>
      <c r="E160" s="168"/>
      <c r="F160" s="168" t="s">
        <v>264</v>
      </c>
      <c r="G160" s="168" t="s">
        <v>247</v>
      </c>
      <c r="H160" s="168"/>
      <c r="I160" s="168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12"/>
      <c r="V160" s="112"/>
      <c r="W160" s="125">
        <v>7.3559975000000009</v>
      </c>
      <c r="X160" s="125">
        <v>9.2856191666666668</v>
      </c>
      <c r="Y160" s="125">
        <v>9.5692200000000014</v>
      </c>
      <c r="Z160" s="125">
        <v>8.1502513599749982</v>
      </c>
      <c r="AA160" s="125">
        <v>8.9087159764249986</v>
      </c>
      <c r="AB160" s="125">
        <v>11.851128787878789</v>
      </c>
      <c r="AC160" s="125">
        <v>13.556967424242423</v>
      </c>
      <c r="AD160" s="125">
        <v>14.765418939393937</v>
      </c>
      <c r="AE160" s="125">
        <v>14.653615909090906</v>
      </c>
      <c r="AF160" s="125">
        <v>12.195669371807586</v>
      </c>
      <c r="AG160" s="125">
        <v>14.029468500861331</v>
      </c>
      <c r="AH160" s="125">
        <v>14.642298277518337</v>
      </c>
      <c r="AI160" s="125">
        <v>15.783312928477539</v>
      </c>
      <c r="AJ160" s="125">
        <v>16.259968978917559</v>
      </c>
      <c r="AK160" s="125">
        <v>16.751020042080867</v>
      </c>
      <c r="AL160" s="125">
        <v>17.256900847351709</v>
      </c>
      <c r="AM160" s="125">
        <v>17.778059252941734</v>
      </c>
      <c r="AN160" s="125">
        <v>18.314956642380576</v>
      </c>
      <c r="AO160" s="125">
        <v>18.868068332980471</v>
      </c>
      <c r="AP160" s="125">
        <v>19.437883996636483</v>
      </c>
      <c r="AQ160" s="125">
        <v>20.024908093334904</v>
      </c>
      <c r="AR160" s="125">
        <v>20.629660317753618</v>
      </c>
      <c r="AS160" s="125">
        <v>21.252676059349778</v>
      </c>
      <c r="AT160" s="125">
        <v>21.894506876342142</v>
      </c>
      <c r="AU160" s="125">
        <v>22.555720984007674</v>
      </c>
      <c r="AV160" s="125">
        <v>23.236903757724704</v>
      </c>
      <c r="AW160" s="125">
        <v>23.93865825120799</v>
      </c>
      <c r="AX160" s="125">
        <v>24.661605730394474</v>
      </c>
      <c r="AY160" s="125">
        <v>25.406386223452387</v>
      </c>
      <c r="AZ160" s="125">
        <v>26.173659087400651</v>
      </c>
      <c r="BA160" s="125">
        <v>26.96410359184015</v>
      </c>
      <c r="BB160" s="125">
        <v>27.778419520313726</v>
      </c>
      <c r="BC160" s="125">
        <f t="shared" si="70"/>
        <v>28.617327789827208</v>
      </c>
      <c r="BD160" s="125">
        <f t="shared" si="69"/>
        <v>29.481571089079996</v>
      </c>
      <c r="BE160" s="125">
        <f t="shared" si="69"/>
        <v>30.37191453597022</v>
      </c>
      <c r="BF160" s="125">
        <f t="shared" si="69"/>
        <v>31.289146354956529</v>
      </c>
      <c r="BG160" s="125">
        <f t="shared" si="69"/>
        <v>32.234078574876222</v>
      </c>
    </row>
    <row r="161" spans="1:59" ht="13.75" customHeight="1">
      <c r="A161" s="141" t="s">
        <v>166</v>
      </c>
      <c r="B161" s="170" t="s">
        <v>245</v>
      </c>
      <c r="C161" s="170"/>
      <c r="D161" s="142" t="s">
        <v>168</v>
      </c>
      <c r="F161" s="168" t="s">
        <v>265</v>
      </c>
      <c r="G161" s="168" t="s">
        <v>247</v>
      </c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12"/>
      <c r="V161" s="112"/>
      <c r="W161" s="125">
        <v>6.4186300000000003</v>
      </c>
      <c r="X161" s="125">
        <v>7.7966258333333336</v>
      </c>
      <c r="Y161" s="125">
        <v>8.2774549999999998</v>
      </c>
      <c r="Z161" s="125">
        <v>6.7077049396397488</v>
      </c>
      <c r="AA161" s="125">
        <v>7.3783596834842502</v>
      </c>
      <c r="AB161" s="125">
        <v>10.954974999999999</v>
      </c>
      <c r="AC161" s="125">
        <v>12.761625</v>
      </c>
      <c r="AD161" s="125">
        <v>14.138906818181816</v>
      </c>
      <c r="AE161" s="125">
        <v>13.035415151515149</v>
      </c>
      <c r="AF161" s="125">
        <v>9.0051438316927559</v>
      </c>
      <c r="AG161" s="125">
        <v>12.238682396549535</v>
      </c>
      <c r="AH161" s="125">
        <v>13.642298277518337</v>
      </c>
      <c r="AI161" s="125">
        <v>14.705387002551614</v>
      </c>
      <c r="AJ161" s="125">
        <v>15.149489690028673</v>
      </c>
      <c r="AK161" s="125">
        <v>15.60700427866754</v>
      </c>
      <c r="AL161" s="125">
        <v>16.078335807883299</v>
      </c>
      <c r="AM161" s="125">
        <v>16.563901549281375</v>
      </c>
      <c r="AN161" s="125">
        <v>17.064131376069675</v>
      </c>
      <c r="AO161" s="125">
        <v>17.579468143626979</v>
      </c>
      <c r="AP161" s="125">
        <v>18.110368081564516</v>
      </c>
      <c r="AQ161" s="125">
        <v>18.657301197627767</v>
      </c>
      <c r="AR161" s="125">
        <v>19.220751693796124</v>
      </c>
      <c r="AS161" s="125">
        <v>19.801218394948766</v>
      </c>
      <c r="AT161" s="125">
        <v>20.399215190476216</v>
      </c>
      <c r="AU161" s="125">
        <v>21.015271489228599</v>
      </c>
      <c r="AV161" s="125">
        <v>21.649932688203304</v>
      </c>
      <c r="AW161" s="125">
        <v>22.303760655387045</v>
      </c>
      <c r="AX161" s="125">
        <v>22.977334227179732</v>
      </c>
      <c r="AY161" s="125">
        <v>23.67124972084056</v>
      </c>
      <c r="AZ161" s="125">
        <v>24.386121462409942</v>
      </c>
      <c r="BA161" s="125">
        <v>25.122582330574723</v>
      </c>
      <c r="BB161" s="125">
        <v>25.88128431695808</v>
      </c>
      <c r="BC161" s="125">
        <f t="shared" si="70"/>
        <v>26.662899103330215</v>
      </c>
      <c r="BD161" s="125">
        <f t="shared" si="69"/>
        <v>27.468118656250788</v>
      </c>
      <c r="BE161" s="125">
        <f t="shared" si="69"/>
        <v>28.297655839669563</v>
      </c>
      <c r="BF161" s="125">
        <f t="shared" si="69"/>
        <v>29.152245046027584</v>
      </c>
      <c r="BG161" s="125">
        <f t="shared" si="69"/>
        <v>30.032642846417616</v>
      </c>
    </row>
    <row r="162" spans="1:59" ht="13.75" customHeight="1">
      <c r="A162" s="141" t="s">
        <v>166</v>
      </c>
      <c r="B162" s="170" t="s">
        <v>245</v>
      </c>
      <c r="C162" s="170"/>
      <c r="D162" s="170" t="s">
        <v>168</v>
      </c>
      <c r="E162" s="168"/>
      <c r="F162" s="168" t="s">
        <v>266</v>
      </c>
      <c r="G162" s="168" t="s">
        <v>247</v>
      </c>
      <c r="H162" s="168"/>
      <c r="I162" s="168" t="s">
        <v>267</v>
      </c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12">
        <v>20.409880000000001</v>
      </c>
      <c r="V162" s="112">
        <v>20.632380000000001</v>
      </c>
      <c r="W162" s="125">
        <v>24.426339166666665</v>
      </c>
      <c r="X162" s="125">
        <v>35.392682499999992</v>
      </c>
      <c r="Y162" s="125">
        <v>37.044029166666661</v>
      </c>
      <c r="Z162" s="125">
        <v>28.015037695378787</v>
      </c>
      <c r="AA162" s="125">
        <v>28.902376855075751</v>
      </c>
      <c r="AB162" s="125">
        <v>24.807816350454541</v>
      </c>
      <c r="AC162" s="125">
        <v>27.428288228484845</v>
      </c>
      <c r="AD162" s="125">
        <v>40.038148932045445</v>
      </c>
      <c r="AE162" s="125">
        <v>49.593850912515506</v>
      </c>
      <c r="AF162" s="125">
        <v>52.182273943056266</v>
      </c>
      <c r="AG162" s="125">
        <v>64.061284722222226</v>
      </c>
      <c r="AH162" s="125">
        <v>61.955541998889345</v>
      </c>
      <c r="AI162" s="125">
        <v>65.997891788723649</v>
      </c>
      <c r="AJ162" s="125">
        <v>67.546027714077425</v>
      </c>
      <c r="AK162" s="125">
        <v>69.130478812210413</v>
      </c>
      <c r="AL162" s="125">
        <v>70.752096940994008</v>
      </c>
      <c r="AM162" s="125">
        <v>72.411753940631385</v>
      </c>
      <c r="AN162" s="125">
        <v>74.110342102390263</v>
      </c>
      <c r="AO162" s="125">
        <v>75.848774648330647</v>
      </c>
      <c r="AP162" s="125">
        <v>77.627986222285898</v>
      </c>
      <c r="AQ162" s="125">
        <v>79.448933392360843</v>
      </c>
      <c r="AR162" s="125">
        <v>81.312595165217175</v>
      </c>
      <c r="AS162" s="125">
        <v>83.219973512422627</v>
      </c>
      <c r="AT162" s="125">
        <v>85.172093909146938</v>
      </c>
      <c r="AU162" s="125">
        <v>87.170005885494106</v>
      </c>
      <c r="AV162" s="125">
        <v>89.214783590767581</v>
      </c>
      <c r="AW162" s="125">
        <v>91.307526370971487</v>
      </c>
      <c r="AX162" s="125">
        <v>93.449359359858562</v>
      </c>
      <c r="AY162" s="125">
        <v>95.641434083842555</v>
      </c>
      <c r="AZ162" s="125">
        <v>97.884929081100182</v>
      </c>
      <c r="BA162" s="125">
        <v>100.18105053519562</v>
      </c>
      <c r="BB162" s="125">
        <v>102.53103292356818</v>
      </c>
      <c r="BC162" s="125">
        <f t="shared" si="70"/>
        <v>104.93613968123172</v>
      </c>
      <c r="BD162" s="125">
        <f t="shared" si="69"/>
        <v>107.39766388004277</v>
      </c>
      <c r="BE162" s="125">
        <f t="shared" si="69"/>
        <v>109.91692892390243</v>
      </c>
      <c r="BF162" s="125">
        <f t="shared" si="69"/>
        <v>112.49528926026586</v>
      </c>
      <c r="BG162" s="125">
        <f t="shared" si="69"/>
        <v>115.13413110834196</v>
      </c>
    </row>
    <row r="163" spans="1:59" ht="13.75" customHeight="1">
      <c r="A163" s="141" t="s">
        <v>166</v>
      </c>
      <c r="B163" s="170" t="s">
        <v>245</v>
      </c>
      <c r="C163" s="170"/>
      <c r="D163" s="170" t="s">
        <v>168</v>
      </c>
      <c r="E163" s="168"/>
      <c r="F163" s="168" t="s">
        <v>268</v>
      </c>
      <c r="G163" s="168" t="s">
        <v>247</v>
      </c>
      <c r="H163" s="168"/>
      <c r="I163" s="168" t="s">
        <v>259</v>
      </c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12">
        <v>83.242999999999995</v>
      </c>
      <c r="V163" s="112">
        <v>71.674999999999997</v>
      </c>
      <c r="W163" s="125">
        <v>92.597161666666665</v>
      </c>
      <c r="X163" s="125">
        <v>100.45788666666667</v>
      </c>
      <c r="Y163" s="125">
        <v>91.767039999999994</v>
      </c>
      <c r="Z163" s="125">
        <v>96.8</v>
      </c>
      <c r="AA163" s="125">
        <v>99.54</v>
      </c>
      <c r="AB163" s="125">
        <v>94.852255</v>
      </c>
      <c r="AC163" s="125">
        <v>92.129968333333338</v>
      </c>
      <c r="AD163" s="125">
        <v>111.96629666666668</v>
      </c>
      <c r="AE163" s="125">
        <v>104.67612262626261</v>
      </c>
      <c r="AF163" s="125">
        <v>111.86227560606061</v>
      </c>
      <c r="AG163" s="125">
        <v>122.33562735313572</v>
      </c>
      <c r="AH163" s="125">
        <v>123.99062510713568</v>
      </c>
      <c r="AI163" s="125">
        <v>126.67372537729987</v>
      </c>
      <c r="AJ163" s="125">
        <v>129.76456427650598</v>
      </c>
      <c r="AK163" s="125">
        <v>132.93081964485273</v>
      </c>
      <c r="AL163" s="125">
        <v>136.17433164418713</v>
      </c>
      <c r="AM163" s="125">
        <v>139.49698533630527</v>
      </c>
      <c r="AN163" s="125">
        <v>142.90071177851112</v>
      </c>
      <c r="AO163" s="125">
        <v>146.38748914590678</v>
      </c>
      <c r="AP163" s="125">
        <v>149.9593438810669</v>
      </c>
      <c r="AQ163" s="125">
        <v>153.61835187176493</v>
      </c>
      <c r="AR163" s="125">
        <v>157.36663965743597</v>
      </c>
      <c r="AS163" s="125">
        <v>161.20638566507739</v>
      </c>
      <c r="AT163" s="125">
        <v>165.13982147530527</v>
      </c>
      <c r="AU163" s="125">
        <v>169.16923311930273</v>
      </c>
      <c r="AV163" s="125">
        <v>173.29696240741373</v>
      </c>
      <c r="AW163" s="125">
        <v>177.52540829015462</v>
      </c>
      <c r="AX163" s="125">
        <v>181.85702825243436</v>
      </c>
      <c r="AY163" s="125">
        <v>186.29433974179375</v>
      </c>
      <c r="AZ163" s="125">
        <v>190.8399216314935</v>
      </c>
      <c r="BA163" s="125">
        <v>195.49641571930192</v>
      </c>
      <c r="BB163" s="125">
        <v>200.26652826285292</v>
      </c>
      <c r="BC163" s="125">
        <f t="shared" si="70"/>
        <v>205.15303155246656</v>
      </c>
      <c r="BD163" s="125">
        <f t="shared" si="69"/>
        <v>210.15876552234678</v>
      </c>
      <c r="BE163" s="125">
        <f t="shared" si="69"/>
        <v>215.28663940109209</v>
      </c>
      <c r="BF163" s="125">
        <f t="shared" si="69"/>
        <v>220.53963340247878</v>
      </c>
      <c r="BG163" s="125">
        <f t="shared" si="69"/>
        <v>225.9208004574993</v>
      </c>
    </row>
    <row r="164" spans="1:59" ht="13.75" customHeight="1">
      <c r="A164" s="141" t="s">
        <v>166</v>
      </c>
      <c r="B164" s="170" t="s">
        <v>245</v>
      </c>
      <c r="C164" s="170"/>
      <c r="D164" s="170" t="s">
        <v>168</v>
      </c>
      <c r="E164" s="168"/>
      <c r="F164" s="168" t="s">
        <v>269</v>
      </c>
      <c r="G164" s="168" t="s">
        <v>247</v>
      </c>
      <c r="H164" s="168"/>
      <c r="I164" s="168" t="s">
        <v>270</v>
      </c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12">
        <v>131.42721</v>
      </c>
      <c r="V164" s="112">
        <v>120.97136</v>
      </c>
      <c r="W164" s="125">
        <v>133.72499999999999</v>
      </c>
      <c r="X164" s="125">
        <v>145.58484848484849</v>
      </c>
      <c r="Y164" s="125">
        <v>135.05151515151513</v>
      </c>
      <c r="Z164" s="125">
        <v>135.28939393939393</v>
      </c>
      <c r="AA164" s="125">
        <v>143.50757575757578</v>
      </c>
      <c r="AB164" s="125">
        <v>135.38404634581104</v>
      </c>
      <c r="AC164" s="125">
        <v>135.79090909090908</v>
      </c>
      <c r="AD164" s="125">
        <v>164.1360606060606</v>
      </c>
      <c r="AE164" s="125">
        <v>152.64517676767676</v>
      </c>
      <c r="AF164" s="125">
        <v>164.48755050505048</v>
      </c>
      <c r="AG164" s="125">
        <v>179.27571823822043</v>
      </c>
      <c r="AH164" s="125">
        <v>181.70102080502318</v>
      </c>
      <c r="AI164" s="125">
        <v>185.63294757440448</v>
      </c>
      <c r="AJ164" s="125">
        <v>190.16239149521994</v>
      </c>
      <c r="AK164" s="125">
        <v>194.8023538477033</v>
      </c>
      <c r="AL164" s="125">
        <v>199.55553128158726</v>
      </c>
      <c r="AM164" s="125">
        <v>204.42468624485798</v>
      </c>
      <c r="AN164" s="125">
        <v>209.4126485892325</v>
      </c>
      <c r="AO164" s="125">
        <v>214.52231721480976</v>
      </c>
      <c r="AP164" s="125">
        <v>219.75666175485111</v>
      </c>
      <c r="AQ164" s="125">
        <v>225.11872430166946</v>
      </c>
      <c r="AR164" s="125">
        <v>230.61162117463019</v>
      </c>
      <c r="AS164" s="125">
        <v>236.23854473129117</v>
      </c>
      <c r="AT164" s="125">
        <v>242.00276522273467</v>
      </c>
      <c r="AU164" s="125">
        <v>247.90763269416939</v>
      </c>
      <c r="AV164" s="125">
        <v>253.95657893190713</v>
      </c>
      <c r="AW164" s="125">
        <v>260.15311945784566</v>
      </c>
      <c r="AX164" s="125">
        <v>266.50085557261707</v>
      </c>
      <c r="AY164" s="125">
        <v>273.00347644858891</v>
      </c>
      <c r="AZ164" s="125">
        <v>279.66476127393446</v>
      </c>
      <c r="BA164" s="125">
        <v>286.48858144901845</v>
      </c>
      <c r="BB164" s="125">
        <v>293.47890283637452</v>
      </c>
      <c r="BC164" s="125">
        <f>BB164*(1+((BB164-BA164)/BA164))</f>
        <v>300.63978806558202</v>
      </c>
      <c r="BD164" s="125">
        <f t="shared" si="69"/>
        <v>307.97539889438224</v>
      </c>
      <c r="BE164" s="125">
        <f t="shared" si="69"/>
        <v>315.48999862740516</v>
      </c>
      <c r="BF164" s="125">
        <f t="shared" si="69"/>
        <v>323.18795459391384</v>
      </c>
      <c r="BG164" s="125">
        <f t="shared" si="69"/>
        <v>331.07374068600535</v>
      </c>
    </row>
    <row r="165" spans="1:59" ht="13.75" customHeight="1">
      <c r="A165" s="141" t="s">
        <v>166</v>
      </c>
      <c r="B165" s="170" t="s">
        <v>245</v>
      </c>
      <c r="C165" s="170"/>
      <c r="D165" s="170" t="s">
        <v>168</v>
      </c>
      <c r="E165" s="168"/>
      <c r="F165" s="168" t="s">
        <v>271</v>
      </c>
      <c r="G165" s="168" t="s">
        <v>4</v>
      </c>
      <c r="H165" s="168"/>
      <c r="I165" s="168" t="s">
        <v>272</v>
      </c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12">
        <v>1173.0613252305516</v>
      </c>
      <c r="V165" s="112">
        <v>1024.5275006342308</v>
      </c>
      <c r="W165" s="126">
        <v>812.64130383333338</v>
      </c>
      <c r="X165" s="126">
        <v>672.17026616666658</v>
      </c>
      <c r="Y165" s="126">
        <v>721.18631749999997</v>
      </c>
      <c r="Z165" s="126">
        <v>735.930505090873</v>
      </c>
      <c r="AA165" s="126">
        <v>659.10197216970641</v>
      </c>
      <c r="AB165" s="126">
        <v>572.15331226761839</v>
      </c>
      <c r="AC165" s="126">
        <v>687.79318089474691</v>
      </c>
      <c r="AD165" s="126">
        <v>1148.8004242657116</v>
      </c>
      <c r="AE165" s="126">
        <v>1129.3519427725464</v>
      </c>
      <c r="AF165" s="126">
        <v>749.61428422807739</v>
      </c>
      <c r="AG165" s="126">
        <v>936.62270419093704</v>
      </c>
      <c r="AH165" s="126">
        <v>877.4109992115018</v>
      </c>
      <c r="AI165" s="126">
        <v>894.95921919573186</v>
      </c>
      <c r="AJ165" s="126">
        <v>912.85840357964651</v>
      </c>
      <c r="AK165" s="126">
        <v>931.11557165123941</v>
      </c>
      <c r="AL165" s="126">
        <v>949.73788308426424</v>
      </c>
      <c r="AM165" s="126">
        <v>968.73264074594954</v>
      </c>
      <c r="AN165" s="126">
        <v>988.10729356086858</v>
      </c>
      <c r="AO165" s="126">
        <v>1007.869439432086</v>
      </c>
      <c r="AP165" s="126">
        <v>1028.0268282207278</v>
      </c>
      <c r="AQ165" s="126">
        <v>1048.5873647851424</v>
      </c>
      <c r="AR165" s="126">
        <v>1069.5591120808454</v>
      </c>
      <c r="AS165" s="126">
        <v>1090.9502943224622</v>
      </c>
      <c r="AT165" s="126">
        <v>1112.7693002089115</v>
      </c>
      <c r="AU165" s="126">
        <v>1135.0246862130898</v>
      </c>
      <c r="AV165" s="126">
        <v>1157.7251799373516</v>
      </c>
      <c r="AW165" s="126">
        <v>1180.8796835360986</v>
      </c>
      <c r="AX165" s="126">
        <v>1204.4972772068206</v>
      </c>
      <c r="AY165" s="126">
        <v>1228.5872227509572</v>
      </c>
      <c r="AZ165" s="126">
        <v>1253.1589672059763</v>
      </c>
      <c r="BA165" s="126">
        <v>1278.2221465500959</v>
      </c>
      <c r="BB165" s="126">
        <v>1303.7865894810977</v>
      </c>
      <c r="BC165" s="126">
        <f>BB165*(1+((BB165-BA165)/BA165))</f>
        <v>1329.8623212707198</v>
      </c>
      <c r="BD165" s="126">
        <f t="shared" si="69"/>
        <v>1356.4595676961342</v>
      </c>
      <c r="BE165" s="126">
        <f t="shared" si="69"/>
        <v>1383.588759050057</v>
      </c>
      <c r="BF165" s="126">
        <f t="shared" si="69"/>
        <v>1411.260534231058</v>
      </c>
      <c r="BG165" s="126">
        <f t="shared" si="69"/>
        <v>1439.4857449156793</v>
      </c>
    </row>
    <row r="166" spans="1:59" ht="13.75" customHeight="1">
      <c r="A166" s="141" t="s">
        <v>166</v>
      </c>
      <c r="B166" s="170" t="s">
        <v>245</v>
      </c>
      <c r="C166" s="170"/>
      <c r="D166" s="170" t="s">
        <v>168</v>
      </c>
      <c r="E166" s="168"/>
      <c r="F166" s="168" t="s">
        <v>273</v>
      </c>
      <c r="G166" s="168" t="s">
        <v>4</v>
      </c>
      <c r="H166" s="168"/>
      <c r="I166" s="168" t="s">
        <v>272</v>
      </c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12">
        <v>129.02069087500004</v>
      </c>
      <c r="V166" s="112">
        <v>131.98453686666664</v>
      </c>
      <c r="W166" s="126">
        <v>556.94720481489435</v>
      </c>
      <c r="X166" s="126">
        <v>442.77075054518463</v>
      </c>
      <c r="Y166" s="126">
        <v>440.16745941199065</v>
      </c>
      <c r="Z166" s="126">
        <v>469.2187800294746</v>
      </c>
      <c r="AA166" s="126">
        <v>525.02049987495423</v>
      </c>
      <c r="AB166" s="126">
        <v>456.40623765205379</v>
      </c>
      <c r="AC166" s="126">
        <v>498.50449765343967</v>
      </c>
      <c r="AD166" s="126">
        <v>665.86946281127769</v>
      </c>
      <c r="AE166" s="126">
        <v>674.78767498593038</v>
      </c>
      <c r="AF166" s="126">
        <v>548.58130888590949</v>
      </c>
      <c r="AG166" s="126">
        <v>616.98046704916851</v>
      </c>
      <c r="AH166" s="126">
        <v>580.55440361516798</v>
      </c>
      <c r="AI166" s="126">
        <v>592.16549168747144</v>
      </c>
      <c r="AJ166" s="126">
        <v>604.00880152122079</v>
      </c>
      <c r="AK166" s="126">
        <v>616.08897755164526</v>
      </c>
      <c r="AL166" s="126">
        <v>628.41075710267819</v>
      </c>
      <c r="AM166" s="126">
        <v>640.97897224473184</v>
      </c>
      <c r="AN166" s="126">
        <v>653.79855168962649</v>
      </c>
      <c r="AO166" s="126">
        <v>666.87452272341898</v>
      </c>
      <c r="AP166" s="126">
        <v>680.21201317788734</v>
      </c>
      <c r="AQ166" s="126">
        <v>693.81625344144504</v>
      </c>
      <c r="AR166" s="126">
        <v>707.69257851027396</v>
      </c>
      <c r="AS166" s="126">
        <v>721.84643008047942</v>
      </c>
      <c r="AT166" s="126">
        <v>736.2833586820891</v>
      </c>
      <c r="AU166" s="126">
        <v>751.0090258557309</v>
      </c>
      <c r="AV166" s="126">
        <v>766.02920637284547</v>
      </c>
      <c r="AW166" s="126">
        <v>781.34979050030233</v>
      </c>
      <c r="AX166" s="126">
        <v>796.97678631030851</v>
      </c>
      <c r="AY166" s="126">
        <v>812.91632203651477</v>
      </c>
      <c r="AZ166" s="126">
        <v>829.174648477245</v>
      </c>
      <c r="BA166" s="126">
        <v>845.75814144678998</v>
      </c>
      <c r="BB166" s="126">
        <v>862.67330427572585</v>
      </c>
      <c r="BC166" s="126">
        <f t="shared" si="70"/>
        <v>879.92677036124041</v>
      </c>
      <c r="BD166" s="126">
        <f t="shared" si="69"/>
        <v>897.52530576846527</v>
      </c>
      <c r="BE166" s="126">
        <f t="shared" si="69"/>
        <v>915.47581188383458</v>
      </c>
      <c r="BF166" s="126">
        <f t="shared" si="69"/>
        <v>933.78532812151127</v>
      </c>
      <c r="BG166" s="126">
        <f t="shared" si="69"/>
        <v>952.46103468394153</v>
      </c>
    </row>
    <row r="167" spans="1:59" ht="13.75" customHeight="1">
      <c r="A167" s="141" t="s">
        <v>166</v>
      </c>
      <c r="B167" s="170" t="s">
        <v>245</v>
      </c>
      <c r="C167" s="170"/>
      <c r="D167" s="170" t="s">
        <v>168</v>
      </c>
      <c r="E167" s="168"/>
      <c r="F167" s="168" t="s">
        <v>274</v>
      </c>
      <c r="G167" s="168" t="s">
        <v>4</v>
      </c>
      <c r="H167" s="168"/>
      <c r="I167" s="168" t="s">
        <v>272</v>
      </c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12">
        <v>447.45807141666666</v>
      </c>
      <c r="V167" s="112">
        <v>434.78368204166662</v>
      </c>
      <c r="W167" s="126">
        <v>472.25501426105797</v>
      </c>
      <c r="X167" s="126">
        <v>348.53181687657968</v>
      </c>
      <c r="Y167" s="126">
        <v>355.8973554399517</v>
      </c>
      <c r="Z167" s="126">
        <v>374.51990404133363</v>
      </c>
      <c r="AA167" s="126">
        <v>371.25466540399742</v>
      </c>
      <c r="AB167" s="126">
        <v>375.93841238718528</v>
      </c>
      <c r="AC167" s="126">
        <v>419.49423270181006</v>
      </c>
      <c r="AD167" s="126">
        <v>645.3039703152142</v>
      </c>
      <c r="AE167" s="126">
        <v>591.22470916830036</v>
      </c>
      <c r="AF167" s="126">
        <v>430.71855232703871</v>
      </c>
      <c r="AG167" s="126">
        <v>492.30263601067998</v>
      </c>
      <c r="AH167" s="126">
        <v>460.97191233323417</v>
      </c>
      <c r="AI167" s="126">
        <v>470.19135057989894</v>
      </c>
      <c r="AJ167" s="126">
        <v>479.59517759149691</v>
      </c>
      <c r="AK167" s="126">
        <v>489.18708114332685</v>
      </c>
      <c r="AL167" s="126">
        <v>498.97082276619346</v>
      </c>
      <c r="AM167" s="126">
        <v>508.95023922151728</v>
      </c>
      <c r="AN167" s="126">
        <v>519.12924400594761</v>
      </c>
      <c r="AO167" s="126">
        <v>529.5118288860665</v>
      </c>
      <c r="AP167" s="126">
        <v>540.10206546378777</v>
      </c>
      <c r="AQ167" s="126">
        <v>550.90410677306352</v>
      </c>
      <c r="AR167" s="126">
        <v>561.92218890852484</v>
      </c>
      <c r="AS167" s="126">
        <v>573.16063268669529</v>
      </c>
      <c r="AT167" s="126">
        <v>584.62384534042917</v>
      </c>
      <c r="AU167" s="126">
        <v>596.31632224723774</v>
      </c>
      <c r="AV167" s="126">
        <v>608.24264869218257</v>
      </c>
      <c r="AW167" s="126">
        <v>620.40750166602618</v>
      </c>
      <c r="AX167" s="126">
        <v>632.81565169934663</v>
      </c>
      <c r="AY167" s="126">
        <v>645.47196473333361</v>
      </c>
      <c r="AZ167" s="126">
        <v>658.38140402800025</v>
      </c>
      <c r="BA167" s="126">
        <v>671.54903210856014</v>
      </c>
      <c r="BB167" s="126">
        <v>684.98001275073136</v>
      </c>
      <c r="BC167" s="126">
        <f t="shared" si="70"/>
        <v>698.67961300574598</v>
      </c>
      <c r="BD167" s="126">
        <f t="shared" si="69"/>
        <v>712.65320526586095</v>
      </c>
      <c r="BE167" s="126">
        <f t="shared" si="69"/>
        <v>726.90626937117815</v>
      </c>
      <c r="BF167" s="126">
        <f t="shared" si="69"/>
        <v>741.44439475860167</v>
      </c>
      <c r="BG167" s="126">
        <f t="shared" si="69"/>
        <v>756.27328265377378</v>
      </c>
    </row>
    <row r="168" spans="1:59" ht="13.75" customHeight="1">
      <c r="A168" s="141" t="s">
        <v>166</v>
      </c>
      <c r="B168" s="170" t="s">
        <v>245</v>
      </c>
      <c r="C168" s="170"/>
      <c r="D168" s="170" t="s">
        <v>168</v>
      </c>
      <c r="E168" s="168"/>
      <c r="F168" s="168" t="s">
        <v>275</v>
      </c>
      <c r="G168" s="168" t="s">
        <v>276</v>
      </c>
      <c r="H168" s="168"/>
      <c r="I168" s="168" t="s">
        <v>277</v>
      </c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12">
        <v>27.040000000000003</v>
      </c>
      <c r="V168" s="112">
        <v>31.97</v>
      </c>
      <c r="W168" s="125">
        <v>34.07</v>
      </c>
      <c r="X168" s="125">
        <v>41.71</v>
      </c>
      <c r="Y168" s="125">
        <v>41.84</v>
      </c>
      <c r="Z168" s="125">
        <v>35.645900000000005</v>
      </c>
      <c r="AA168" s="125">
        <v>38.979999999999997</v>
      </c>
      <c r="AB168" s="125">
        <v>41.64651666666667</v>
      </c>
      <c r="AC168" s="125">
        <v>43.524141666666665</v>
      </c>
      <c r="AD168" s="125">
        <v>55.998224999999998</v>
      </c>
      <c r="AE168" s="125">
        <v>55.313483333333338</v>
      </c>
      <c r="AF168" s="125">
        <v>58.217150000000004</v>
      </c>
      <c r="AG168" s="125">
        <v>65.933115812419686</v>
      </c>
      <c r="AH168" s="125">
        <v>66.971305160729727</v>
      </c>
      <c r="AI168" s="125">
        <v>68.65811190933573</v>
      </c>
      <c r="AJ168" s="125">
        <v>70.608002287560865</v>
      </c>
      <c r="AK168" s="125">
        <v>72.613269552527598</v>
      </c>
      <c r="AL168" s="125">
        <v>74.675486407819378</v>
      </c>
      <c r="AM168" s="125">
        <v>76.79627022180145</v>
      </c>
      <c r="AN168" s="125">
        <v>78.977284296100606</v>
      </c>
      <c r="AO168" s="125">
        <v>81.220239170109863</v>
      </c>
      <c r="AP168" s="125">
        <v>83.526893962540981</v>
      </c>
      <c r="AQ168" s="125">
        <v>85.899057751077137</v>
      </c>
      <c r="AR168" s="125">
        <v>88.338590991207724</v>
      </c>
      <c r="AS168" s="125">
        <v>90.847406975358027</v>
      </c>
      <c r="AT168" s="125">
        <v>93.427473333458195</v>
      </c>
      <c r="AU168" s="125">
        <v>96.080813576128406</v>
      </c>
      <c r="AV168" s="125">
        <v>98.809508681690446</v>
      </c>
      <c r="AW168" s="125">
        <v>101.61569872825045</v>
      </c>
      <c r="AX168" s="125">
        <v>104.50158457213276</v>
      </c>
      <c r="AY168" s="125">
        <v>107.46942957398133</v>
      </c>
      <c r="AZ168" s="125">
        <v>110.52156137388239</v>
      </c>
      <c r="BA168" s="125">
        <v>113.66037371690065</v>
      </c>
      <c r="BB168" s="125">
        <v>116.88832833046062</v>
      </c>
      <c r="BC168" s="125">
        <f t="shared" si="70"/>
        <v>120.20795685504571</v>
      </c>
      <c r="BD168" s="125">
        <f t="shared" si="70"/>
        <v>123.62186282972901</v>
      </c>
      <c r="BE168" s="125">
        <f t="shared" si="70"/>
        <v>127.13272373409332</v>
      </c>
      <c r="BF168" s="125">
        <f t="shared" si="70"/>
        <v>130.74329308814157</v>
      </c>
      <c r="BG168" s="125">
        <f t="shared" si="70"/>
        <v>134.45640261184479</v>
      </c>
    </row>
    <row r="169" spans="1:59" ht="13.75" customHeight="1">
      <c r="A169" s="141" t="s">
        <v>166</v>
      </c>
      <c r="B169" s="170" t="s">
        <v>245</v>
      </c>
      <c r="C169" s="170"/>
      <c r="D169" s="170" t="s">
        <v>168</v>
      </c>
      <c r="E169" s="168"/>
      <c r="F169" s="168" t="s">
        <v>278</v>
      </c>
      <c r="G169" s="168" t="s">
        <v>4</v>
      </c>
      <c r="H169" s="168"/>
      <c r="I169" s="168" t="s">
        <v>272</v>
      </c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12"/>
      <c r="U169" s="112">
        <v>1161.25</v>
      </c>
      <c r="V169" s="112">
        <v>1028.3333333333333</v>
      </c>
      <c r="W169" s="126">
        <v>806</v>
      </c>
      <c r="X169" s="126">
        <v>765</v>
      </c>
      <c r="Y169" s="126">
        <v>773</v>
      </c>
      <c r="Z169" s="126">
        <v>735</v>
      </c>
      <c r="AA169" s="126">
        <v>705</v>
      </c>
      <c r="AB169" s="126">
        <v>673.36250000000007</v>
      </c>
      <c r="AC169" s="126">
        <v>820.75278333333335</v>
      </c>
      <c r="AD169" s="126">
        <v>1339.09</v>
      </c>
      <c r="AE169" s="126">
        <v>1424.8333333333335</v>
      </c>
      <c r="AF169" s="126">
        <v>899.89703840843526</v>
      </c>
      <c r="AG169" s="126">
        <v>1163.8073564295014</v>
      </c>
      <c r="AH169" s="126">
        <v>1157.9386077017666</v>
      </c>
      <c r="AI169" s="126">
        <v>1181.097379855802</v>
      </c>
      <c r="AJ169" s="126">
        <v>1204.7193274529182</v>
      </c>
      <c r="AK169" s="126">
        <v>1228.8137140019765</v>
      </c>
      <c r="AL169" s="126">
        <v>1253.389988282016</v>
      </c>
      <c r="AM169" s="126">
        <v>1278.4577880476563</v>
      </c>
      <c r="AN169" s="126">
        <v>1304.0269438086095</v>
      </c>
      <c r="AO169" s="126">
        <v>1330.1074826847816</v>
      </c>
      <c r="AP169" s="126">
        <v>1356.7096323384774</v>
      </c>
      <c r="AQ169" s="126">
        <v>1383.843824985247</v>
      </c>
      <c r="AR169" s="126">
        <v>1411.520701484952</v>
      </c>
      <c r="AS169" s="126">
        <v>1439.751115514651</v>
      </c>
      <c r="AT169" s="126">
        <v>1468.546137824944</v>
      </c>
      <c r="AU169" s="126">
        <v>1497.9170605814429</v>
      </c>
      <c r="AV169" s="126">
        <v>1527.8754017930719</v>
      </c>
      <c r="AW169" s="126">
        <v>1558.4329098289334</v>
      </c>
      <c r="AX169" s="126">
        <v>1589.6015680255121</v>
      </c>
      <c r="AY169" s="126">
        <v>1621.3935993860223</v>
      </c>
      <c r="AZ169" s="126">
        <v>1653.8214713737427</v>
      </c>
      <c r="BA169" s="126">
        <v>1686.8979008012177</v>
      </c>
      <c r="BB169" s="126">
        <v>1720.635858817242</v>
      </c>
      <c r="BC169" s="126">
        <f t="shared" si="70"/>
        <v>1755.0485759935868</v>
      </c>
      <c r="BD169" s="126">
        <f t="shared" si="70"/>
        <v>1790.1495475134586</v>
      </c>
      <c r="BE169" s="126">
        <f t="shared" si="70"/>
        <v>1825.9525384637279</v>
      </c>
      <c r="BF169" s="126">
        <f t="shared" si="70"/>
        <v>1862.4715892330025</v>
      </c>
      <c r="BG169" s="126">
        <f t="shared" si="70"/>
        <v>1899.7210210176627</v>
      </c>
    </row>
    <row r="170" spans="1:59" ht="13.75" customHeight="1">
      <c r="A170" s="141" t="s">
        <v>166</v>
      </c>
      <c r="B170" s="170" t="s">
        <v>245</v>
      </c>
      <c r="C170" s="170"/>
      <c r="D170" s="170" t="s">
        <v>168</v>
      </c>
      <c r="E170" s="168"/>
      <c r="F170" s="168" t="s">
        <v>279</v>
      </c>
      <c r="G170" s="168" t="s">
        <v>250</v>
      </c>
      <c r="H170" s="168" t="s">
        <v>280</v>
      </c>
      <c r="I170" s="168" t="s">
        <v>281</v>
      </c>
      <c r="J170" s="109"/>
      <c r="K170" s="109"/>
      <c r="L170" s="109"/>
      <c r="M170" s="109"/>
      <c r="N170" s="109"/>
      <c r="O170" s="109"/>
      <c r="P170" s="109"/>
      <c r="Q170" s="109"/>
      <c r="R170" s="109"/>
      <c r="S170" s="109">
        <v>31.4</v>
      </c>
      <c r="T170" s="109">
        <v>38.200000000000003</v>
      </c>
      <c r="U170" s="112">
        <v>34.4</v>
      </c>
      <c r="V170" s="112">
        <v>33.200000000000003</v>
      </c>
      <c r="W170" s="125">
        <v>34.36363636363636</v>
      </c>
      <c r="X170" s="125">
        <v>53.872179090909086</v>
      </c>
      <c r="Y170" s="125">
        <v>57.872727272727268</v>
      </c>
      <c r="Z170" s="125">
        <v>46.599999999999994</v>
      </c>
      <c r="AA170" s="125">
        <v>48.8</v>
      </c>
      <c r="AB170" s="125">
        <v>48.081818181818178</v>
      </c>
      <c r="AC170" s="125">
        <v>62.343401981381518</v>
      </c>
      <c r="AD170" s="125">
        <v>86.212121212121204</v>
      </c>
      <c r="AE170" s="125">
        <v>87.799242424242408</v>
      </c>
      <c r="AF170" s="125">
        <v>77.182625033889295</v>
      </c>
      <c r="AG170" s="125">
        <v>87.707774978146489</v>
      </c>
      <c r="AH170" s="125">
        <v>94.24672884587001</v>
      </c>
      <c r="AI170" s="125">
        <v>101.59099245667407</v>
      </c>
      <c r="AJ170" s="125">
        <v>104.65904042886564</v>
      </c>
      <c r="AK170" s="125">
        <v>107.81974344981738</v>
      </c>
      <c r="AL170" s="125">
        <v>111.07589970200186</v>
      </c>
      <c r="AM170" s="125">
        <v>114.43039187300234</v>
      </c>
      <c r="AN170" s="125">
        <v>117.886189707567</v>
      </c>
      <c r="AO170" s="125">
        <v>121.44635263673554</v>
      </c>
      <c r="AP170" s="125">
        <v>125.11403248636495</v>
      </c>
      <c r="AQ170" s="125">
        <v>128.89247626745316</v>
      </c>
      <c r="AR170" s="125">
        <v>132.78502905073026</v>
      </c>
      <c r="AS170" s="125">
        <v>136.79513692806233</v>
      </c>
      <c r="AT170" s="125">
        <v>140.92635006328982</v>
      </c>
      <c r="AU170" s="125">
        <v>145.18232583520117</v>
      </c>
      <c r="AV170" s="125">
        <v>149.56683207542426</v>
      </c>
      <c r="AW170" s="125">
        <v>154.08375040410206</v>
      </c>
      <c r="AX170" s="125">
        <v>158.73707966630596</v>
      </c>
      <c r="AY170" s="125">
        <v>163.53093947222843</v>
      </c>
      <c r="AZ170" s="125">
        <v>168.46957384428976</v>
      </c>
      <c r="BA170" s="125">
        <v>173.55735497438729</v>
      </c>
      <c r="BB170" s="125">
        <v>178.79878709461377</v>
      </c>
      <c r="BC170" s="125">
        <f t="shared" si="70"/>
        <v>184.19851046487108</v>
      </c>
      <c r="BD170" s="125">
        <f t="shared" si="70"/>
        <v>189.76130548091015</v>
      </c>
      <c r="BE170" s="125">
        <f t="shared" si="70"/>
        <v>195.4920969064336</v>
      </c>
      <c r="BF170" s="125">
        <f t="shared" si="70"/>
        <v>201.39595823300786</v>
      </c>
      <c r="BG170" s="125">
        <f t="shared" si="70"/>
        <v>207.47811617164464</v>
      </c>
    </row>
    <row r="171" spans="1:59" ht="13.75" customHeight="1">
      <c r="A171" s="141" t="s">
        <v>166</v>
      </c>
      <c r="B171" s="170" t="s">
        <v>245</v>
      </c>
      <c r="C171" s="170"/>
      <c r="D171" s="170" t="s">
        <v>168</v>
      </c>
      <c r="E171" s="168"/>
      <c r="F171" s="168" t="s">
        <v>282</v>
      </c>
      <c r="G171" s="168" t="s">
        <v>247</v>
      </c>
      <c r="H171" s="168" t="s">
        <v>280</v>
      </c>
      <c r="I171" s="168" t="s">
        <v>283</v>
      </c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12">
        <v>6.6449999999999996</v>
      </c>
      <c r="V171" s="112">
        <v>9.9760000000000009</v>
      </c>
      <c r="W171" s="125">
        <v>8.8181818181818166</v>
      </c>
      <c r="X171" s="125">
        <v>13.363636363636362</v>
      </c>
      <c r="Y171" s="125">
        <v>12.454545454545453</v>
      </c>
      <c r="Z171" s="125">
        <v>8.5709090909090904</v>
      </c>
      <c r="AA171" s="125">
        <v>12.981666666666664</v>
      </c>
      <c r="AB171" s="125">
        <v>11.529356060606061</v>
      </c>
      <c r="AC171" s="125">
        <v>15.063042929292926</v>
      </c>
      <c r="AD171" s="125">
        <v>20.881666666666664</v>
      </c>
      <c r="AE171" s="125">
        <v>13.921559343434343</v>
      </c>
      <c r="AF171" s="125">
        <v>12.721352267241814</v>
      </c>
      <c r="AG171" s="125">
        <v>14.567374821104112</v>
      </c>
      <c r="AH171" s="125">
        <v>14.803914187606209</v>
      </c>
      <c r="AI171" s="125">
        <v>15.957522908003368</v>
      </c>
      <c r="AJ171" s="125">
        <v>16.43944009982507</v>
      </c>
      <c r="AK171" s="125">
        <v>16.935911190839786</v>
      </c>
      <c r="AL171" s="125">
        <v>17.447375708803147</v>
      </c>
      <c r="AM171" s="125">
        <v>17.974286455209</v>
      </c>
      <c r="AN171" s="125">
        <v>18.517109906156314</v>
      </c>
      <c r="AO171" s="125">
        <v>19.076326625322235</v>
      </c>
      <c r="AP171" s="125">
        <v>19.652431689406967</v>
      </c>
      <c r="AQ171" s="125">
        <v>20.245935126427057</v>
      </c>
      <c r="AR171" s="125">
        <v>20.857362367245155</v>
      </c>
      <c r="AS171" s="125">
        <v>21.487254710735961</v>
      </c>
      <c r="AT171" s="125">
        <v>22.136169803000186</v>
      </c>
      <c r="AU171" s="125">
        <v>22.804682131050793</v>
      </c>
      <c r="AV171" s="125">
        <v>23.493383531408526</v>
      </c>
      <c r="AW171" s="125">
        <v>24.202883714057062</v>
      </c>
      <c r="AX171" s="125">
        <v>24.933810802221586</v>
      </c>
      <c r="AY171" s="125">
        <v>25.686811888448677</v>
      </c>
      <c r="AZ171" s="125">
        <v>26.462553607479826</v>
      </c>
      <c r="BA171" s="125">
        <v>27.261722726425717</v>
      </c>
      <c r="BB171" s="125">
        <v>28.085026752763774</v>
      </c>
      <c r="BC171" s="125">
        <f t="shared" si="70"/>
        <v>28.933194560697242</v>
      </c>
      <c r="BD171" s="125">
        <f t="shared" si="70"/>
        <v>29.8069770364303</v>
      </c>
      <c r="BE171" s="125">
        <f t="shared" si="70"/>
        <v>30.707147742930495</v>
      </c>
      <c r="BF171" s="125">
        <f t="shared" si="70"/>
        <v>31.634503604766994</v>
      </c>
      <c r="BG171" s="125">
        <f t="shared" si="70"/>
        <v>32.589865613630955</v>
      </c>
    </row>
    <row r="172" spans="1:59" ht="13.75" customHeight="1">
      <c r="A172" s="141" t="s">
        <v>166</v>
      </c>
      <c r="B172" s="170" t="s">
        <v>245</v>
      </c>
      <c r="C172" s="170"/>
      <c r="D172" s="170" t="s">
        <v>168</v>
      </c>
      <c r="E172" s="168"/>
      <c r="F172" s="168" t="s">
        <v>284</v>
      </c>
      <c r="G172" s="168" t="s">
        <v>247</v>
      </c>
      <c r="H172" s="168"/>
      <c r="I172" s="168" t="s">
        <v>285</v>
      </c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25">
        <v>1.8075524999999999</v>
      </c>
      <c r="X172" s="125">
        <v>2.8490025000000001</v>
      </c>
      <c r="Y172" s="125">
        <v>2.8644758333333331</v>
      </c>
      <c r="Z172" s="125">
        <v>2.1530208333333336</v>
      </c>
      <c r="AA172" s="125">
        <v>2.5517666666666665</v>
      </c>
      <c r="AB172" s="125">
        <v>2.0988908333333334</v>
      </c>
      <c r="AC172" s="125">
        <v>2.8948900000000002</v>
      </c>
      <c r="AD172" s="125">
        <v>3.6032348404560608</v>
      </c>
      <c r="AE172" s="125">
        <v>4.3007196642437018</v>
      </c>
      <c r="AF172" s="125">
        <v>4.8077924042073068</v>
      </c>
      <c r="AG172" s="125">
        <v>5.4710624999999995</v>
      </c>
      <c r="AH172" s="125">
        <v>5.2912245511010756</v>
      </c>
      <c r="AI172" s="125">
        <v>5.6364556597643327</v>
      </c>
      <c r="AJ172" s="125">
        <v>5.7686719967115634</v>
      </c>
      <c r="AK172" s="125">
        <v>5.9039897791080209</v>
      </c>
      <c r="AL172" s="125">
        <v>6.042481758658198</v>
      </c>
      <c r="AM172" s="125">
        <v>6.1842223936290859</v>
      </c>
      <c r="AN172" s="125">
        <v>6.3292878888816224</v>
      </c>
      <c r="AO172" s="125">
        <v>6.4777562368411612</v>
      </c>
      <c r="AP172" s="125">
        <v>6.6297072594290025</v>
      </c>
      <c r="AQ172" s="125">
        <v>6.7852226509775306</v>
      </c>
      <c r="AR172" s="125">
        <v>6.9443860221520213</v>
      </c>
      <c r="AS172" s="125">
        <v>7.1072829449027424</v>
      </c>
      <c r="AT172" s="125">
        <v>7.274000998471509</v>
      </c>
      <c r="AU172" s="125">
        <v>7.4446298164774358</v>
      </c>
      <c r="AV172" s="125">
        <v>7.6192611351071893</v>
      </c>
      <c r="AW172" s="125">
        <v>7.7979888424356618</v>
      </c>
      <c r="AX172" s="125">
        <v>7.980909028903576</v>
      </c>
      <c r="AY172" s="125">
        <v>8.1681200389791577</v>
      </c>
      <c r="AZ172" s="125">
        <v>8.3597225240316622</v>
      </c>
      <c r="BA172" s="125">
        <v>8.5558194964451637</v>
      </c>
      <c r="BB172" s="125">
        <v>8.7565163850017171</v>
      </c>
      <c r="BC172" s="125">
        <f t="shared" si="70"/>
        <v>8.9619210915636671</v>
      </c>
      <c r="BD172" s="125">
        <f t="shared" si="70"/>
        <v>9.1721440490855617</v>
      </c>
      <c r="BE172" s="125">
        <f t="shared" si="70"/>
        <v>9.3872982809868812</v>
      </c>
      <c r="BF172" s="125">
        <f t="shared" si="70"/>
        <v>9.6074994619174916</v>
      </c>
      <c r="BG172" s="125">
        <f t="shared" si="70"/>
        <v>9.8328659799484939</v>
      </c>
    </row>
    <row r="173" spans="1:59" ht="13.75" customHeight="1">
      <c r="A173" s="141" t="s">
        <v>166</v>
      </c>
      <c r="B173" s="170" t="s">
        <v>245</v>
      </c>
      <c r="C173" s="170"/>
      <c r="D173" s="170" t="s">
        <v>168</v>
      </c>
      <c r="E173" s="168"/>
      <c r="F173" s="168" t="s">
        <v>286</v>
      </c>
      <c r="G173" s="168" t="s">
        <v>247</v>
      </c>
      <c r="H173" s="168"/>
      <c r="I173" s="168" t="s">
        <v>287</v>
      </c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12">
        <v>291</v>
      </c>
      <c r="V173" s="112">
        <v>305</v>
      </c>
      <c r="W173" s="126">
        <v>409.62687499999998</v>
      </c>
      <c r="X173" s="126">
        <v>444.61352333333326</v>
      </c>
      <c r="Y173" s="126">
        <v>433.9866591666667</v>
      </c>
      <c r="Z173" s="126">
        <v>425.00992583333328</v>
      </c>
      <c r="AA173" s="126">
        <v>430.87200000000001</v>
      </c>
      <c r="AB173" s="126">
        <v>457.83322678604645</v>
      </c>
      <c r="AC173" s="126">
        <v>459.79512560778295</v>
      </c>
      <c r="AD173" s="126">
        <v>492.84897756082313</v>
      </c>
      <c r="AE173" s="126">
        <v>568.43906756251056</v>
      </c>
      <c r="AF173" s="126">
        <v>537.44068512599324</v>
      </c>
      <c r="AG173" s="126">
        <v>601.43108030589326</v>
      </c>
      <c r="AH173" s="126">
        <v>610.76789044766826</v>
      </c>
      <c r="AI173" s="126">
        <v>625.93463791135548</v>
      </c>
      <c r="AJ173" s="126">
        <v>643.46080777287341</v>
      </c>
      <c r="AK173" s="126">
        <v>661.47771039051383</v>
      </c>
      <c r="AL173" s="126">
        <v>679.99908628144829</v>
      </c>
      <c r="AM173" s="126">
        <v>699.03906069732886</v>
      </c>
      <c r="AN173" s="126">
        <v>718.61215439685407</v>
      </c>
      <c r="AO173" s="126">
        <v>738.73329471996601</v>
      </c>
      <c r="AP173" s="126">
        <v>759.41782697212511</v>
      </c>
      <c r="AQ173" s="126">
        <v>780.68152612734468</v>
      </c>
      <c r="AR173" s="126">
        <v>802.54060885891033</v>
      </c>
      <c r="AS173" s="126">
        <v>825.01174590695985</v>
      </c>
      <c r="AT173" s="126">
        <v>848.11207479235475</v>
      </c>
      <c r="AU173" s="126">
        <v>871.85921288654072</v>
      </c>
      <c r="AV173" s="126">
        <v>896.27127084736389</v>
      </c>
      <c r="AW173" s="126">
        <v>921.3668664310901</v>
      </c>
      <c r="AX173" s="126">
        <v>947.16513869116068</v>
      </c>
      <c r="AY173" s="126">
        <v>973.68576257451321</v>
      </c>
      <c r="AZ173" s="126">
        <v>1000.9489639265996</v>
      </c>
      <c r="BA173" s="126">
        <v>1028.9755349165443</v>
      </c>
      <c r="BB173" s="126">
        <v>1057.7868498942075</v>
      </c>
      <c r="BC173" s="126">
        <f t="shared" si="70"/>
        <v>1087.4048816912455</v>
      </c>
      <c r="BD173" s="126">
        <f t="shared" si="70"/>
        <v>1117.8522183786004</v>
      </c>
      <c r="BE173" s="126">
        <f t="shared" si="70"/>
        <v>1149.1520804932011</v>
      </c>
      <c r="BF173" s="126">
        <f t="shared" si="70"/>
        <v>1181.3283387470108</v>
      </c>
      <c r="BG173" s="126">
        <f t="shared" si="70"/>
        <v>1214.4055322319271</v>
      </c>
    </row>
    <row r="174" spans="1:59" ht="13.75" customHeight="1">
      <c r="A174" s="141" t="s">
        <v>166</v>
      </c>
      <c r="B174" s="170" t="s">
        <v>245</v>
      </c>
      <c r="C174" s="170"/>
      <c r="D174" s="170" t="s">
        <v>168</v>
      </c>
      <c r="E174" s="168"/>
      <c r="F174" s="168" t="s">
        <v>288</v>
      </c>
      <c r="G174" s="168" t="s">
        <v>247</v>
      </c>
      <c r="H174" s="168"/>
      <c r="I174" s="168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25"/>
      <c r="X174" s="125">
        <v>159.69812185610925</v>
      </c>
      <c r="Y174" s="125">
        <v>158.83013626384013</v>
      </c>
      <c r="Z174" s="125">
        <v>174.45152803719049</v>
      </c>
      <c r="AA174" s="125">
        <v>163.19999999999999</v>
      </c>
      <c r="AB174" s="125">
        <v>169.51750000000001</v>
      </c>
      <c r="AC174" s="125">
        <v>174.57916666666668</v>
      </c>
      <c r="AD174" s="125">
        <v>193.37333333333333</v>
      </c>
      <c r="AE174" s="125">
        <v>211.28121665989445</v>
      </c>
      <c r="AF174" s="125">
        <v>223.17376713296159</v>
      </c>
      <c r="AG174" s="125">
        <v>257.29958715643176</v>
      </c>
      <c r="AH174" s="125">
        <v>261.35105184786772</v>
      </c>
      <c r="AI174" s="125">
        <v>267.93370268547994</v>
      </c>
      <c r="AJ174" s="125">
        <v>275.54301984174759</v>
      </c>
      <c r="AK174" s="125">
        <v>283.36844160525322</v>
      </c>
      <c r="AL174" s="125">
        <v>291.41610534684241</v>
      </c>
      <c r="AM174" s="125">
        <v>299.69232273869272</v>
      </c>
      <c r="AN174" s="125">
        <v>308.20358470447161</v>
      </c>
      <c r="AO174" s="125">
        <v>316.95656651007857</v>
      </c>
      <c r="AP174" s="125">
        <v>325.9581329989648</v>
      </c>
      <c r="AQ174" s="125">
        <v>335.21534397613539</v>
      </c>
      <c r="AR174" s="125">
        <v>344.73545974505765</v>
      </c>
      <c r="AS174" s="125">
        <v>354.52594680181727</v>
      </c>
      <c r="AT174" s="125">
        <v>364.59448369098885</v>
      </c>
      <c r="AU174" s="125">
        <v>374.94896702781296</v>
      </c>
      <c r="AV174" s="125">
        <v>385.59751769140286</v>
      </c>
      <c r="AW174" s="125">
        <v>396.5484871938387</v>
      </c>
      <c r="AX174" s="125">
        <v>407.81046423014368</v>
      </c>
      <c r="AY174" s="125">
        <v>419.39228141427975</v>
      </c>
      <c r="AZ174" s="125">
        <v>431.30302220644529</v>
      </c>
      <c r="BA174" s="125">
        <v>443.55202803710836</v>
      </c>
      <c r="BB174" s="125">
        <v>456.14890563336223</v>
      </c>
      <c r="BC174" s="125">
        <f>BB174*(1+((BB174-BA174)/BA174))</f>
        <v>469.10353455334973</v>
      </c>
      <c r="BD174" s="125">
        <f t="shared" si="70"/>
        <v>482.42607493466488</v>
      </c>
      <c r="BE174" s="125">
        <f t="shared" si="70"/>
        <v>496.12697546280936</v>
      </c>
      <c r="BF174" s="125">
        <f t="shared" si="70"/>
        <v>510.21698156595312</v>
      </c>
      <c r="BG174" s="125">
        <f t="shared" si="70"/>
        <v>524.70714384242615</v>
      </c>
    </row>
    <row r="175" spans="1:59" ht="13.75" customHeight="1">
      <c r="A175" s="141" t="s">
        <v>166</v>
      </c>
      <c r="B175" s="170" t="s">
        <v>245</v>
      </c>
      <c r="C175" s="170"/>
      <c r="D175" s="170" t="s">
        <v>168</v>
      </c>
      <c r="E175" s="168"/>
      <c r="F175" s="168" t="s">
        <v>289</v>
      </c>
      <c r="G175" s="168" t="s">
        <v>247</v>
      </c>
      <c r="H175" s="168"/>
      <c r="I175" s="168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</row>
    <row r="176" spans="1:59" ht="13.75" customHeight="1">
      <c r="A176" s="141" t="s">
        <v>166</v>
      </c>
      <c r="B176" s="170" t="s">
        <v>245</v>
      </c>
      <c r="C176" s="170"/>
      <c r="D176" s="170" t="s">
        <v>168</v>
      </c>
      <c r="E176" s="168"/>
      <c r="F176" s="168" t="s">
        <v>290</v>
      </c>
      <c r="G176" s="168" t="s">
        <v>291</v>
      </c>
      <c r="H176" s="168"/>
      <c r="I176" s="168" t="s">
        <v>292</v>
      </c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25">
        <v>72.705726666666678</v>
      </c>
      <c r="X176" s="125">
        <v>82.937836666666669</v>
      </c>
      <c r="Y176" s="125">
        <v>87.611999999999995</v>
      </c>
      <c r="Z176" s="125">
        <v>89.4</v>
      </c>
      <c r="AA176" s="125">
        <v>92.840503333333331</v>
      </c>
      <c r="AB176" s="125">
        <v>102.36471916666667</v>
      </c>
      <c r="AC176" s="125">
        <v>108.48993333333334</v>
      </c>
      <c r="AD176" s="125">
        <v>105.75087749999999</v>
      </c>
      <c r="AE176" s="125">
        <v>114.55738166666666</v>
      </c>
      <c r="AF176" s="125">
        <v>129.47461384176671</v>
      </c>
      <c r="AG176" s="125">
        <v>148.973240796337</v>
      </c>
      <c r="AH176" s="125">
        <v>155.00011601880837</v>
      </c>
      <c r="AI176" s="125">
        <v>161.26078628283909</v>
      </c>
      <c r="AJ176" s="125">
        <v>167.71121773415265</v>
      </c>
      <c r="AK176" s="125">
        <v>174.41966644351876</v>
      </c>
      <c r="AL176" s="125">
        <v>181.39645310125951</v>
      </c>
      <c r="AM176" s="125">
        <v>188.65231122530989</v>
      </c>
      <c r="AN176" s="125">
        <v>196.19840367432229</v>
      </c>
      <c r="AO176" s="125">
        <v>204.04633982129519</v>
      </c>
      <c r="AP176" s="125">
        <v>212.20819341414702</v>
      </c>
      <c r="AQ176" s="125">
        <v>220.6965211507129</v>
      </c>
      <c r="AR176" s="125">
        <v>229.52438199674143</v>
      </c>
      <c r="AS176" s="125">
        <v>238.7053572766111</v>
      </c>
      <c r="AT176" s="125">
        <v>248.25357156767555</v>
      </c>
      <c r="AU176" s="125">
        <v>258.18371443038257</v>
      </c>
      <c r="AV176" s="125">
        <v>268.5110630075979</v>
      </c>
      <c r="AW176" s="125">
        <v>279.25150552790183</v>
      </c>
      <c r="AX176" s="125">
        <v>290.42156574901793</v>
      </c>
      <c r="AY176" s="125">
        <v>302.03842837897867</v>
      </c>
      <c r="AZ176" s="125">
        <v>314.11996551413785</v>
      </c>
      <c r="BA176" s="125">
        <v>326.68476413470336</v>
      </c>
      <c r="BB176" s="125">
        <v>339.75215470009152</v>
      </c>
      <c r="BC176" s="125">
        <f t="shared" si="70"/>
        <v>353.3422408880952</v>
      </c>
      <c r="BD176" s="125">
        <f t="shared" si="70"/>
        <v>367.47593052361901</v>
      </c>
      <c r="BE176" s="125">
        <f t="shared" si="70"/>
        <v>382.17496774456379</v>
      </c>
      <c r="BF176" s="125">
        <f t="shared" si="70"/>
        <v>397.46196645434634</v>
      </c>
      <c r="BG176" s="125">
        <f t="shared" si="70"/>
        <v>413.36044511252021</v>
      </c>
    </row>
    <row r="177" spans="1:59" ht="13.75" customHeight="1">
      <c r="A177" s="141" t="s">
        <v>166</v>
      </c>
      <c r="B177" s="170" t="s">
        <v>245</v>
      </c>
      <c r="C177" s="170"/>
      <c r="D177" s="170" t="s">
        <v>168</v>
      </c>
      <c r="E177" s="168"/>
      <c r="F177" s="168" t="s">
        <v>293</v>
      </c>
      <c r="G177" s="168" t="s">
        <v>291</v>
      </c>
      <c r="H177" s="168"/>
      <c r="I177" s="168" t="s">
        <v>292</v>
      </c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25">
        <v>160.11000000000001</v>
      </c>
      <c r="X177" s="125">
        <v>164.14869583333333</v>
      </c>
      <c r="Y177" s="125">
        <v>157.62048583333336</v>
      </c>
      <c r="Z177" s="125">
        <v>156.45000000000002</v>
      </c>
      <c r="AA177" s="125">
        <v>162.47088083333333</v>
      </c>
      <c r="AB177" s="125">
        <v>179.13825854166669</v>
      </c>
      <c r="AC177" s="125">
        <v>189.85738333333333</v>
      </c>
      <c r="AD177" s="125">
        <v>185.06403562499997</v>
      </c>
      <c r="AE177" s="125">
        <v>200.47541791666666</v>
      </c>
      <c r="AF177" s="125">
        <v>226.58057422309173</v>
      </c>
      <c r="AG177" s="125">
        <v>260.70317139358974</v>
      </c>
      <c r="AH177" s="125">
        <v>271.25020303291467</v>
      </c>
      <c r="AI177" s="125">
        <v>282.20637599496843</v>
      </c>
      <c r="AJ177" s="125">
        <v>293.49463103476717</v>
      </c>
      <c r="AK177" s="125">
        <v>305.23441627615784</v>
      </c>
      <c r="AL177" s="125">
        <v>317.44379292720413</v>
      </c>
      <c r="AM177" s="125">
        <v>330.14154464429231</v>
      </c>
      <c r="AN177" s="125">
        <v>343.34720643006403</v>
      </c>
      <c r="AO177" s="125">
        <v>357.08109468726661</v>
      </c>
      <c r="AP177" s="125">
        <v>371.36433847475729</v>
      </c>
      <c r="AQ177" s="125">
        <v>386.21891201374757</v>
      </c>
      <c r="AR177" s="125">
        <v>401.66766849429752</v>
      </c>
      <c r="AS177" s="125">
        <v>417.73437523406943</v>
      </c>
      <c r="AT177" s="125">
        <v>434.44375024343219</v>
      </c>
      <c r="AU177" s="125">
        <v>451.82150025316946</v>
      </c>
      <c r="AV177" s="125">
        <v>469.89436026329633</v>
      </c>
      <c r="AW177" s="125">
        <v>488.6901346738282</v>
      </c>
      <c r="AX177" s="125">
        <v>508.23774006078139</v>
      </c>
      <c r="AY177" s="125">
        <v>528.56724966321269</v>
      </c>
      <c r="AZ177" s="125">
        <v>549.70993964974127</v>
      </c>
      <c r="BA177" s="125">
        <v>571.69833723573083</v>
      </c>
      <c r="BB177" s="125">
        <v>594.56627072516017</v>
      </c>
      <c r="BC177" s="125">
        <f>BB177*(1+((BB177-BA177)/BA177))</f>
        <v>618.34892155416674</v>
      </c>
      <c r="BD177" s="125">
        <f t="shared" si="70"/>
        <v>643.08287841633353</v>
      </c>
      <c r="BE177" s="125">
        <f t="shared" si="70"/>
        <v>668.806193552987</v>
      </c>
      <c r="BF177" s="125">
        <f t="shared" si="70"/>
        <v>695.5584412951066</v>
      </c>
      <c r="BG177" s="125">
        <f t="shared" si="70"/>
        <v>723.38077894691105</v>
      </c>
    </row>
    <row r="178" spans="1:59" ht="13.75" customHeight="1">
      <c r="A178" s="141" t="s">
        <v>166</v>
      </c>
      <c r="B178" s="170" t="s">
        <v>245</v>
      </c>
      <c r="C178" s="170"/>
      <c r="D178" s="170" t="s">
        <v>168</v>
      </c>
      <c r="E178" s="168"/>
      <c r="F178" s="168" t="s">
        <v>294</v>
      </c>
      <c r="G178" s="168" t="s">
        <v>4</v>
      </c>
      <c r="H178" s="168"/>
      <c r="I178" s="168" t="s">
        <v>295</v>
      </c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12">
        <v>2400</v>
      </c>
      <c r="V178" s="112">
        <v>2500</v>
      </c>
      <c r="W178" s="127">
        <v>3008.19</v>
      </c>
      <c r="X178" s="127">
        <v>3092.69</v>
      </c>
      <c r="Y178" s="127">
        <v>2851.0533955111755</v>
      </c>
      <c r="Z178" s="127">
        <v>2008.6695034688171</v>
      </c>
      <c r="AA178" s="127">
        <v>2307.2487056120212</v>
      </c>
      <c r="AB178" s="127">
        <v>2386.0315252475725</v>
      </c>
      <c r="AC178" s="127">
        <v>2519.9916495784919</v>
      </c>
      <c r="AD178" s="127">
        <v>2493.1796528954137</v>
      </c>
      <c r="AE178" s="127">
        <v>2471.6005263157895</v>
      </c>
      <c r="AF178" s="127">
        <v>3216.9100147024342</v>
      </c>
      <c r="AG178" s="127">
        <v>4506.666666666667</v>
      </c>
      <c r="AH178" s="127">
        <v>4325.260416666667</v>
      </c>
      <c r="AI178" s="127">
        <v>4411.765625</v>
      </c>
      <c r="AJ178" s="127">
        <v>4500.0009375</v>
      </c>
      <c r="AK178" s="127">
        <v>4590.0009562499999</v>
      </c>
      <c r="AL178" s="127">
        <v>4681.8009753750002</v>
      </c>
      <c r="AM178" s="127">
        <v>4775.4369948825006</v>
      </c>
      <c r="AN178" s="127">
        <v>4870.9457347801508</v>
      </c>
      <c r="AO178" s="127">
        <v>4968.364649475754</v>
      </c>
      <c r="AP178" s="127">
        <v>5067.7319424652696</v>
      </c>
      <c r="AQ178" s="127">
        <v>5169.0865813145747</v>
      </c>
      <c r="AR178" s="127">
        <v>5272.4683129408659</v>
      </c>
      <c r="AS178" s="127">
        <v>5377.9176791996833</v>
      </c>
      <c r="AT178" s="127">
        <v>5485.4760327836775</v>
      </c>
      <c r="AU178" s="127">
        <v>5595.1855534393508</v>
      </c>
      <c r="AV178" s="127">
        <v>5707.0892645081376</v>
      </c>
      <c r="AW178" s="127">
        <v>5821.2310497983008</v>
      </c>
      <c r="AX178" s="127">
        <v>5937.6556707942673</v>
      </c>
      <c r="AY178" s="127">
        <v>6056.4087842101526</v>
      </c>
      <c r="AZ178" s="127">
        <v>6177.5369598943562</v>
      </c>
      <c r="BA178" s="127">
        <v>6301.0876990922434</v>
      </c>
      <c r="BB178" s="127">
        <v>6427.1094530740884</v>
      </c>
      <c r="BC178" s="127">
        <f>BB178*(1+((BB178-BA178)/BA178))</f>
        <v>6555.65164213557</v>
      </c>
      <c r="BD178" s="127">
        <f t="shared" si="70"/>
        <v>6686.7646749782816</v>
      </c>
      <c r="BE178" s="127">
        <f t="shared" si="70"/>
        <v>6820.4999684778477</v>
      </c>
      <c r="BF178" s="127">
        <f t="shared" si="70"/>
        <v>6956.9099678474049</v>
      </c>
      <c r="BG178" s="127">
        <f>BF178*(1+((BF178-BE178)/BE178))</f>
        <v>7096.0481672043534</v>
      </c>
    </row>
    <row r="179" spans="1:59" ht="13.75" customHeight="1">
      <c r="A179" s="141" t="s">
        <v>166</v>
      </c>
      <c r="B179" s="170" t="s">
        <v>245</v>
      </c>
      <c r="C179" s="170"/>
      <c r="D179" s="170" t="s">
        <v>168</v>
      </c>
      <c r="E179" s="168"/>
      <c r="F179" s="168" t="s">
        <v>296</v>
      </c>
      <c r="G179" s="168" t="s">
        <v>297</v>
      </c>
      <c r="H179" s="168"/>
      <c r="I179" s="168" t="s">
        <v>298</v>
      </c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12">
        <v>74568</v>
      </c>
      <c r="V179" s="112">
        <v>79550</v>
      </c>
      <c r="W179" s="127">
        <v>115454.3322</v>
      </c>
      <c r="X179" s="127">
        <v>188468.52859999999</v>
      </c>
      <c r="Y179" s="127">
        <v>191163.13016902431</v>
      </c>
      <c r="Z179" s="127">
        <v>117101.7855445181</v>
      </c>
      <c r="AA179" s="127">
        <v>145186.83066199592</v>
      </c>
      <c r="AB179" s="127">
        <v>154253.5816147484</v>
      </c>
      <c r="AC179" s="127">
        <v>181836.55732445544</v>
      </c>
      <c r="AD179" s="127">
        <v>183726.33154162459</v>
      </c>
      <c r="AE179" s="127">
        <v>170492.05879749698</v>
      </c>
      <c r="AF179" s="127">
        <v>276752.38969881803</v>
      </c>
      <c r="AG179" s="127">
        <v>354884.23611111107</v>
      </c>
      <c r="AH179" s="127">
        <v>367863.39843750012</v>
      </c>
      <c r="AI179" s="127">
        <v>396529.49437499995</v>
      </c>
      <c r="AJ179" s="127">
        <v>408504.68510512495</v>
      </c>
      <c r="AK179" s="127">
        <v>420841.52659529971</v>
      </c>
      <c r="AL179" s="127">
        <v>433550.94069847779</v>
      </c>
      <c r="AM179" s="127">
        <v>446644.17910757184</v>
      </c>
      <c r="AN179" s="127">
        <v>460132.8333166205</v>
      </c>
      <c r="AO179" s="127">
        <v>474028.84488278243</v>
      </c>
      <c r="AP179" s="127">
        <v>488344.51599824254</v>
      </c>
      <c r="AQ179" s="127">
        <v>503092.52038138948</v>
      </c>
      <c r="AR179" s="127">
        <v>518285.91449690738</v>
      </c>
      <c r="AS179" s="127">
        <v>533938.149114714</v>
      </c>
      <c r="AT179" s="127">
        <v>550063.08121797838</v>
      </c>
      <c r="AU179" s="127">
        <v>566674.98627076135</v>
      </c>
      <c r="AV179" s="127">
        <v>583788.57085613837</v>
      </c>
      <c r="AW179" s="127">
        <v>601418.98569599376</v>
      </c>
      <c r="AX179" s="127">
        <v>619581.83906401286</v>
      </c>
      <c r="AY179" s="127">
        <v>638293.210603746</v>
      </c>
      <c r="AZ179" s="127">
        <v>657569.6655639793</v>
      </c>
      <c r="BA179" s="127">
        <v>677428.26946401154</v>
      </c>
      <c r="BB179" s="127">
        <v>697886.60320182471</v>
      </c>
      <c r="BC179" s="127">
        <f t="shared" si="70"/>
        <v>718962.77861851978</v>
      </c>
      <c r="BD179" s="127">
        <f t="shared" si="70"/>
        <v>740675.45453279908</v>
      </c>
      <c r="BE179" s="127">
        <f t="shared" si="70"/>
        <v>763043.85325968964</v>
      </c>
      <c r="BF179" s="127">
        <f t="shared" si="70"/>
        <v>786087.77762813226</v>
      </c>
      <c r="BG179" s="127">
        <f t="shared" si="70"/>
        <v>809827.62851250183</v>
      </c>
    </row>
    <row r="180" spans="1:59" ht="13.75" customHeight="1">
      <c r="A180" s="141" t="s">
        <v>166</v>
      </c>
      <c r="B180" s="170" t="s">
        <v>245</v>
      </c>
      <c r="C180" s="170"/>
      <c r="D180" s="170" t="s">
        <v>168</v>
      </c>
      <c r="E180" s="168"/>
      <c r="F180" s="168" t="s">
        <v>299</v>
      </c>
      <c r="G180" s="168" t="s">
        <v>247</v>
      </c>
      <c r="H180" s="168" t="s">
        <v>280</v>
      </c>
      <c r="I180" s="168" t="s">
        <v>248</v>
      </c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>
        <v>34.200000000000003</v>
      </c>
      <c r="U180" s="112">
        <v>30.4</v>
      </c>
      <c r="V180" s="112">
        <v>27.8</v>
      </c>
      <c r="W180" s="125">
        <v>28.036363636363635</v>
      </c>
      <c r="X180" s="125">
        <v>44.893482575757574</v>
      </c>
      <c r="Y180" s="125">
        <v>48.563636363636363</v>
      </c>
      <c r="Z180" s="125">
        <v>39.118181818181817</v>
      </c>
      <c r="AA180" s="125">
        <v>40.590909090909086</v>
      </c>
      <c r="AB180" s="125">
        <v>39.521148992424237</v>
      </c>
      <c r="AC180" s="125">
        <v>55.926452022727275</v>
      </c>
      <c r="AD180" s="125">
        <v>88.908964643939385</v>
      </c>
      <c r="AE180" s="125">
        <v>77.95915404040403</v>
      </c>
      <c r="AF180" s="125">
        <v>68.508130084394338</v>
      </c>
      <c r="AG180" s="125">
        <v>77.707774978146489</v>
      </c>
      <c r="AH180" s="125">
        <v>83.501190167075251</v>
      </c>
      <c r="AI180" s="125">
        <v>90.008097726761392</v>
      </c>
      <c r="AJ180" s="125">
        <v>92.726342278109584</v>
      </c>
      <c r="AK180" s="125">
        <v>95.526677814908496</v>
      </c>
      <c r="AL180" s="125">
        <v>98.411583484918737</v>
      </c>
      <c r="AM180" s="125">
        <v>101.3836133061633</v>
      </c>
      <c r="AN180" s="125">
        <v>104.44539842800943</v>
      </c>
      <c r="AO180" s="125">
        <v>107.59964946053532</v>
      </c>
      <c r="AP180" s="125">
        <v>110.84915887424349</v>
      </c>
      <c r="AQ180" s="125">
        <v>114.19680347224565</v>
      </c>
      <c r="AR180" s="125">
        <v>117.64554693710747</v>
      </c>
      <c r="AS180" s="125">
        <v>121.19844245460813</v>
      </c>
      <c r="AT180" s="125">
        <v>124.8586354167373</v>
      </c>
      <c r="AU180" s="125">
        <v>128.62936620632277</v>
      </c>
      <c r="AV180" s="125">
        <v>132.51397306575373</v>
      </c>
      <c r="AW180" s="125">
        <v>136.51589505233949</v>
      </c>
      <c r="AX180" s="125">
        <v>140.63867508292014</v>
      </c>
      <c r="AY180" s="125">
        <v>144.88596307042434</v>
      </c>
      <c r="AZ180" s="125">
        <v>149.26151915515118</v>
      </c>
      <c r="BA180" s="125">
        <v>153.76921703363675</v>
      </c>
      <c r="BB180" s="125">
        <v>158.41304738805258</v>
      </c>
      <c r="BC180" s="125">
        <f t="shared" si="70"/>
        <v>163.19712141917176</v>
      </c>
      <c r="BD180" s="125">
        <f t="shared" si="70"/>
        <v>168.12567448603076</v>
      </c>
      <c r="BE180" s="125">
        <f t="shared" si="70"/>
        <v>173.20306985550889</v>
      </c>
      <c r="BF180" s="125">
        <f t="shared" si="70"/>
        <v>178.43380256514524</v>
      </c>
      <c r="BG180" s="125">
        <f t="shared" si="70"/>
        <v>183.82250340261263</v>
      </c>
    </row>
    <row r="181" spans="1:59" ht="13.75" customHeight="1">
      <c r="A181" s="141" t="s">
        <v>166</v>
      </c>
      <c r="B181" s="170" t="s">
        <v>245</v>
      </c>
      <c r="C181" s="170"/>
      <c r="D181" s="170" t="s">
        <v>168</v>
      </c>
      <c r="E181" s="168"/>
      <c r="F181" s="168" t="s">
        <v>300</v>
      </c>
      <c r="G181" s="168" t="s">
        <v>4</v>
      </c>
      <c r="H181" s="168"/>
      <c r="I181" s="168" t="s">
        <v>295</v>
      </c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12">
        <v>1677.2727272727273</v>
      </c>
      <c r="V181" s="112">
        <v>1115</v>
      </c>
      <c r="W181" s="127">
        <v>1280</v>
      </c>
      <c r="X181" s="127">
        <v>1110</v>
      </c>
      <c r="Y181" s="127">
        <v>1475</v>
      </c>
      <c r="Z181" s="127">
        <v>1650.65</v>
      </c>
      <c r="AA181" s="127">
        <v>996.86500000000001</v>
      </c>
      <c r="AB181" s="127">
        <v>734.59833333333336</v>
      </c>
      <c r="AC181" s="127">
        <v>1010.4037141479876</v>
      </c>
      <c r="AD181" s="127">
        <v>1636.3133333333333</v>
      </c>
      <c r="AE181" s="127">
        <v>1634.6375</v>
      </c>
      <c r="AF181" s="127">
        <v>1058.2141666666666</v>
      </c>
      <c r="AG181" s="127">
        <v>1375</v>
      </c>
      <c r="AH181" s="127">
        <v>1375</v>
      </c>
      <c r="AI181" s="127">
        <v>1375</v>
      </c>
      <c r="AJ181" s="127">
        <v>1375</v>
      </c>
      <c r="AK181" s="127">
        <v>1375</v>
      </c>
      <c r="AL181" s="127">
        <v>1375</v>
      </c>
      <c r="AM181" s="127">
        <v>1375</v>
      </c>
      <c r="AN181" s="127">
        <v>1375</v>
      </c>
      <c r="AO181" s="127">
        <v>1375</v>
      </c>
      <c r="AP181" s="127">
        <v>1375</v>
      </c>
      <c r="AQ181" s="127">
        <v>1375</v>
      </c>
      <c r="AR181" s="127">
        <v>1375</v>
      </c>
      <c r="AS181" s="127">
        <v>1375</v>
      </c>
      <c r="AT181" s="127">
        <v>1375</v>
      </c>
      <c r="AU181" s="127">
        <v>1375</v>
      </c>
      <c r="AV181" s="127">
        <v>1375</v>
      </c>
      <c r="AW181" s="127">
        <v>1375</v>
      </c>
      <c r="AX181" s="127">
        <v>1375</v>
      </c>
      <c r="AY181" s="127">
        <v>1375</v>
      </c>
      <c r="AZ181" s="127">
        <v>1375</v>
      </c>
      <c r="BA181" s="127">
        <v>1375</v>
      </c>
      <c r="BB181" s="127">
        <v>1375</v>
      </c>
      <c r="BC181" s="127">
        <f t="shared" si="70"/>
        <v>1375</v>
      </c>
      <c r="BD181" s="127">
        <f t="shared" si="70"/>
        <v>1375</v>
      </c>
      <c r="BE181" s="127">
        <f t="shared" si="70"/>
        <v>1375</v>
      </c>
      <c r="BF181" s="127">
        <f t="shared" si="70"/>
        <v>1375</v>
      </c>
      <c r="BG181" s="127">
        <f t="shared" si="70"/>
        <v>1375</v>
      </c>
    </row>
    <row r="182" spans="1:59" ht="13.75" customHeight="1">
      <c r="A182" s="141" t="s">
        <v>166</v>
      </c>
      <c r="B182" s="170" t="s">
        <v>245</v>
      </c>
      <c r="C182" s="170"/>
      <c r="D182" s="170" t="s">
        <v>168</v>
      </c>
      <c r="E182" s="168"/>
      <c r="F182" s="168" t="s">
        <v>301</v>
      </c>
      <c r="G182" s="168" t="s">
        <v>297</v>
      </c>
      <c r="H182" s="168"/>
      <c r="I182" s="168" t="s">
        <v>298</v>
      </c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27">
        <v>49126.400000000001</v>
      </c>
      <c r="X182" s="127">
        <v>67643.399999999994</v>
      </c>
      <c r="Y182" s="127">
        <v>98898.75</v>
      </c>
      <c r="Z182" s="127">
        <v>96229.898435384661</v>
      </c>
      <c r="AA182" s="127">
        <v>62729.115242684253</v>
      </c>
      <c r="AB182" s="127">
        <v>47489.005670583334</v>
      </c>
      <c r="AC182" s="127">
        <v>73365.006158063814</v>
      </c>
      <c r="AD182" s="127">
        <v>120513.14708491668</v>
      </c>
      <c r="AE182" s="127">
        <v>116018.61214635726</v>
      </c>
      <c r="AF182" s="127">
        <v>89854.151458333334</v>
      </c>
      <c r="AG182" s="127">
        <v>108281.25</v>
      </c>
      <c r="AH182" s="127">
        <v>116943.75000000003</v>
      </c>
      <c r="AI182" s="127">
        <v>123585</v>
      </c>
      <c r="AJ182" s="127">
        <v>124820.84999999999</v>
      </c>
      <c r="AK182" s="127">
        <v>126069.05849999998</v>
      </c>
      <c r="AL182" s="127">
        <v>127329.74908499999</v>
      </c>
      <c r="AM182" s="127">
        <v>128603.04657584998</v>
      </c>
      <c r="AN182" s="127">
        <v>129889.07704160847</v>
      </c>
      <c r="AO182" s="127">
        <v>131187.96781202455</v>
      </c>
      <c r="AP182" s="127">
        <v>132499.84749014481</v>
      </c>
      <c r="AQ182" s="127">
        <v>133824.84596504626</v>
      </c>
      <c r="AR182" s="127">
        <v>135163.09442469673</v>
      </c>
      <c r="AS182" s="127">
        <v>136514.72536894371</v>
      </c>
      <c r="AT182" s="127">
        <v>137879.87262263312</v>
      </c>
      <c r="AU182" s="127">
        <v>139258.67134885947</v>
      </c>
      <c r="AV182" s="127">
        <v>140651.25806234806</v>
      </c>
      <c r="AW182" s="127">
        <v>142057.77064297153</v>
      </c>
      <c r="AX182" s="127">
        <v>143478.34834940126</v>
      </c>
      <c r="AY182" s="127">
        <v>144913.13183289528</v>
      </c>
      <c r="AZ182" s="127">
        <v>146362.26315122424</v>
      </c>
      <c r="BA182" s="127">
        <v>147825.8857827365</v>
      </c>
      <c r="BB182" s="127">
        <v>149304.14464056384</v>
      </c>
      <c r="BC182" s="127">
        <f t="shared" si="70"/>
        <v>150797.18608696945</v>
      </c>
      <c r="BD182" s="127">
        <f t="shared" si="70"/>
        <v>152305.15794783912</v>
      </c>
      <c r="BE182" s="127">
        <f t="shared" si="70"/>
        <v>153828.20952731749</v>
      </c>
      <c r="BF182" s="127">
        <f t="shared" si="70"/>
        <v>155366.49162259063</v>
      </c>
      <c r="BG182" s="127">
        <f t="shared" si="70"/>
        <v>156920.15653881652</v>
      </c>
    </row>
    <row r="183" spans="1:59" ht="13.75" customHeight="1">
      <c r="A183" s="141" t="s">
        <v>166</v>
      </c>
      <c r="B183" s="170" t="s">
        <v>245</v>
      </c>
      <c r="C183" s="170"/>
      <c r="D183" s="170" t="s">
        <v>168</v>
      </c>
      <c r="E183" s="168"/>
      <c r="F183" s="168" t="s">
        <v>302</v>
      </c>
      <c r="G183" s="168" t="s">
        <v>4</v>
      </c>
      <c r="H183" s="168"/>
      <c r="I183" s="168" t="s">
        <v>295</v>
      </c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12">
        <v>1087.5</v>
      </c>
      <c r="V183" s="112">
        <v>995.83333333333337</v>
      </c>
      <c r="W183" s="127">
        <v>739.52080460783225</v>
      </c>
      <c r="X183" s="127">
        <v>564.93138455031135</v>
      </c>
      <c r="Y183" s="127">
        <v>640.11994086753509</v>
      </c>
      <c r="Z183" s="127">
        <v>651.21444855267828</v>
      </c>
      <c r="AA183" s="127">
        <v>560.24543430363997</v>
      </c>
      <c r="AB183" s="127">
        <v>524.06742032293937</v>
      </c>
      <c r="AC183" s="127">
        <v>666.09517934025689</v>
      </c>
      <c r="AD183" s="127">
        <v>1073.1305688456789</v>
      </c>
      <c r="AE183" s="127">
        <v>1178.2859323886794</v>
      </c>
      <c r="AF183" s="127">
        <v>861.83470451480332</v>
      </c>
      <c r="AG183" s="127">
        <v>1101.3073564295014</v>
      </c>
      <c r="AH183" s="127">
        <v>1095.7537773846675</v>
      </c>
      <c r="AI183" s="127">
        <v>1117.6688529323608</v>
      </c>
      <c r="AJ183" s="127">
        <v>1140.0222299910081</v>
      </c>
      <c r="AK183" s="127">
        <v>1162.8226745908282</v>
      </c>
      <c r="AL183" s="127">
        <v>1186.0791280826447</v>
      </c>
      <c r="AM183" s="127">
        <v>1209.8007106442976</v>
      </c>
      <c r="AN183" s="127">
        <v>1233.9967248571836</v>
      </c>
      <c r="AO183" s="127">
        <v>1258.6766593543273</v>
      </c>
      <c r="AP183" s="127">
        <v>1283.8501925414139</v>
      </c>
      <c r="AQ183" s="127">
        <v>1309.5271963922421</v>
      </c>
      <c r="AR183" s="127">
        <v>1335.7177403200869</v>
      </c>
      <c r="AS183" s="127">
        <v>1362.4320951264888</v>
      </c>
      <c r="AT183" s="127">
        <v>1389.6807370290185</v>
      </c>
      <c r="AU183" s="127">
        <v>1417.4743517695988</v>
      </c>
      <c r="AV183" s="127">
        <v>1445.8238388049908</v>
      </c>
      <c r="AW183" s="127">
        <v>1474.7403155810907</v>
      </c>
      <c r="AX183" s="127">
        <v>1504.2351218927126</v>
      </c>
      <c r="AY183" s="127">
        <v>1534.3198243305669</v>
      </c>
      <c r="AZ183" s="127">
        <v>1565.0062208171782</v>
      </c>
      <c r="BA183" s="127">
        <v>1596.3063452335218</v>
      </c>
      <c r="BB183" s="127">
        <v>1628.2324721381922</v>
      </c>
      <c r="BC183" s="127">
        <f t="shared" si="70"/>
        <v>1660.7971215809559</v>
      </c>
      <c r="BD183" s="127">
        <f t="shared" si="70"/>
        <v>1694.0130640125751</v>
      </c>
      <c r="BE183" s="127">
        <f t="shared" si="70"/>
        <v>1727.8933252928266</v>
      </c>
      <c r="BF183" s="127">
        <f t="shared" si="70"/>
        <v>1762.4511917986831</v>
      </c>
      <c r="BG183" s="127">
        <f t="shared" si="70"/>
        <v>1797.7002156346568</v>
      </c>
    </row>
    <row r="184" spans="1:59" ht="13.75" customHeight="1">
      <c r="A184" s="141" t="s">
        <v>166</v>
      </c>
      <c r="B184" s="170" t="s">
        <v>245</v>
      </c>
      <c r="C184" s="170"/>
      <c r="D184" s="170" t="s">
        <v>168</v>
      </c>
      <c r="E184" s="168"/>
      <c r="F184" s="168" t="s">
        <v>303</v>
      </c>
      <c r="G184" s="168" t="s">
        <v>297</v>
      </c>
      <c r="H184" s="168"/>
      <c r="I184" s="168" t="s">
        <v>298</v>
      </c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27">
        <v>28382.808480848602</v>
      </c>
      <c r="X184" s="127">
        <v>34426.918574495976</v>
      </c>
      <c r="Y184" s="127">
        <v>42920.042035168226</v>
      </c>
      <c r="Z184" s="127">
        <v>37964.620145929941</v>
      </c>
      <c r="AA184" s="127">
        <v>35254.222399844235</v>
      </c>
      <c r="AB184" s="127">
        <v>33879.614025396615</v>
      </c>
      <c r="AC184" s="127">
        <v>48227.750908078793</v>
      </c>
      <c r="AD184" s="127">
        <v>79035.333625003288</v>
      </c>
      <c r="AE184" s="127">
        <v>83708.104862421547</v>
      </c>
      <c r="AF184" s="127">
        <v>73094.675187878893</v>
      </c>
      <c r="AG184" s="127">
        <v>86723.826736685383</v>
      </c>
      <c r="AH184" s="127">
        <v>93193.858766566002</v>
      </c>
      <c r="AI184" s="127">
        <v>100456.07650156059</v>
      </c>
      <c r="AJ184" s="127">
        <v>103489.85001190771</v>
      </c>
      <c r="AK184" s="127">
        <v>106615.24348226732</v>
      </c>
      <c r="AL184" s="127">
        <v>109835.02383543178</v>
      </c>
      <c r="AM184" s="127">
        <v>113152.04155526182</v>
      </c>
      <c r="AN184" s="127">
        <v>116569.23321023073</v>
      </c>
      <c r="AO184" s="127">
        <v>120089.62405317969</v>
      </c>
      <c r="AP184" s="127">
        <v>123716.33069958573</v>
      </c>
      <c r="AQ184" s="127">
        <v>127452.56388671322</v>
      </c>
      <c r="AR184" s="127">
        <v>131301.63131609195</v>
      </c>
      <c r="AS184" s="127">
        <v>135266.94058183796</v>
      </c>
      <c r="AT184" s="127">
        <v>139352.00218740944</v>
      </c>
      <c r="AU184" s="127">
        <v>143560.43265346921</v>
      </c>
      <c r="AV184" s="127">
        <v>147895.95771960399</v>
      </c>
      <c r="AW184" s="127">
        <v>152362.41564273604</v>
      </c>
      <c r="AX184" s="127">
        <v>156963.76059514668</v>
      </c>
      <c r="AY184" s="127">
        <v>161704.06616512011</v>
      </c>
      <c r="AZ184" s="127">
        <v>166587.52896330674</v>
      </c>
      <c r="BA184" s="127">
        <v>171618.47233799862</v>
      </c>
      <c r="BB184" s="127">
        <v>176801.35020260618</v>
      </c>
      <c r="BC184" s="127">
        <f t="shared" si="70"/>
        <v>182140.75097872489</v>
      </c>
      <c r="BD184" s="127">
        <f t="shared" si="70"/>
        <v>187641.40165828238</v>
      </c>
      <c r="BE184" s="127">
        <f t="shared" si="70"/>
        <v>193308.1719883625</v>
      </c>
      <c r="BF184" s="127">
        <f t="shared" si="70"/>
        <v>199146.07878241106</v>
      </c>
      <c r="BG184" s="127">
        <f t="shared" si="70"/>
        <v>205160.29036163987</v>
      </c>
    </row>
    <row r="185" spans="1:59" ht="13.75" customHeight="1">
      <c r="A185" s="141" t="s">
        <v>166</v>
      </c>
      <c r="B185" s="170" t="s">
        <v>245</v>
      </c>
      <c r="C185" s="170"/>
      <c r="D185" s="170" t="s">
        <v>168</v>
      </c>
      <c r="E185" s="168"/>
      <c r="F185" s="168" t="s">
        <v>304</v>
      </c>
      <c r="G185" s="168" t="s">
        <v>4</v>
      </c>
      <c r="H185" s="168"/>
      <c r="I185" s="168" t="s">
        <v>295</v>
      </c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12">
        <v>4589</v>
      </c>
      <c r="W185" s="127">
        <v>4991</v>
      </c>
      <c r="X185" s="127">
        <v>4908</v>
      </c>
      <c r="Y185" s="127">
        <v>4806</v>
      </c>
      <c r="Z185" s="127">
        <v>4679</v>
      </c>
      <c r="AA185" s="127">
        <v>4863</v>
      </c>
      <c r="AB185" s="127">
        <v>4577.8868055555549</v>
      </c>
      <c r="AC185" s="127">
        <v>4332.1555555555542</v>
      </c>
      <c r="AD185" s="127">
        <v>4154.7399629094825</v>
      </c>
      <c r="AE185" s="127">
        <v>4269.864526285387</v>
      </c>
      <c r="AF185" s="127">
        <v>4336.4153579789618</v>
      </c>
      <c r="AG185" s="127">
        <v>5150</v>
      </c>
      <c r="AH185" s="127">
        <v>5171.209579755724</v>
      </c>
      <c r="AI185" s="127">
        <v>5191.8944180747467</v>
      </c>
      <c r="AJ185" s="127">
        <v>5212.6619957470457</v>
      </c>
      <c r="AK185" s="127">
        <v>5233.5126437300341</v>
      </c>
      <c r="AL185" s="127">
        <v>5254.4466943049547</v>
      </c>
      <c r="AM185" s="127">
        <v>5275.4644810821746</v>
      </c>
      <c r="AN185" s="127">
        <v>5296.5663390065038</v>
      </c>
      <c r="AO185" s="127">
        <v>5317.7526043625294</v>
      </c>
      <c r="AP185" s="127">
        <v>5339.0236147799797</v>
      </c>
      <c r="AQ185" s="127">
        <v>5360.3797092390996</v>
      </c>
      <c r="AR185" s="127">
        <v>5381.8212280760563</v>
      </c>
      <c r="AS185" s="127">
        <v>5403.3485129883602</v>
      </c>
      <c r="AT185" s="127">
        <v>5424.9619070403132</v>
      </c>
      <c r="AU185" s="127">
        <v>5446.6617546684747</v>
      </c>
      <c r="AV185" s="127">
        <v>5468.4484016871484</v>
      </c>
      <c r="AW185" s="127">
        <v>5490.3221952938966</v>
      </c>
      <c r="AX185" s="127">
        <v>5512.283484075072</v>
      </c>
      <c r="AY185" s="127">
        <v>5534.3326180113727</v>
      </c>
      <c r="AZ185" s="127">
        <v>5556.4699484834182</v>
      </c>
      <c r="BA185" s="127">
        <v>5578.6958282773521</v>
      </c>
      <c r="BB185" s="127">
        <v>5601.0106115904618</v>
      </c>
      <c r="BC185" s="127">
        <f t="shared" si="70"/>
        <v>5623.4146540368238</v>
      </c>
      <c r="BD185" s="127">
        <f t="shared" si="70"/>
        <v>5645.9083126529713</v>
      </c>
      <c r="BE185" s="127">
        <f t="shared" si="70"/>
        <v>5668.4919459035827</v>
      </c>
      <c r="BF185" s="127">
        <f t="shared" si="70"/>
        <v>5691.1659136871967</v>
      </c>
      <c r="BG185" s="127">
        <f t="shared" si="70"/>
        <v>5713.9305773419455</v>
      </c>
    </row>
    <row r="186" spans="1:59" ht="13.75" customHeight="1">
      <c r="A186" s="141" t="s">
        <v>166</v>
      </c>
      <c r="B186" s="170" t="s">
        <v>245</v>
      </c>
      <c r="C186" s="170"/>
      <c r="D186" s="170" t="s">
        <v>168</v>
      </c>
      <c r="E186" s="168"/>
      <c r="F186" s="168" t="s">
        <v>305</v>
      </c>
      <c r="G186" s="168" t="s">
        <v>297</v>
      </c>
      <c r="H186" s="168"/>
      <c r="I186" s="168" t="s">
        <v>298</v>
      </c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12"/>
      <c r="W186" s="127">
        <v>191554.58000000002</v>
      </c>
      <c r="X186" s="127">
        <v>299093.51999999996</v>
      </c>
      <c r="Y186" s="127">
        <v>322242.3</v>
      </c>
      <c r="Z186" s="127">
        <v>272777.20581538475</v>
      </c>
      <c r="AA186" s="127">
        <v>306011.03201052651</v>
      </c>
      <c r="AB186" s="127">
        <v>296298.73582881945</v>
      </c>
      <c r="AC186" s="127">
        <v>312883.82082590269</v>
      </c>
      <c r="AD186" s="127">
        <v>306229.48506420822</v>
      </c>
      <c r="AE186" s="127">
        <v>292727.20492481248</v>
      </c>
      <c r="AF186" s="127">
        <v>367292.60251634225</v>
      </c>
      <c r="AG186" s="127">
        <v>405562.5</v>
      </c>
      <c r="AH186" s="127">
        <v>439811.37475822447</v>
      </c>
      <c r="AI186" s="127">
        <v>466647.47029655823</v>
      </c>
      <c r="AJ186" s="127">
        <v>473199.20077952184</v>
      </c>
      <c r="AK186" s="127">
        <v>479842.91755846638</v>
      </c>
      <c r="AL186" s="127">
        <v>486579.91212098725</v>
      </c>
      <c r="AM186" s="127">
        <v>493411.49408716592</v>
      </c>
      <c r="AN186" s="127">
        <v>500338.99146414979</v>
      </c>
      <c r="AO186" s="127">
        <v>507363.75090430636</v>
      </c>
      <c r="AP186" s="127">
        <v>514487.13796700287</v>
      </c>
      <c r="AQ186" s="127">
        <v>521710.53738405963</v>
      </c>
      <c r="AR186" s="127">
        <v>529035.35332893184</v>
      </c>
      <c r="AS186" s="127">
        <v>536463.00968967006</v>
      </c>
      <c r="AT186" s="127">
        <v>543994.95034571295</v>
      </c>
      <c r="AU186" s="127">
        <v>551632.63944856671</v>
      </c>
      <c r="AV186" s="127">
        <v>559377.56170642469</v>
      </c>
      <c r="AW186" s="127">
        <v>567231.22267278284</v>
      </c>
      <c r="AX186" s="127">
        <v>575195.14903910866</v>
      </c>
      <c r="AY186" s="127">
        <v>583270.88893161784</v>
      </c>
      <c r="AZ186" s="127">
        <v>591460.01221221779</v>
      </c>
      <c r="BA186" s="127">
        <v>599764.11078367732</v>
      </c>
      <c r="BB186" s="127">
        <v>608184.79889908026</v>
      </c>
      <c r="BC186" s="127">
        <f t="shared" si="70"/>
        <v>616723.71347562352</v>
      </c>
      <c r="BD186" s="127">
        <f t="shared" si="70"/>
        <v>625382.51441282139</v>
      </c>
      <c r="BE186" s="127">
        <f t="shared" si="70"/>
        <v>634162.88491517759</v>
      </c>
      <c r="BF186" s="127">
        <f t="shared" si="70"/>
        <v>643066.53181938687</v>
      </c>
      <c r="BG186" s="127">
        <f t="shared" si="70"/>
        <v>652095.18592613121</v>
      </c>
    </row>
    <row r="187" spans="1:59" ht="13.75" customHeight="1" outlineLevel="1">
      <c r="A187" s="141" t="s">
        <v>166</v>
      </c>
      <c r="B187" s="170" t="s">
        <v>245</v>
      </c>
      <c r="C187" s="170"/>
      <c r="D187" s="170" t="s">
        <v>168</v>
      </c>
      <c r="E187" s="168"/>
      <c r="F187" s="168" t="s">
        <v>306</v>
      </c>
      <c r="G187" s="168" t="s">
        <v>247</v>
      </c>
      <c r="H187" s="168"/>
      <c r="I187" s="168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25">
        <v>7.3541283333333327</v>
      </c>
      <c r="X187" s="125">
        <v>8.9003099999999993</v>
      </c>
      <c r="Y187" s="125">
        <v>9.4220333333333333</v>
      </c>
      <c r="Z187" s="125">
        <v>7.9033519174999984</v>
      </c>
      <c r="AA187" s="125">
        <v>8.6852742024999987</v>
      </c>
      <c r="AB187" s="125">
        <v>11.228012878787878</v>
      </c>
      <c r="AC187" s="125">
        <v>13.020615151515152</v>
      </c>
      <c r="AD187" s="125">
        <v>14.348793181818181</v>
      </c>
      <c r="AE187" s="125">
        <v>13.737011113636363</v>
      </c>
      <c r="AF187" s="125">
        <v>10.438509863825693</v>
      </c>
      <c r="AG187" s="125">
        <v>13.301963166599595</v>
      </c>
      <c r="AH187" s="125">
        <v>14.142298277518337</v>
      </c>
      <c r="AI187" s="125">
        <v>15.244349965514576</v>
      </c>
      <c r="AJ187" s="125">
        <v>15.704729334473116</v>
      </c>
      <c r="AK187" s="125">
        <v>16.179012160374203</v>
      </c>
      <c r="AL187" s="125">
        <v>16.667618327617504</v>
      </c>
      <c r="AM187" s="125">
        <v>17.170980401111553</v>
      </c>
      <c r="AN187" s="125">
        <v>17.68954400922512</v>
      </c>
      <c r="AO187" s="125">
        <v>18.223768238303716</v>
      </c>
      <c r="AP187" s="125">
        <v>18.774126039100491</v>
      </c>
      <c r="AQ187" s="125">
        <v>19.341104645481327</v>
      </c>
      <c r="AR187" s="125">
        <v>19.925206005774861</v>
      </c>
      <c r="AS187" s="125">
        <v>20.526947227149261</v>
      </c>
      <c r="AT187" s="125">
        <v>21.14686103340917</v>
      </c>
      <c r="AU187" s="125">
        <v>21.78549623661813</v>
      </c>
      <c r="AV187" s="125">
        <v>22.443418222963999</v>
      </c>
      <c r="AW187" s="125">
        <v>23.12120945329751</v>
      </c>
      <c r="AX187" s="125">
        <v>23.819469978787094</v>
      </c>
      <c r="AY187" s="125">
        <v>24.538817972146465</v>
      </c>
      <c r="AZ187" s="125">
        <v>25.279890274905288</v>
      </c>
      <c r="BA187" s="125">
        <v>26.043342961207426</v>
      </c>
      <c r="BB187" s="125">
        <v>26.829851918635892</v>
      </c>
      <c r="BC187" s="125">
        <f t="shared" si="70"/>
        <v>27.640113446578695</v>
      </c>
      <c r="BD187" s="125">
        <f t="shared" si="70"/>
        <v>28.474844872665372</v>
      </c>
      <c r="BE187" s="125">
        <f t="shared" si="70"/>
        <v>29.334785187819865</v>
      </c>
      <c r="BF187" s="125">
        <f t="shared" si="70"/>
        <v>30.220695700492026</v>
      </c>
      <c r="BG187" s="125">
        <f t="shared" si="70"/>
        <v>31.133360710646887</v>
      </c>
    </row>
    <row r="188" spans="1:59" ht="13.75" customHeight="1" outlineLevel="1">
      <c r="A188" s="141" t="s">
        <v>166</v>
      </c>
      <c r="B188" s="170" t="s">
        <v>245</v>
      </c>
      <c r="C188" s="170"/>
      <c r="D188" s="170" t="s">
        <v>168</v>
      </c>
      <c r="E188" s="168"/>
      <c r="F188" s="168" t="s">
        <v>307</v>
      </c>
      <c r="G188" s="168" t="s">
        <v>247</v>
      </c>
      <c r="H188" s="168"/>
      <c r="I188" s="168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25">
        <v>52.876262626262623</v>
      </c>
      <c r="X188" s="125">
        <v>72.011363636363626</v>
      </c>
      <c r="Y188" s="125">
        <v>68.712121212121204</v>
      </c>
      <c r="Z188" s="125">
        <v>59.318181818181813</v>
      </c>
      <c r="AA188" s="125">
        <v>70.454545454545453</v>
      </c>
      <c r="AB188" s="125">
        <v>98.333333333333329</v>
      </c>
      <c r="AC188" s="125">
        <v>79.25</v>
      </c>
      <c r="AD188" s="125">
        <v>67.272727272727266</v>
      </c>
      <c r="AE188" s="125">
        <v>83.443181818181813</v>
      </c>
      <c r="AF188" s="125">
        <v>91.81283333333333</v>
      </c>
      <c r="AG188" s="125">
        <v>111.47222222222221</v>
      </c>
      <c r="AH188" s="125">
        <v>121.04876759297581</v>
      </c>
      <c r="AI188" s="125">
        <v>129.07923250084755</v>
      </c>
      <c r="AJ188" s="125">
        <v>132.71410368807145</v>
      </c>
      <c r="AK188" s="125">
        <v>136.45133284792752</v>
      </c>
      <c r="AL188" s="125">
        <v>140.29380238092517</v>
      </c>
      <c r="AM188" s="125">
        <v>144.24447585597204</v>
      </c>
      <c r="AN188" s="125">
        <v>148.30640029607622</v>
      </c>
      <c r="AO188" s="125">
        <v>152.48270852841375</v>
      </c>
      <c r="AP188" s="125">
        <v>156.77662160057389</v>
      </c>
      <c r="AQ188" s="125">
        <v>161.19145126484605</v>
      </c>
      <c r="AR188" s="125">
        <v>165.7306025324641</v>
      </c>
      <c r="AS188" s="125">
        <v>170.39757629977831</v>
      </c>
      <c r="AT188" s="125">
        <v>175.19597204838007</v>
      </c>
      <c r="AU188" s="125">
        <v>180.12949062126245</v>
      </c>
      <c r="AV188" s="125">
        <v>185.20193707715725</v>
      </c>
      <c r="AW188" s="125">
        <v>190.41722362524999</v>
      </c>
      <c r="AX188" s="125">
        <v>195.77937264253706</v>
      </c>
      <c r="AY188" s="125">
        <v>201.29251977615093</v>
      </c>
      <c r="AZ188" s="125">
        <v>206.96091713304733</v>
      </c>
      <c r="BA188" s="125">
        <v>212.78893655951393</v>
      </c>
      <c r="BB188" s="125">
        <v>218.78107301302987</v>
      </c>
      <c r="BC188" s="125">
        <f t="shared" si="70"/>
        <v>224.94194802907683</v>
      </c>
      <c r="BD188" s="125">
        <f t="shared" si="70"/>
        <v>231.27631328557567</v>
      </c>
      <c r="BE188" s="125">
        <f t="shared" si="70"/>
        <v>237.78905426769751</v>
      </c>
      <c r="BF188" s="125">
        <f t="shared" si="70"/>
        <v>244.48519403587591</v>
      </c>
      <c r="BG188" s="125">
        <f t="shared" si="70"/>
        <v>251.36989709992622</v>
      </c>
    </row>
    <row r="189" spans="1:59" ht="13.75" customHeight="1" outlineLevel="1">
      <c r="A189" s="141" t="s">
        <v>166</v>
      </c>
      <c r="B189" s="170" t="s">
        <v>245</v>
      </c>
      <c r="C189" s="170"/>
      <c r="D189" s="170" t="s">
        <v>168</v>
      </c>
      <c r="E189" s="168"/>
      <c r="F189" s="168" t="s">
        <v>308</v>
      </c>
      <c r="G189" s="168" t="s">
        <v>4</v>
      </c>
      <c r="H189" s="168"/>
      <c r="I189" s="168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27">
        <v>1492.0833333333333</v>
      </c>
      <c r="X189" s="127">
        <v>1342.5</v>
      </c>
      <c r="Y189" s="127">
        <v>1165</v>
      </c>
      <c r="Z189" s="127">
        <v>1061.6666666666667</v>
      </c>
      <c r="AA189" s="127">
        <v>1300</v>
      </c>
      <c r="AB189" s="127">
        <v>1584.5833333333333</v>
      </c>
      <c r="AC189" s="127">
        <v>1267.9166666666665</v>
      </c>
      <c r="AD189" s="127">
        <v>1314.5833333333333</v>
      </c>
      <c r="AE189" s="127">
        <v>1508.3333333333333</v>
      </c>
      <c r="AF189" s="127">
        <v>1277.0833333333333</v>
      </c>
      <c r="AG189" s="127">
        <v>1562.5</v>
      </c>
      <c r="AH189" s="127">
        <v>1594.6747265711831</v>
      </c>
      <c r="AI189" s="127">
        <v>1626.5682211026067</v>
      </c>
      <c r="AJ189" s="127">
        <v>1659.0995855246588</v>
      </c>
      <c r="AK189" s="127">
        <v>1692.2815772351519</v>
      </c>
      <c r="AL189" s="127">
        <v>1726.127208779855</v>
      </c>
      <c r="AM189" s="127">
        <v>1760.6497529554522</v>
      </c>
      <c r="AN189" s="127">
        <v>1795.8627480145612</v>
      </c>
      <c r="AO189" s="127">
        <v>1831.7800029748526</v>
      </c>
      <c r="AP189" s="127">
        <v>1868.4156030343497</v>
      </c>
      <c r="AQ189" s="127">
        <v>1905.7839150950367</v>
      </c>
      <c r="AR189" s="127">
        <v>1943.8995933969375</v>
      </c>
      <c r="AS189" s="127">
        <v>1982.7775852648763</v>
      </c>
      <c r="AT189" s="127">
        <v>2022.4331369701738</v>
      </c>
      <c r="AU189" s="127">
        <v>2062.8817997095771</v>
      </c>
      <c r="AV189" s="127">
        <v>2104.1394357037689</v>
      </c>
      <c r="AW189" s="127">
        <v>2146.2222244178442</v>
      </c>
      <c r="AX189" s="127">
        <v>2189.1466689062013</v>
      </c>
      <c r="AY189" s="127">
        <v>2232.9296022843255</v>
      </c>
      <c r="AZ189" s="127">
        <v>2277.5881943300119</v>
      </c>
      <c r="BA189" s="127">
        <v>2323.1399582166123</v>
      </c>
      <c r="BB189" s="127">
        <v>2369.6027573809447</v>
      </c>
      <c r="BC189" s="127">
        <f t="shared" si="70"/>
        <v>2416.9948125285637</v>
      </c>
      <c r="BD189" s="127">
        <f t="shared" si="70"/>
        <v>2465.3347087791349</v>
      </c>
      <c r="BE189" s="127">
        <f t="shared" si="70"/>
        <v>2514.6414029547177</v>
      </c>
      <c r="BF189" s="127">
        <f t="shared" si="70"/>
        <v>2564.9342310138122</v>
      </c>
      <c r="BG189" s="127">
        <f t="shared" si="70"/>
        <v>2616.2329156340884</v>
      </c>
    </row>
    <row r="190" spans="1:59" ht="13.75" customHeight="1" outlineLevel="1">
      <c r="A190" s="141" t="s">
        <v>166</v>
      </c>
      <c r="B190" s="170" t="s">
        <v>245</v>
      </c>
      <c r="C190" s="170"/>
      <c r="D190" s="170" t="s">
        <v>168</v>
      </c>
      <c r="E190" s="168"/>
      <c r="F190" s="168" t="s">
        <v>309</v>
      </c>
      <c r="G190" s="168" t="s">
        <v>247</v>
      </c>
      <c r="H190" s="168"/>
      <c r="I190" s="168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25">
        <v>28.143939393939391</v>
      </c>
      <c r="X190" s="125">
        <v>60.275252525252519</v>
      </c>
      <c r="Y190" s="125">
        <v>61.36363636363636</v>
      </c>
      <c r="Z190" s="125">
        <v>46.13636363636364</v>
      </c>
      <c r="AA190" s="125">
        <v>39.318181818181813</v>
      </c>
      <c r="AB190" s="125">
        <v>53.939393939393938</v>
      </c>
      <c r="AC190" s="125">
        <v>50.830303030303028</v>
      </c>
      <c r="AD190" s="125">
        <v>61.666666666666671</v>
      </c>
      <c r="AE190" s="125">
        <v>70.291666666666657</v>
      </c>
      <c r="AF190" s="125">
        <v>59.582575757575754</v>
      </c>
      <c r="AG190" s="125">
        <v>71.526885025990765</v>
      </c>
      <c r="AH190" s="125">
        <v>78.83973445568968</v>
      </c>
      <c r="AI190" s="125">
        <v>84.983393762903404</v>
      </c>
      <c r="AJ190" s="125">
        <v>87.549892254543096</v>
      </c>
      <c r="AK190" s="125">
        <v>90.193899000630296</v>
      </c>
      <c r="AL190" s="125">
        <v>92.917754750449333</v>
      </c>
      <c r="AM190" s="125">
        <v>95.7238709439129</v>
      </c>
      <c r="AN190" s="125">
        <v>98.614731846419076</v>
      </c>
      <c r="AO190" s="125">
        <v>101.59289674818093</v>
      </c>
      <c r="AP190" s="125">
        <v>104.66100222997601</v>
      </c>
      <c r="AQ190" s="125">
        <v>107.82176449732128</v>
      </c>
      <c r="AR190" s="125">
        <v>111.07798178514039</v>
      </c>
      <c r="AS190" s="125">
        <v>114.43253683505164</v>
      </c>
      <c r="AT190" s="125">
        <v>117.88839944747019</v>
      </c>
      <c r="AU190" s="125">
        <v>121.4486291107838</v>
      </c>
      <c r="AV190" s="125">
        <v>125.11637770992947</v>
      </c>
      <c r="AW190" s="125">
        <v>128.89489231676933</v>
      </c>
      <c r="AX190" s="125">
        <v>132.78751806473576</v>
      </c>
      <c r="AY190" s="125">
        <v>136.79770111029077</v>
      </c>
      <c r="AZ190" s="125">
        <v>140.92899168382155</v>
      </c>
      <c r="BA190" s="125">
        <v>145.18504723267296</v>
      </c>
      <c r="BB190" s="125">
        <v>149.56963565909967</v>
      </c>
      <c r="BC190" s="125">
        <f t="shared" si="70"/>
        <v>154.08663865600448</v>
      </c>
      <c r="BD190" s="125">
        <f t="shared" si="70"/>
        <v>158.74005514341582</v>
      </c>
      <c r="BE190" s="125">
        <f t="shared" si="70"/>
        <v>163.53400480874697</v>
      </c>
      <c r="BF190" s="125">
        <f t="shared" si="70"/>
        <v>168.47273175397112</v>
      </c>
      <c r="BG190" s="125">
        <f t="shared" si="70"/>
        <v>173.56060825294105</v>
      </c>
    </row>
    <row r="191" spans="1:59" ht="13.75" customHeight="1" outlineLevel="1">
      <c r="A191" s="141" t="s">
        <v>166</v>
      </c>
      <c r="B191" s="170" t="s">
        <v>245</v>
      </c>
      <c r="C191" s="170"/>
      <c r="D191" s="170" t="s">
        <v>168</v>
      </c>
      <c r="E191" s="168"/>
      <c r="F191" s="168" t="s">
        <v>310</v>
      </c>
      <c r="G191" s="168" t="s">
        <v>247</v>
      </c>
      <c r="H191" s="168"/>
      <c r="I191" s="168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25">
        <v>72.48</v>
      </c>
      <c r="X191" s="125">
        <v>79.290000000000006</v>
      </c>
      <c r="Y191" s="125">
        <v>79.849999999999994</v>
      </c>
      <c r="Z191" s="125">
        <v>81.2589775</v>
      </c>
      <c r="AA191" s="125">
        <v>74.271000000000001</v>
      </c>
      <c r="AB191" s="125">
        <v>80.172308333333348</v>
      </c>
      <c r="AC191" s="125">
        <v>73.506501666666651</v>
      </c>
      <c r="AD191" s="125">
        <v>83.566870833333326</v>
      </c>
      <c r="AE191" s="125">
        <v>89.763695000000013</v>
      </c>
      <c r="AF191" s="125">
        <v>103.08108686680769</v>
      </c>
      <c r="AG191" s="125">
        <v>117.91046432605395</v>
      </c>
      <c r="AH191" s="125">
        <v>126.1</v>
      </c>
      <c r="AI191" s="125">
        <v>132.93</v>
      </c>
      <c r="AJ191" s="125">
        <v>135.91999999999999</v>
      </c>
      <c r="AK191" s="125">
        <v>139</v>
      </c>
      <c r="AL191" s="125">
        <v>142.16999999999999</v>
      </c>
      <c r="AM191" s="125">
        <v>145.43</v>
      </c>
      <c r="AN191" s="125">
        <v>149.7929</v>
      </c>
      <c r="AO191" s="125">
        <v>155.18544439999999</v>
      </c>
      <c r="AP191" s="125">
        <v>160.77212039840001</v>
      </c>
      <c r="AQ191" s="125">
        <v>166.55991673274241</v>
      </c>
      <c r="AR191" s="125">
        <v>172.55607373512115</v>
      </c>
      <c r="AS191" s="125">
        <v>178.76809238958552</v>
      </c>
      <c r="AT191" s="125">
        <v>185.20374371561061</v>
      </c>
      <c r="AU191" s="125">
        <v>191.87107848937259</v>
      </c>
      <c r="AV191" s="125">
        <v>198.77843731499001</v>
      </c>
      <c r="AW191" s="125">
        <v>205.93446105832967</v>
      </c>
      <c r="AX191" s="125">
        <v>213.34810165642955</v>
      </c>
      <c r="AY191" s="125">
        <v>221.02863331606102</v>
      </c>
      <c r="AZ191" s="125">
        <v>228.98566411543922</v>
      </c>
      <c r="BA191" s="125">
        <v>237.22914802359503</v>
      </c>
      <c r="BB191" s="125">
        <v>245.76939735244446</v>
      </c>
      <c r="BC191" s="125">
        <f t="shared" si="70"/>
        <v>254.61709565713247</v>
      </c>
      <c r="BD191" s="125">
        <f t="shared" si="70"/>
        <v>263.78331110078926</v>
      </c>
      <c r="BE191" s="125">
        <f t="shared" si="70"/>
        <v>273.27951030041771</v>
      </c>
      <c r="BF191" s="125">
        <f t="shared" si="70"/>
        <v>283.11757267123278</v>
      </c>
      <c r="BG191" s="125">
        <f t="shared" si="70"/>
        <v>293.30980528739718</v>
      </c>
    </row>
    <row r="192" spans="1:59" ht="13.75" customHeight="1" outlineLevel="1">
      <c r="A192" s="141" t="s">
        <v>166</v>
      </c>
      <c r="B192" s="170" t="s">
        <v>245</v>
      </c>
      <c r="C192" s="170"/>
      <c r="D192" s="170" t="s">
        <v>168</v>
      </c>
      <c r="E192" s="168"/>
      <c r="F192" s="168" t="s">
        <v>311</v>
      </c>
      <c r="G192" s="168" t="s">
        <v>247</v>
      </c>
      <c r="H192" s="168"/>
      <c r="I192" s="168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25">
        <v>71.28</v>
      </c>
      <c r="X192" s="125">
        <v>90.86</v>
      </c>
      <c r="Y192" s="125">
        <v>91.29</v>
      </c>
      <c r="Z192" s="125">
        <v>93.726542499999994</v>
      </c>
      <c r="AA192" s="125">
        <v>87.795000000000002</v>
      </c>
      <c r="AB192" s="125">
        <v>97.130935000000008</v>
      </c>
      <c r="AC192" s="125">
        <v>95.016915833333343</v>
      </c>
      <c r="AD192" s="125">
        <v>104.60346416666667</v>
      </c>
      <c r="AE192" s="125">
        <v>111.02915416666666</v>
      </c>
      <c r="AF192" s="125">
        <v>126.35298245024354</v>
      </c>
      <c r="AG192" s="125">
        <v>149.03263693018587</v>
      </c>
      <c r="AH192" s="125">
        <v>159.72999999999999</v>
      </c>
      <c r="AI192" s="125">
        <v>168.57</v>
      </c>
      <c r="AJ192" s="125">
        <v>172.13</v>
      </c>
      <c r="AK192" s="125">
        <v>175.79</v>
      </c>
      <c r="AL192" s="125">
        <v>179.55</v>
      </c>
      <c r="AM192" s="125">
        <v>183.42</v>
      </c>
      <c r="AN192" s="125">
        <v>190.02312000000001</v>
      </c>
      <c r="AO192" s="125">
        <v>196.86395232000001</v>
      </c>
      <c r="AP192" s="125">
        <v>203.95105460352002</v>
      </c>
      <c r="AQ192" s="125">
        <v>211.29329256924674</v>
      </c>
      <c r="AR192" s="125">
        <v>218.89985110173964</v>
      </c>
      <c r="AS192" s="125">
        <v>226.78024574140227</v>
      </c>
      <c r="AT192" s="125">
        <v>234.94433458809274</v>
      </c>
      <c r="AU192" s="125">
        <v>243.40233063326409</v>
      </c>
      <c r="AV192" s="125">
        <v>252.16481453606161</v>
      </c>
      <c r="AW192" s="125">
        <v>261.24274785935984</v>
      </c>
      <c r="AX192" s="125">
        <v>270.64748678229682</v>
      </c>
      <c r="AY192" s="125">
        <v>280.39079630645949</v>
      </c>
      <c r="AZ192" s="125">
        <v>290.48486497349205</v>
      </c>
      <c r="BA192" s="125">
        <v>300.9423201125378</v>
      </c>
      <c r="BB192" s="125">
        <v>311.77624363658919</v>
      </c>
      <c r="BC192" s="125">
        <f t="shared" si="70"/>
        <v>323.00018840750641</v>
      </c>
      <c r="BD192" s="125">
        <f t="shared" si="70"/>
        <v>334.62819519017665</v>
      </c>
      <c r="BE192" s="125">
        <f t="shared" si="70"/>
        <v>346.67481021702304</v>
      </c>
      <c r="BF192" s="125">
        <f t="shared" si="70"/>
        <v>359.15510338483585</v>
      </c>
      <c r="BG192" s="125">
        <f t="shared" si="70"/>
        <v>372.08468710668996</v>
      </c>
    </row>
    <row r="193" spans="1:67" ht="13.75" customHeight="1" outlineLevel="1">
      <c r="A193" s="141" t="s">
        <v>166</v>
      </c>
      <c r="B193" s="170" t="s">
        <v>245</v>
      </c>
      <c r="C193" s="170"/>
      <c r="D193" s="170" t="s">
        <v>168</v>
      </c>
      <c r="E193" s="168"/>
      <c r="F193" s="168" t="s">
        <v>312</v>
      </c>
      <c r="G193" s="168" t="s">
        <v>247</v>
      </c>
      <c r="H193" s="168"/>
      <c r="I193" s="168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25">
        <v>202.57417249999995</v>
      </c>
      <c r="X193" s="125">
        <v>206.62042583333331</v>
      </c>
      <c r="Y193" s="125">
        <v>213.99965</v>
      </c>
      <c r="Z193" s="125">
        <v>187.41547166666669</v>
      </c>
      <c r="AA193" s="125">
        <v>208.136</v>
      </c>
      <c r="AB193" s="125">
        <v>219.69926250000003</v>
      </c>
      <c r="AC193" s="125">
        <v>218.74244916666669</v>
      </c>
      <c r="AD193" s="125">
        <v>232.925085</v>
      </c>
      <c r="AE193" s="125">
        <v>264.34417083333335</v>
      </c>
      <c r="AF193" s="125">
        <v>270.42789845246108</v>
      </c>
      <c r="AG193" s="125">
        <v>302.62640624795119</v>
      </c>
      <c r="AH193" s="125">
        <v>307.32447622063648</v>
      </c>
      <c r="AI193" s="125">
        <v>314.95603772402842</v>
      </c>
      <c r="AJ193" s="125">
        <v>323.77480678030122</v>
      </c>
      <c r="AK193" s="125">
        <v>332.84050137014964</v>
      </c>
      <c r="AL193" s="125">
        <v>342.16003540851386</v>
      </c>
      <c r="AM193" s="125">
        <v>351.74051639995224</v>
      </c>
      <c r="AN193" s="125">
        <v>361.58925085915092</v>
      </c>
      <c r="AO193" s="125">
        <v>371.71374988320719</v>
      </c>
      <c r="AP193" s="125">
        <v>382.12173487993698</v>
      </c>
      <c r="AQ193" s="125">
        <v>392.82114345657521</v>
      </c>
      <c r="AR193" s="125">
        <v>403.82013547335936</v>
      </c>
      <c r="AS193" s="125">
        <v>415.12709926661341</v>
      </c>
      <c r="AT193" s="125">
        <v>426.75065804607863</v>
      </c>
      <c r="AU193" s="125">
        <v>438.69967647136883</v>
      </c>
      <c r="AV193" s="125">
        <v>450.98326741256716</v>
      </c>
      <c r="AW193" s="125">
        <v>463.61079890011905</v>
      </c>
      <c r="AX193" s="125">
        <v>476.59190126932242</v>
      </c>
      <c r="AY193" s="125">
        <v>489.93647450486344</v>
      </c>
      <c r="AZ193" s="125">
        <v>503.65469579099965</v>
      </c>
      <c r="BA193" s="125">
        <v>517.75702727314763</v>
      </c>
      <c r="BB193" s="125">
        <v>532.25422403679579</v>
      </c>
      <c r="BC193" s="125">
        <f t="shared" si="70"/>
        <v>547.15734230982605</v>
      </c>
      <c r="BD193" s="125">
        <f t="shared" si="70"/>
        <v>562.47774789450114</v>
      </c>
      <c r="BE193" s="125">
        <f t="shared" si="70"/>
        <v>578.22712483554722</v>
      </c>
      <c r="BF193" s="125">
        <f t="shared" si="70"/>
        <v>594.41748433094256</v>
      </c>
      <c r="BG193" s="125">
        <f t="shared" si="70"/>
        <v>611.06117389220901</v>
      </c>
    </row>
    <row r="194" spans="1:67" ht="13.75" customHeight="1">
      <c r="A194" s="141" t="s">
        <v>166</v>
      </c>
      <c r="B194" s="170" t="s">
        <v>313</v>
      </c>
      <c r="C194" s="170"/>
      <c r="D194" s="170" t="s">
        <v>98</v>
      </c>
      <c r="E194" s="168"/>
      <c r="F194" s="168" t="s">
        <v>314</v>
      </c>
      <c r="G194" s="168" t="s">
        <v>315</v>
      </c>
      <c r="H194" s="168"/>
      <c r="I194" s="168" t="s">
        <v>316</v>
      </c>
      <c r="J194" s="112"/>
      <c r="K194" s="112"/>
      <c r="L194" s="112"/>
      <c r="M194" s="112"/>
      <c r="N194" s="112"/>
      <c r="O194" s="112"/>
      <c r="P194" s="112"/>
      <c r="Q194" s="112"/>
      <c r="R194" s="112"/>
      <c r="S194" s="112">
        <v>79.73</v>
      </c>
      <c r="T194" s="112">
        <v>111.05</v>
      </c>
      <c r="U194" s="112">
        <v>111.94</v>
      </c>
      <c r="V194" s="112">
        <v>108.79</v>
      </c>
      <c r="W194" s="112">
        <v>98.88</v>
      </c>
      <c r="X194" s="112">
        <v>52.31</v>
      </c>
      <c r="Y194" s="112">
        <v>44.11</v>
      </c>
      <c r="Z194" s="112">
        <v>54.35</v>
      </c>
      <c r="AA194" s="112">
        <v>71.150000000000006</v>
      </c>
      <c r="AB194" s="112">
        <v>64.164900000000003</v>
      </c>
      <c r="AC194" s="112">
        <v>42.299401083819561</v>
      </c>
      <c r="AD194" s="112">
        <v>70.745833333333337</v>
      </c>
      <c r="AE194" s="112">
        <v>99.085135658914794</v>
      </c>
      <c r="AF194" s="112">
        <v>85.074139473397565</v>
      </c>
      <c r="AG194" s="112">
        <v>101.09429513773301</v>
      </c>
      <c r="AH194" s="133">
        <v>89.655914874384735</v>
      </c>
      <c r="AI194" s="133">
        <v>82.853201833016726</v>
      </c>
      <c r="AJ194" s="133">
        <v>84.510265869677056</v>
      </c>
      <c r="AK194" s="133">
        <v>86.200471187070605</v>
      </c>
      <c r="AL194" s="133">
        <v>87.924480610812012</v>
      </c>
      <c r="AM194" s="133">
        <v>89.682970223028249</v>
      </c>
      <c r="AN194" s="133">
        <v>91.476629627488819</v>
      </c>
      <c r="AO194" s="133">
        <v>93.306162220038601</v>
      </c>
      <c r="AP194" s="133">
        <v>95.172285464439369</v>
      </c>
      <c r="AQ194" s="133">
        <v>97.075731173728158</v>
      </c>
      <c r="AR194" s="133">
        <v>99.017245797202719</v>
      </c>
      <c r="AS194" s="133">
        <v>100.99759071314678</v>
      </c>
      <c r="AT194" s="133">
        <v>103.01754252740972</v>
      </c>
      <c r="AU194" s="133">
        <v>105.07789337795791</v>
      </c>
      <c r="AV194" s="133">
        <v>107.17945124551707</v>
      </c>
      <c r="AW194" s="133">
        <v>109.32304027042741</v>
      </c>
      <c r="AX194" s="133">
        <v>111.50950107583596</v>
      </c>
      <c r="AY194" s="133">
        <v>113.73969109735268</v>
      </c>
      <c r="AZ194" s="133">
        <v>116.01448491929973</v>
      </c>
      <c r="BA194" s="133">
        <v>118.33477461768572</v>
      </c>
      <c r="BB194" s="133">
        <v>120.70147011003944</v>
      </c>
      <c r="BC194" s="133">
        <f t="shared" si="70"/>
        <v>123.11549951224023</v>
      </c>
      <c r="BD194" s="133">
        <f t="shared" si="70"/>
        <v>125.57780950248504</v>
      </c>
      <c r="BE194" s="133">
        <f t="shared" si="70"/>
        <v>128.08936569253476</v>
      </c>
      <c r="BF194" s="133">
        <f t="shared" si="70"/>
        <v>130.65115300638544</v>
      </c>
      <c r="BG194" s="133">
        <f t="shared" si="70"/>
        <v>133.26417606651316</v>
      </c>
    </row>
    <row r="195" spans="1:67" ht="13.75" customHeight="1">
      <c r="A195" s="141" t="s">
        <v>166</v>
      </c>
      <c r="B195" s="170" t="s">
        <v>313</v>
      </c>
      <c r="C195" s="170"/>
      <c r="D195" s="170" t="s">
        <v>168</v>
      </c>
      <c r="E195" s="168"/>
      <c r="F195" s="168" t="s">
        <v>317</v>
      </c>
      <c r="G195" s="168" t="s">
        <v>318</v>
      </c>
      <c r="H195" s="168"/>
      <c r="I195" s="168" t="s">
        <v>319</v>
      </c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12">
        <v>446</v>
      </c>
      <c r="V195" s="112">
        <v>470</v>
      </c>
      <c r="W195" s="112">
        <v>493</v>
      </c>
      <c r="X195" s="128">
        <v>766</v>
      </c>
      <c r="Y195" s="128">
        <v>857</v>
      </c>
      <c r="Z195" s="128">
        <v>919</v>
      </c>
      <c r="AA195" s="128">
        <v>919</v>
      </c>
      <c r="AB195" s="128">
        <v>919</v>
      </c>
      <c r="AC195" s="128">
        <v>919</v>
      </c>
      <c r="AD195" s="128">
        <v>919</v>
      </c>
      <c r="AE195" s="128">
        <v>919</v>
      </c>
      <c r="AF195" s="128">
        <v>919</v>
      </c>
      <c r="AG195" s="128">
        <v>919</v>
      </c>
      <c r="AH195" s="128">
        <v>919</v>
      </c>
      <c r="AI195" s="128">
        <v>919</v>
      </c>
      <c r="AJ195" s="128">
        <v>919</v>
      </c>
      <c r="AK195" s="128">
        <v>919</v>
      </c>
      <c r="AL195" s="128">
        <v>919</v>
      </c>
      <c r="AM195" s="128">
        <v>919</v>
      </c>
      <c r="AN195" s="128">
        <v>919</v>
      </c>
      <c r="AO195" s="128">
        <v>919</v>
      </c>
      <c r="AP195" s="128">
        <v>919</v>
      </c>
      <c r="AQ195" s="128">
        <v>919</v>
      </c>
      <c r="AR195" s="128">
        <v>919</v>
      </c>
      <c r="AS195" s="128">
        <v>919</v>
      </c>
      <c r="AT195" s="128">
        <v>919</v>
      </c>
      <c r="AU195" s="128">
        <v>919</v>
      </c>
      <c r="AV195" s="128">
        <v>919</v>
      </c>
      <c r="AW195" s="128">
        <v>919</v>
      </c>
      <c r="AX195" s="128">
        <v>919</v>
      </c>
      <c r="AY195" s="128">
        <v>919</v>
      </c>
      <c r="AZ195" s="128">
        <f>AY195</f>
        <v>919</v>
      </c>
      <c r="BA195" s="128">
        <f t="shared" ref="BA195:BG195" si="71">AZ195</f>
        <v>919</v>
      </c>
      <c r="BB195" s="128">
        <f t="shared" si="71"/>
        <v>919</v>
      </c>
      <c r="BC195" s="128">
        <f t="shared" si="71"/>
        <v>919</v>
      </c>
      <c r="BD195" s="128">
        <f t="shared" si="71"/>
        <v>919</v>
      </c>
      <c r="BE195" s="128">
        <f t="shared" si="71"/>
        <v>919</v>
      </c>
      <c r="BF195" s="128">
        <f t="shared" si="71"/>
        <v>919</v>
      </c>
      <c r="BG195" s="128">
        <f t="shared" si="71"/>
        <v>919</v>
      </c>
    </row>
    <row r="196" spans="1:67" ht="13.75" customHeight="1">
      <c r="A196" s="141" t="s">
        <v>166</v>
      </c>
      <c r="B196" s="170" t="s">
        <v>313</v>
      </c>
      <c r="C196" s="170"/>
      <c r="D196" s="170" t="s">
        <v>168</v>
      </c>
      <c r="E196" s="168"/>
      <c r="F196" s="168" t="s">
        <v>320</v>
      </c>
      <c r="G196" s="168" t="s">
        <v>318</v>
      </c>
      <c r="H196" s="168"/>
      <c r="I196" s="168" t="s">
        <v>321</v>
      </c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12">
        <v>7975</v>
      </c>
      <c r="V196" s="112">
        <v>10100</v>
      </c>
      <c r="W196" s="112">
        <v>11110</v>
      </c>
      <c r="X196" s="128">
        <v>7300</v>
      </c>
      <c r="Y196" s="128">
        <v>7530</v>
      </c>
      <c r="Z196" s="128">
        <v>13100</v>
      </c>
      <c r="AA196" s="128">
        <v>13100</v>
      </c>
      <c r="AB196" s="128">
        <v>13100</v>
      </c>
      <c r="AC196" s="128">
        <v>13100</v>
      </c>
      <c r="AD196" s="128">
        <v>13624</v>
      </c>
      <c r="AE196" s="128">
        <v>14169</v>
      </c>
      <c r="AF196" s="128">
        <v>14736</v>
      </c>
      <c r="AG196" s="128">
        <v>15458</v>
      </c>
      <c r="AH196" s="128">
        <v>16076</v>
      </c>
      <c r="AI196" s="128">
        <v>16719</v>
      </c>
      <c r="AJ196" s="128">
        <f t="shared" ref="AJ196:AY208" si="72">AI196*(1+AJ$3)</f>
        <v>17387.760000000002</v>
      </c>
      <c r="AK196" s="128">
        <f t="shared" si="72"/>
        <v>18083.270400000001</v>
      </c>
      <c r="AL196" s="128">
        <f t="shared" si="72"/>
        <v>18806.601216000003</v>
      </c>
      <c r="AM196" s="128">
        <f t="shared" si="72"/>
        <v>19558.865264640004</v>
      </c>
      <c r="AN196" s="128">
        <f t="shared" si="72"/>
        <v>20341.219875225604</v>
      </c>
      <c r="AO196" s="128">
        <f t="shared" si="72"/>
        <v>21154.868670234628</v>
      </c>
      <c r="AP196" s="128">
        <f t="shared" si="72"/>
        <v>22001.063417044013</v>
      </c>
      <c r="AQ196" s="128">
        <f t="shared" si="72"/>
        <v>22881.105953725775</v>
      </c>
      <c r="AR196" s="128">
        <f t="shared" si="72"/>
        <v>23796.350191874808</v>
      </c>
      <c r="AS196" s="128">
        <f t="shared" si="72"/>
        <v>24748.2041995498</v>
      </c>
      <c r="AT196" s="128">
        <f t="shared" si="72"/>
        <v>25738.132367531794</v>
      </c>
      <c r="AU196" s="128">
        <f t="shared" si="72"/>
        <v>26767.657662233069</v>
      </c>
      <c r="AV196" s="128">
        <f t="shared" si="72"/>
        <v>27838.363968722391</v>
      </c>
      <c r="AW196" s="128">
        <f t="shared" si="72"/>
        <v>28951.898527471287</v>
      </c>
      <c r="AX196" s="128">
        <f t="shared" si="72"/>
        <v>30109.974468570141</v>
      </c>
      <c r="AY196" s="128">
        <f t="shared" si="72"/>
        <v>31314.373447312948</v>
      </c>
      <c r="AZ196" s="128">
        <f t="shared" ref="AZ196:BG208" si="73">AY196*(1+AZ$3)</f>
        <v>32566.948385205465</v>
      </c>
      <c r="BA196" s="128">
        <f t="shared" si="73"/>
        <v>33869.626320613686</v>
      </c>
      <c r="BB196" s="128">
        <f t="shared" si="73"/>
        <v>35224.411373438234</v>
      </c>
      <c r="BC196" s="128">
        <f t="shared" si="73"/>
        <v>36633.387828375766</v>
      </c>
      <c r="BD196" s="128">
        <f t="shared" si="73"/>
        <v>38098.723341510798</v>
      </c>
      <c r="BE196" s="128">
        <f t="shared" si="73"/>
        <v>39622.67227517123</v>
      </c>
      <c r="BF196" s="128">
        <f t="shared" si="73"/>
        <v>41207.579166178082</v>
      </c>
      <c r="BG196" s="128">
        <f t="shared" si="73"/>
        <v>42855.882332825204</v>
      </c>
      <c r="BH196" s="163"/>
      <c r="BI196" s="163"/>
      <c r="BJ196" s="163"/>
      <c r="BK196" s="163"/>
      <c r="BL196" s="163"/>
      <c r="BM196" s="163"/>
      <c r="BN196" s="163"/>
      <c r="BO196" s="163"/>
    </row>
    <row r="197" spans="1:67" ht="13.75" customHeight="1">
      <c r="A197" s="141" t="s">
        <v>166</v>
      </c>
      <c r="B197" s="170" t="s">
        <v>313</v>
      </c>
      <c r="C197" s="170"/>
      <c r="D197" s="170" t="s">
        <v>168</v>
      </c>
      <c r="E197" s="168"/>
      <c r="F197" s="168" t="s">
        <v>322</v>
      </c>
      <c r="G197" s="168" t="s">
        <v>318</v>
      </c>
      <c r="H197" s="168"/>
      <c r="I197" s="168" t="s">
        <v>321</v>
      </c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12">
        <v>7632</v>
      </c>
      <c r="V197" s="112">
        <v>9750</v>
      </c>
      <c r="W197" s="112">
        <v>10725</v>
      </c>
      <c r="X197" s="128">
        <v>7300</v>
      </c>
      <c r="Y197" s="128">
        <v>7530</v>
      </c>
      <c r="Z197" s="128">
        <v>13100</v>
      </c>
      <c r="AA197" s="128">
        <v>13100</v>
      </c>
      <c r="AB197" s="128">
        <v>13100</v>
      </c>
      <c r="AC197" s="128">
        <v>13100</v>
      </c>
      <c r="AD197" s="128">
        <v>13624</v>
      </c>
      <c r="AE197" s="128">
        <v>14169</v>
      </c>
      <c r="AF197" s="128">
        <v>14736</v>
      </c>
      <c r="AG197" s="128">
        <f>AG196</f>
        <v>15458</v>
      </c>
      <c r="AH197" s="128">
        <f t="shared" ref="AH197:AI198" si="74">AH196</f>
        <v>16076</v>
      </c>
      <c r="AI197" s="128">
        <f t="shared" si="74"/>
        <v>16719</v>
      </c>
      <c r="AJ197" s="128">
        <f t="shared" si="72"/>
        <v>17387.760000000002</v>
      </c>
      <c r="AK197" s="128">
        <f t="shared" si="72"/>
        <v>18083.270400000001</v>
      </c>
      <c r="AL197" s="128">
        <f t="shared" si="72"/>
        <v>18806.601216000003</v>
      </c>
      <c r="AM197" s="128">
        <f t="shared" si="72"/>
        <v>19558.865264640004</v>
      </c>
      <c r="AN197" s="128">
        <f t="shared" si="72"/>
        <v>20341.219875225604</v>
      </c>
      <c r="AO197" s="128">
        <f t="shared" si="72"/>
        <v>21154.868670234628</v>
      </c>
      <c r="AP197" s="128">
        <f t="shared" si="72"/>
        <v>22001.063417044013</v>
      </c>
      <c r="AQ197" s="128">
        <f t="shared" si="72"/>
        <v>22881.105953725775</v>
      </c>
      <c r="AR197" s="128">
        <f t="shared" si="72"/>
        <v>23796.350191874808</v>
      </c>
      <c r="AS197" s="128">
        <f t="shared" si="72"/>
        <v>24748.2041995498</v>
      </c>
      <c r="AT197" s="128">
        <f t="shared" si="72"/>
        <v>25738.132367531794</v>
      </c>
      <c r="AU197" s="128">
        <f t="shared" si="72"/>
        <v>26767.657662233069</v>
      </c>
      <c r="AV197" s="128">
        <f t="shared" si="72"/>
        <v>27838.363968722391</v>
      </c>
      <c r="AW197" s="128">
        <f t="shared" si="72"/>
        <v>28951.898527471287</v>
      </c>
      <c r="AX197" s="128">
        <f t="shared" si="72"/>
        <v>30109.974468570141</v>
      </c>
      <c r="AY197" s="128">
        <f t="shared" si="72"/>
        <v>31314.373447312948</v>
      </c>
      <c r="AZ197" s="128">
        <f t="shared" si="73"/>
        <v>32566.948385205465</v>
      </c>
      <c r="BA197" s="128">
        <f t="shared" si="73"/>
        <v>33869.626320613686</v>
      </c>
      <c r="BB197" s="128">
        <f t="shared" si="73"/>
        <v>35224.411373438234</v>
      </c>
      <c r="BC197" s="128">
        <f t="shared" si="73"/>
        <v>36633.387828375766</v>
      </c>
      <c r="BD197" s="128">
        <f t="shared" si="73"/>
        <v>38098.723341510798</v>
      </c>
      <c r="BE197" s="128">
        <f t="shared" si="73"/>
        <v>39622.67227517123</v>
      </c>
      <c r="BF197" s="128">
        <f t="shared" si="73"/>
        <v>41207.579166178082</v>
      </c>
      <c r="BG197" s="128">
        <f t="shared" si="73"/>
        <v>42855.882332825204</v>
      </c>
    </row>
    <row r="198" spans="1:67" ht="13.75" customHeight="1">
      <c r="A198" s="141" t="s">
        <v>166</v>
      </c>
      <c r="B198" s="170" t="s">
        <v>313</v>
      </c>
      <c r="C198" s="170"/>
      <c r="D198" s="170" t="s">
        <v>168</v>
      </c>
      <c r="E198" s="168"/>
      <c r="F198" s="168" t="s">
        <v>323</v>
      </c>
      <c r="G198" s="168" t="s">
        <v>318</v>
      </c>
      <c r="H198" s="168"/>
      <c r="I198" s="168" t="s">
        <v>321</v>
      </c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12">
        <v>6822</v>
      </c>
      <c r="V198" s="112">
        <v>8760</v>
      </c>
      <c r="W198" s="112">
        <v>9916</v>
      </c>
      <c r="X198" s="128">
        <v>7300</v>
      </c>
      <c r="Y198" s="128">
        <v>7530</v>
      </c>
      <c r="Z198" s="128">
        <v>13100</v>
      </c>
      <c r="AA198" s="128">
        <v>13100</v>
      </c>
      <c r="AB198" s="128">
        <v>13100</v>
      </c>
      <c r="AC198" s="128">
        <v>13100</v>
      </c>
      <c r="AD198" s="128">
        <v>13624</v>
      </c>
      <c r="AE198" s="128">
        <v>14169</v>
      </c>
      <c r="AF198" s="128">
        <v>14736</v>
      </c>
      <c r="AG198" s="128">
        <f>AG197</f>
        <v>15458</v>
      </c>
      <c r="AH198" s="128">
        <f t="shared" si="74"/>
        <v>16076</v>
      </c>
      <c r="AI198" s="128">
        <f t="shared" si="74"/>
        <v>16719</v>
      </c>
      <c r="AJ198" s="128">
        <f t="shared" si="72"/>
        <v>17387.760000000002</v>
      </c>
      <c r="AK198" s="128">
        <f t="shared" si="72"/>
        <v>18083.270400000001</v>
      </c>
      <c r="AL198" s="128">
        <f t="shared" si="72"/>
        <v>18806.601216000003</v>
      </c>
      <c r="AM198" s="128">
        <f t="shared" si="72"/>
        <v>19558.865264640004</v>
      </c>
      <c r="AN198" s="128">
        <f t="shared" si="72"/>
        <v>20341.219875225604</v>
      </c>
      <c r="AO198" s="128">
        <f t="shared" si="72"/>
        <v>21154.868670234628</v>
      </c>
      <c r="AP198" s="128">
        <f t="shared" si="72"/>
        <v>22001.063417044013</v>
      </c>
      <c r="AQ198" s="128">
        <f t="shared" si="72"/>
        <v>22881.105953725775</v>
      </c>
      <c r="AR198" s="128">
        <f t="shared" si="72"/>
        <v>23796.350191874808</v>
      </c>
      <c r="AS198" s="128">
        <f t="shared" si="72"/>
        <v>24748.2041995498</v>
      </c>
      <c r="AT198" s="128">
        <f t="shared" si="72"/>
        <v>25738.132367531794</v>
      </c>
      <c r="AU198" s="128">
        <f t="shared" si="72"/>
        <v>26767.657662233069</v>
      </c>
      <c r="AV198" s="128">
        <f t="shared" si="72"/>
        <v>27838.363968722391</v>
      </c>
      <c r="AW198" s="128">
        <f t="shared" si="72"/>
        <v>28951.898527471287</v>
      </c>
      <c r="AX198" s="128">
        <f t="shared" si="72"/>
        <v>30109.974468570141</v>
      </c>
      <c r="AY198" s="128">
        <f t="shared" si="72"/>
        <v>31314.373447312948</v>
      </c>
      <c r="AZ198" s="128">
        <f t="shared" si="73"/>
        <v>32566.948385205465</v>
      </c>
      <c r="BA198" s="128">
        <f t="shared" si="73"/>
        <v>33869.626320613686</v>
      </c>
      <c r="BB198" s="128">
        <f t="shared" si="73"/>
        <v>35224.411373438234</v>
      </c>
      <c r="BC198" s="128">
        <f t="shared" si="73"/>
        <v>36633.387828375766</v>
      </c>
      <c r="BD198" s="128">
        <f t="shared" si="73"/>
        <v>38098.723341510798</v>
      </c>
      <c r="BE198" s="128">
        <f t="shared" si="73"/>
        <v>39622.67227517123</v>
      </c>
      <c r="BF198" s="128">
        <f t="shared" si="73"/>
        <v>41207.579166178082</v>
      </c>
      <c r="BG198" s="128">
        <f t="shared" si="73"/>
        <v>42855.882332825204</v>
      </c>
    </row>
    <row r="199" spans="1:67" ht="13.75" customHeight="1">
      <c r="A199" s="141" t="s">
        <v>166</v>
      </c>
      <c r="B199" s="170" t="s">
        <v>313</v>
      </c>
      <c r="C199" s="170"/>
      <c r="D199" s="170" t="s">
        <v>168</v>
      </c>
      <c r="E199" s="168"/>
      <c r="F199" s="168" t="s">
        <v>324</v>
      </c>
      <c r="G199" s="168" t="s">
        <v>318</v>
      </c>
      <c r="H199" s="168"/>
      <c r="I199" s="168" t="s">
        <v>321</v>
      </c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12">
        <v>5983</v>
      </c>
      <c r="V199" s="112">
        <v>5446</v>
      </c>
      <c r="W199" s="112">
        <v>6450</v>
      </c>
      <c r="X199" s="128">
        <v>5530</v>
      </c>
      <c r="Y199" s="128">
        <v>7530</v>
      </c>
      <c r="Z199" s="128">
        <v>10130</v>
      </c>
      <c r="AA199" s="128">
        <v>11552.5</v>
      </c>
      <c r="AB199" s="128">
        <v>12314</v>
      </c>
      <c r="AC199" s="128">
        <v>12752</v>
      </c>
      <c r="AD199" s="128">
        <v>13262</v>
      </c>
      <c r="AE199" s="128">
        <v>13793</v>
      </c>
      <c r="AF199" s="128">
        <v>14345</v>
      </c>
      <c r="AG199" s="128">
        <v>15048</v>
      </c>
      <c r="AH199" s="128">
        <v>15650</v>
      </c>
      <c r="AI199" s="128">
        <v>16276</v>
      </c>
      <c r="AJ199" s="128">
        <f t="shared" si="72"/>
        <v>16927.04</v>
      </c>
      <c r="AK199" s="128">
        <f t="shared" si="72"/>
        <v>17604.121600000002</v>
      </c>
      <c r="AL199" s="128">
        <f t="shared" si="72"/>
        <v>18308.286464000004</v>
      </c>
      <c r="AM199" s="128">
        <f t="shared" si="72"/>
        <v>19040.617922560006</v>
      </c>
      <c r="AN199" s="128">
        <f t="shared" si="72"/>
        <v>19802.242639462409</v>
      </c>
      <c r="AO199" s="128">
        <f t="shared" si="72"/>
        <v>20594.332345040904</v>
      </c>
      <c r="AP199" s="128">
        <f t="shared" si="72"/>
        <v>21418.105638842542</v>
      </c>
      <c r="AQ199" s="128">
        <f t="shared" si="72"/>
        <v>22274.829864396244</v>
      </c>
      <c r="AR199" s="128">
        <f t="shared" si="72"/>
        <v>23165.823058972095</v>
      </c>
      <c r="AS199" s="128">
        <f t="shared" si="72"/>
        <v>24092.455981330979</v>
      </c>
      <c r="AT199" s="128">
        <f t="shared" si="72"/>
        <v>25056.15422058422</v>
      </c>
      <c r="AU199" s="128">
        <f t="shared" si="72"/>
        <v>26058.40038940759</v>
      </c>
      <c r="AV199" s="128">
        <f t="shared" si="72"/>
        <v>27100.736404983894</v>
      </c>
      <c r="AW199" s="128">
        <f t="shared" si="72"/>
        <v>28184.765861183252</v>
      </c>
      <c r="AX199" s="128">
        <f t="shared" si="72"/>
        <v>29312.156495630585</v>
      </c>
      <c r="AY199" s="128">
        <f t="shared" si="72"/>
        <v>30484.64275545581</v>
      </c>
      <c r="AZ199" s="128">
        <f t="shared" si="73"/>
        <v>31704.028465674044</v>
      </c>
      <c r="BA199" s="128">
        <f t="shared" si="73"/>
        <v>32972.189604301006</v>
      </c>
      <c r="BB199" s="128">
        <f t="shared" si="73"/>
        <v>34291.077188473049</v>
      </c>
      <c r="BC199" s="128">
        <f t="shared" si="73"/>
        <v>35662.720276011969</v>
      </c>
      <c r="BD199" s="128">
        <f t="shared" si="73"/>
        <v>37089.229087052452</v>
      </c>
      <c r="BE199" s="128">
        <f t="shared" si="73"/>
        <v>38572.79825053455</v>
      </c>
      <c r="BF199" s="128">
        <f t="shared" si="73"/>
        <v>40115.710180555936</v>
      </c>
      <c r="BG199" s="128">
        <f t="shared" si="73"/>
        <v>41720.338587778177</v>
      </c>
    </row>
    <row r="200" spans="1:67" ht="13.75" customHeight="1">
      <c r="A200" s="141" t="s">
        <v>166</v>
      </c>
      <c r="B200" s="170" t="s">
        <v>313</v>
      </c>
      <c r="C200" s="170"/>
      <c r="D200" s="170" t="s">
        <v>168</v>
      </c>
      <c r="E200" s="168"/>
      <c r="F200" s="168" t="s">
        <v>325</v>
      </c>
      <c r="G200" s="168" t="s">
        <v>318</v>
      </c>
      <c r="H200" s="168"/>
      <c r="I200" s="168" t="s">
        <v>321</v>
      </c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12">
        <v>7824</v>
      </c>
      <c r="V200" s="112">
        <v>10229</v>
      </c>
      <c r="W200" s="112">
        <v>11252</v>
      </c>
      <c r="X200" s="128">
        <v>11300</v>
      </c>
      <c r="Y200" s="128">
        <v>10500</v>
      </c>
      <c r="Z200" s="128">
        <v>13100</v>
      </c>
      <c r="AA200" s="128">
        <v>13100</v>
      </c>
      <c r="AB200" s="128">
        <v>13912.455</v>
      </c>
      <c r="AC200" s="128">
        <v>14720.045</v>
      </c>
      <c r="AD200" s="128">
        <v>15532.5</v>
      </c>
      <c r="AE200" s="128">
        <v>16344.955</v>
      </c>
      <c r="AF200" s="128">
        <v>17152.544999999998</v>
      </c>
      <c r="AG200" s="128">
        <v>17965</v>
      </c>
      <c r="AH200" s="128">
        <f>AG200*(1+AH$3)</f>
        <v>18691.793703304873</v>
      </c>
      <c r="AI200" s="128">
        <f t="shared" ref="AI200:AJ206" si="75">AH200*(1+AI$3)</f>
        <v>19446.781247994695</v>
      </c>
      <c r="AJ200" s="128">
        <f t="shared" si="75"/>
        <v>20224.652497914485</v>
      </c>
      <c r="AK200" s="128">
        <f t="shared" si="72"/>
        <v>21033.638597831065</v>
      </c>
      <c r="AL200" s="128">
        <f t="shared" si="72"/>
        <v>21874.984141744309</v>
      </c>
      <c r="AM200" s="128">
        <f t="shared" si="72"/>
        <v>22749.983507414083</v>
      </c>
      <c r="AN200" s="128">
        <f t="shared" si="72"/>
        <v>23659.982847710646</v>
      </c>
      <c r="AO200" s="128">
        <f t="shared" si="72"/>
        <v>24606.382161619073</v>
      </c>
      <c r="AP200" s="128">
        <f t="shared" si="72"/>
        <v>25590.637448083835</v>
      </c>
      <c r="AQ200" s="128">
        <f t="shared" si="72"/>
        <v>26614.262946007188</v>
      </c>
      <c r="AR200" s="128">
        <f t="shared" si="72"/>
        <v>27678.833463847477</v>
      </c>
      <c r="AS200" s="128">
        <f t="shared" si="72"/>
        <v>28785.986802401378</v>
      </c>
      <c r="AT200" s="128">
        <f t="shared" si="72"/>
        <v>29937.426274497433</v>
      </c>
      <c r="AU200" s="128">
        <f t="shared" si="72"/>
        <v>31134.923325477332</v>
      </c>
      <c r="AV200" s="128">
        <f t="shared" si="72"/>
        <v>32380.320258496427</v>
      </c>
      <c r="AW200" s="128">
        <f t="shared" si="72"/>
        <v>33675.533068836288</v>
      </c>
      <c r="AX200" s="128">
        <f t="shared" si="72"/>
        <v>35022.554391589743</v>
      </c>
      <c r="AY200" s="128">
        <f t="shared" si="72"/>
        <v>36423.456567253335</v>
      </c>
      <c r="AZ200" s="128">
        <f t="shared" si="73"/>
        <v>37880.394829943471</v>
      </c>
      <c r="BA200" s="128">
        <f t="shared" si="73"/>
        <v>39395.610623141212</v>
      </c>
      <c r="BB200" s="128">
        <f t="shared" si="73"/>
        <v>40971.435048066865</v>
      </c>
      <c r="BC200" s="128">
        <f t="shared" si="73"/>
        <v>42610.292449989538</v>
      </c>
      <c r="BD200" s="128">
        <f t="shared" si="73"/>
        <v>44314.70414798912</v>
      </c>
      <c r="BE200" s="128">
        <f t="shared" si="73"/>
        <v>46087.292313908685</v>
      </c>
      <c r="BF200" s="128">
        <f t="shared" si="73"/>
        <v>47930.784006465037</v>
      </c>
      <c r="BG200" s="128">
        <f t="shared" si="73"/>
        <v>49848.015366723637</v>
      </c>
    </row>
    <row r="201" spans="1:67" ht="13.75" customHeight="1">
      <c r="A201" s="141" t="s">
        <v>166</v>
      </c>
      <c r="B201" s="170" t="s">
        <v>313</v>
      </c>
      <c r="C201" s="170"/>
      <c r="D201" s="170" t="s">
        <v>168</v>
      </c>
      <c r="E201" s="168"/>
      <c r="F201" s="168" t="s">
        <v>326</v>
      </c>
      <c r="G201" s="168" t="s">
        <v>318</v>
      </c>
      <c r="H201" s="168"/>
      <c r="I201" s="168" t="s">
        <v>321</v>
      </c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12">
        <v>4199</v>
      </c>
      <c r="V201" s="112">
        <v>5860</v>
      </c>
      <c r="W201" s="112">
        <v>6446</v>
      </c>
      <c r="X201" s="128">
        <v>3450</v>
      </c>
      <c r="Y201" s="128">
        <v>4150</v>
      </c>
      <c r="Z201" s="128">
        <v>6800</v>
      </c>
      <c r="AA201" s="128">
        <v>7961.5</v>
      </c>
      <c r="AB201" s="128">
        <v>8541</v>
      </c>
      <c r="AC201" s="128">
        <v>8835</v>
      </c>
      <c r="AD201" s="128">
        <v>9188</v>
      </c>
      <c r="AE201" s="128">
        <v>9556</v>
      </c>
      <c r="AF201" s="128">
        <v>9938</v>
      </c>
      <c r="AG201" s="128">
        <v>10425</v>
      </c>
      <c r="AH201" s="128">
        <v>10842</v>
      </c>
      <c r="AI201" s="128">
        <v>11276</v>
      </c>
      <c r="AJ201" s="128">
        <f t="shared" si="75"/>
        <v>11727.04</v>
      </c>
      <c r="AK201" s="128">
        <f t="shared" si="72"/>
        <v>12196.121600000002</v>
      </c>
      <c r="AL201" s="128">
        <f t="shared" si="72"/>
        <v>12683.966464000003</v>
      </c>
      <c r="AM201" s="128">
        <f t="shared" si="72"/>
        <v>13191.325122560003</v>
      </c>
      <c r="AN201" s="128">
        <f t="shared" si="72"/>
        <v>13718.978127462404</v>
      </c>
      <c r="AO201" s="128">
        <f t="shared" si="72"/>
        <v>14267.737252560901</v>
      </c>
      <c r="AP201" s="128">
        <f t="shared" si="72"/>
        <v>14838.446742663336</v>
      </c>
      <c r="AQ201" s="128">
        <f t="shared" si="72"/>
        <v>15431.98461236987</v>
      </c>
      <c r="AR201" s="128">
        <f t="shared" si="72"/>
        <v>16049.263996864665</v>
      </c>
      <c r="AS201" s="128">
        <f t="shared" si="72"/>
        <v>16691.234556739251</v>
      </c>
      <c r="AT201" s="128">
        <f t="shared" si="72"/>
        <v>17358.883939008821</v>
      </c>
      <c r="AU201" s="128">
        <f t="shared" si="72"/>
        <v>18053.239296569176</v>
      </c>
      <c r="AV201" s="128">
        <f t="shared" si="72"/>
        <v>18775.368868431942</v>
      </c>
      <c r="AW201" s="128">
        <f t="shared" si="72"/>
        <v>19526.383623169222</v>
      </c>
      <c r="AX201" s="128">
        <f t="shared" si="72"/>
        <v>20307.43896809599</v>
      </c>
      <c r="AY201" s="128">
        <f t="shared" si="72"/>
        <v>21119.73652681983</v>
      </c>
      <c r="AZ201" s="128">
        <f t="shared" si="73"/>
        <v>21964.525987892623</v>
      </c>
      <c r="BA201" s="128">
        <f t="shared" si="73"/>
        <v>22843.107027408329</v>
      </c>
      <c r="BB201" s="128">
        <f t="shared" si="73"/>
        <v>23756.831308504661</v>
      </c>
      <c r="BC201" s="128">
        <f t="shared" si="73"/>
        <v>24707.104560844848</v>
      </c>
      <c r="BD201" s="128">
        <f t="shared" si="73"/>
        <v>25695.388743278643</v>
      </c>
      <c r="BE201" s="128">
        <f t="shared" si="73"/>
        <v>26723.204293009789</v>
      </c>
      <c r="BF201" s="128">
        <f t="shared" si="73"/>
        <v>27792.132464730181</v>
      </c>
      <c r="BG201" s="128">
        <f t="shared" si="73"/>
        <v>28903.817763319388</v>
      </c>
    </row>
    <row r="202" spans="1:67" ht="13.75" customHeight="1">
      <c r="A202" s="141" t="s">
        <v>166</v>
      </c>
      <c r="B202" s="170" t="s">
        <v>313</v>
      </c>
      <c r="C202" s="170"/>
      <c r="D202" s="170" t="s">
        <v>168</v>
      </c>
      <c r="E202" s="168"/>
      <c r="F202" s="168" t="s">
        <v>327</v>
      </c>
      <c r="G202" s="168" t="s">
        <v>318</v>
      </c>
      <c r="H202" s="168"/>
      <c r="I202" s="168" t="s">
        <v>321</v>
      </c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12">
        <v>4057</v>
      </c>
      <c r="V202" s="112">
        <v>5860</v>
      </c>
      <c r="W202" s="112">
        <v>6446</v>
      </c>
      <c r="X202" s="128">
        <v>3450</v>
      </c>
      <c r="Y202" s="128">
        <v>4150</v>
      </c>
      <c r="Z202" s="128">
        <v>6800</v>
      </c>
      <c r="AA202" s="128">
        <v>7961.5</v>
      </c>
      <c r="AB202" s="128">
        <v>8541</v>
      </c>
      <c r="AC202" s="128">
        <v>8835</v>
      </c>
      <c r="AD202" s="128">
        <v>9188</v>
      </c>
      <c r="AE202" s="128">
        <v>9556</v>
      </c>
      <c r="AF202" s="128">
        <v>9938</v>
      </c>
      <c r="AG202" s="128">
        <f>AG201</f>
        <v>10425</v>
      </c>
      <c r="AH202" s="128">
        <f t="shared" ref="AH202:AI204" si="76">AH201</f>
        <v>10842</v>
      </c>
      <c r="AI202" s="128">
        <f t="shared" si="76"/>
        <v>11276</v>
      </c>
      <c r="AJ202" s="128">
        <f t="shared" si="75"/>
        <v>11727.04</v>
      </c>
      <c r="AK202" s="128">
        <f t="shared" si="72"/>
        <v>12196.121600000002</v>
      </c>
      <c r="AL202" s="128">
        <f t="shared" si="72"/>
        <v>12683.966464000003</v>
      </c>
      <c r="AM202" s="128">
        <f t="shared" si="72"/>
        <v>13191.325122560003</v>
      </c>
      <c r="AN202" s="128">
        <f t="shared" si="72"/>
        <v>13718.978127462404</v>
      </c>
      <c r="AO202" s="128">
        <f t="shared" si="72"/>
        <v>14267.737252560901</v>
      </c>
      <c r="AP202" s="128">
        <f t="shared" si="72"/>
        <v>14838.446742663336</v>
      </c>
      <c r="AQ202" s="128">
        <f t="shared" si="72"/>
        <v>15431.98461236987</v>
      </c>
      <c r="AR202" s="128">
        <f t="shared" si="72"/>
        <v>16049.263996864665</v>
      </c>
      <c r="AS202" s="128">
        <f t="shared" si="72"/>
        <v>16691.234556739251</v>
      </c>
      <c r="AT202" s="128">
        <f t="shared" si="72"/>
        <v>17358.883939008821</v>
      </c>
      <c r="AU202" s="128">
        <f t="shared" si="72"/>
        <v>18053.239296569176</v>
      </c>
      <c r="AV202" s="128">
        <f t="shared" si="72"/>
        <v>18775.368868431942</v>
      </c>
      <c r="AW202" s="128">
        <f t="shared" si="72"/>
        <v>19526.383623169222</v>
      </c>
      <c r="AX202" s="128">
        <f t="shared" si="72"/>
        <v>20307.43896809599</v>
      </c>
      <c r="AY202" s="128">
        <f t="shared" si="72"/>
        <v>21119.73652681983</v>
      </c>
      <c r="AZ202" s="128">
        <f t="shared" si="73"/>
        <v>21964.525987892623</v>
      </c>
      <c r="BA202" s="128">
        <f t="shared" si="73"/>
        <v>22843.107027408329</v>
      </c>
      <c r="BB202" s="128">
        <f t="shared" si="73"/>
        <v>23756.831308504661</v>
      </c>
      <c r="BC202" s="128">
        <f t="shared" si="73"/>
        <v>24707.104560844848</v>
      </c>
      <c r="BD202" s="128">
        <f t="shared" si="73"/>
        <v>25695.388743278643</v>
      </c>
      <c r="BE202" s="128">
        <f t="shared" si="73"/>
        <v>26723.204293009789</v>
      </c>
      <c r="BF202" s="128">
        <f t="shared" si="73"/>
        <v>27792.132464730181</v>
      </c>
      <c r="BG202" s="128">
        <f t="shared" si="73"/>
        <v>28903.817763319388</v>
      </c>
    </row>
    <row r="203" spans="1:67" ht="13.75" customHeight="1">
      <c r="A203" s="141" t="s">
        <v>166</v>
      </c>
      <c r="B203" s="170" t="s">
        <v>313</v>
      </c>
      <c r="C203" s="170"/>
      <c r="D203" s="170" t="s">
        <v>168</v>
      </c>
      <c r="E203" s="168"/>
      <c r="F203" s="168" t="s">
        <v>328</v>
      </c>
      <c r="G203" s="168" t="s">
        <v>318</v>
      </c>
      <c r="H203" s="168"/>
      <c r="I203" s="168" t="s">
        <v>321</v>
      </c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12">
        <v>3562</v>
      </c>
      <c r="V203" s="112">
        <v>5017</v>
      </c>
      <c r="W203" s="112">
        <v>5427</v>
      </c>
      <c r="X203" s="128">
        <v>3450</v>
      </c>
      <c r="Y203" s="128">
        <v>4150</v>
      </c>
      <c r="Z203" s="128">
        <v>6800</v>
      </c>
      <c r="AA203" s="128">
        <v>7961.5</v>
      </c>
      <c r="AB203" s="128">
        <v>8541</v>
      </c>
      <c r="AC203" s="128">
        <v>8835</v>
      </c>
      <c r="AD203" s="128">
        <v>9188</v>
      </c>
      <c r="AE203" s="128">
        <v>9556</v>
      </c>
      <c r="AF203" s="128">
        <v>9938</v>
      </c>
      <c r="AG203" s="128">
        <f t="shared" ref="AG203:AG204" si="77">AG202</f>
        <v>10425</v>
      </c>
      <c r="AH203" s="128">
        <f t="shared" si="76"/>
        <v>10842</v>
      </c>
      <c r="AI203" s="128">
        <f t="shared" si="76"/>
        <v>11276</v>
      </c>
      <c r="AJ203" s="128">
        <f t="shared" si="75"/>
        <v>11727.04</v>
      </c>
      <c r="AK203" s="128">
        <f t="shared" si="72"/>
        <v>12196.121600000002</v>
      </c>
      <c r="AL203" s="128">
        <f t="shared" si="72"/>
        <v>12683.966464000003</v>
      </c>
      <c r="AM203" s="128">
        <f t="shared" si="72"/>
        <v>13191.325122560003</v>
      </c>
      <c r="AN203" s="128">
        <f t="shared" si="72"/>
        <v>13718.978127462404</v>
      </c>
      <c r="AO203" s="128">
        <f t="shared" si="72"/>
        <v>14267.737252560901</v>
      </c>
      <c r="AP203" s="128">
        <f t="shared" si="72"/>
        <v>14838.446742663336</v>
      </c>
      <c r="AQ203" s="128">
        <f t="shared" si="72"/>
        <v>15431.98461236987</v>
      </c>
      <c r="AR203" s="128">
        <f t="shared" si="72"/>
        <v>16049.263996864665</v>
      </c>
      <c r="AS203" s="128">
        <f t="shared" si="72"/>
        <v>16691.234556739251</v>
      </c>
      <c r="AT203" s="128">
        <f t="shared" si="72"/>
        <v>17358.883939008821</v>
      </c>
      <c r="AU203" s="128">
        <f t="shared" si="72"/>
        <v>18053.239296569176</v>
      </c>
      <c r="AV203" s="128">
        <f t="shared" si="72"/>
        <v>18775.368868431942</v>
      </c>
      <c r="AW203" s="128">
        <f t="shared" si="72"/>
        <v>19526.383623169222</v>
      </c>
      <c r="AX203" s="128">
        <f t="shared" si="72"/>
        <v>20307.43896809599</v>
      </c>
      <c r="AY203" s="128">
        <f t="shared" si="72"/>
        <v>21119.73652681983</v>
      </c>
      <c r="AZ203" s="128">
        <f t="shared" si="73"/>
        <v>21964.525987892623</v>
      </c>
      <c r="BA203" s="128">
        <f t="shared" si="73"/>
        <v>22843.107027408329</v>
      </c>
      <c r="BB203" s="128">
        <f t="shared" si="73"/>
        <v>23756.831308504661</v>
      </c>
      <c r="BC203" s="128">
        <f t="shared" si="73"/>
        <v>24707.104560844848</v>
      </c>
      <c r="BD203" s="128">
        <f t="shared" si="73"/>
        <v>25695.388743278643</v>
      </c>
      <c r="BE203" s="128">
        <f t="shared" si="73"/>
        <v>26723.204293009789</v>
      </c>
      <c r="BF203" s="128">
        <f t="shared" si="73"/>
        <v>27792.132464730181</v>
      </c>
      <c r="BG203" s="128">
        <f t="shared" si="73"/>
        <v>28903.817763319388</v>
      </c>
    </row>
    <row r="204" spans="1:67" ht="13.75" customHeight="1">
      <c r="A204" s="141" t="s">
        <v>166</v>
      </c>
      <c r="B204" s="170" t="s">
        <v>313</v>
      </c>
      <c r="C204" s="170"/>
      <c r="D204" s="170" t="s">
        <v>168</v>
      </c>
      <c r="E204" s="168"/>
      <c r="F204" s="168" t="s">
        <v>329</v>
      </c>
      <c r="G204" s="168" t="s">
        <v>318</v>
      </c>
      <c r="H204" s="168"/>
      <c r="I204" s="168" t="s">
        <v>321</v>
      </c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12">
        <v>3262</v>
      </c>
      <c r="V204" s="112">
        <v>4417</v>
      </c>
      <c r="W204" s="112">
        <v>4767</v>
      </c>
      <c r="X204" s="128">
        <v>3450</v>
      </c>
      <c r="Y204" s="128">
        <v>4150</v>
      </c>
      <c r="Z204" s="128">
        <v>6800</v>
      </c>
      <c r="AA204" s="128">
        <v>7961.5</v>
      </c>
      <c r="AB204" s="128">
        <v>8541</v>
      </c>
      <c r="AC204" s="128">
        <v>8835</v>
      </c>
      <c r="AD204" s="128">
        <v>9188</v>
      </c>
      <c r="AE204" s="128">
        <v>9556</v>
      </c>
      <c r="AF204" s="128">
        <v>9938</v>
      </c>
      <c r="AG204" s="128">
        <f t="shared" si="77"/>
        <v>10425</v>
      </c>
      <c r="AH204" s="128">
        <f t="shared" si="76"/>
        <v>10842</v>
      </c>
      <c r="AI204" s="128">
        <f t="shared" si="76"/>
        <v>11276</v>
      </c>
      <c r="AJ204" s="128">
        <f t="shared" si="75"/>
        <v>11727.04</v>
      </c>
      <c r="AK204" s="128">
        <f t="shared" si="72"/>
        <v>12196.121600000002</v>
      </c>
      <c r="AL204" s="128">
        <f t="shared" si="72"/>
        <v>12683.966464000003</v>
      </c>
      <c r="AM204" s="128">
        <f t="shared" si="72"/>
        <v>13191.325122560003</v>
      </c>
      <c r="AN204" s="128">
        <f t="shared" si="72"/>
        <v>13718.978127462404</v>
      </c>
      <c r="AO204" s="128">
        <f t="shared" si="72"/>
        <v>14267.737252560901</v>
      </c>
      <c r="AP204" s="128">
        <f t="shared" si="72"/>
        <v>14838.446742663336</v>
      </c>
      <c r="AQ204" s="128">
        <f t="shared" si="72"/>
        <v>15431.98461236987</v>
      </c>
      <c r="AR204" s="128">
        <f t="shared" si="72"/>
        <v>16049.263996864665</v>
      </c>
      <c r="AS204" s="128">
        <f t="shared" si="72"/>
        <v>16691.234556739251</v>
      </c>
      <c r="AT204" s="128">
        <f t="shared" si="72"/>
        <v>17358.883939008821</v>
      </c>
      <c r="AU204" s="128">
        <f t="shared" si="72"/>
        <v>18053.239296569176</v>
      </c>
      <c r="AV204" s="128">
        <f t="shared" si="72"/>
        <v>18775.368868431942</v>
      </c>
      <c r="AW204" s="128">
        <f t="shared" si="72"/>
        <v>19526.383623169222</v>
      </c>
      <c r="AX204" s="128">
        <f t="shared" si="72"/>
        <v>20307.43896809599</v>
      </c>
      <c r="AY204" s="128">
        <f t="shared" si="72"/>
        <v>21119.73652681983</v>
      </c>
      <c r="AZ204" s="128">
        <f t="shared" si="73"/>
        <v>21964.525987892623</v>
      </c>
      <c r="BA204" s="128">
        <f t="shared" si="73"/>
        <v>22843.107027408329</v>
      </c>
      <c r="BB204" s="128">
        <f t="shared" si="73"/>
        <v>23756.831308504661</v>
      </c>
      <c r="BC204" s="128">
        <f t="shared" si="73"/>
        <v>24707.104560844848</v>
      </c>
      <c r="BD204" s="128">
        <f t="shared" si="73"/>
        <v>25695.388743278643</v>
      </c>
      <c r="BE204" s="128">
        <f t="shared" si="73"/>
        <v>26723.204293009789</v>
      </c>
      <c r="BF204" s="128">
        <f t="shared" si="73"/>
        <v>27792.132464730181</v>
      </c>
      <c r="BG204" s="128">
        <f t="shared" si="73"/>
        <v>28903.817763319388</v>
      </c>
    </row>
    <row r="205" spans="1:67" ht="13.75" customHeight="1">
      <c r="A205" s="141" t="s">
        <v>166</v>
      </c>
      <c r="B205" s="170" t="s">
        <v>313</v>
      </c>
      <c r="C205" s="170"/>
      <c r="D205" s="170" t="s">
        <v>168</v>
      </c>
      <c r="E205" s="168"/>
      <c r="F205" s="168" t="s">
        <v>330</v>
      </c>
      <c r="G205" s="168" t="s">
        <v>318</v>
      </c>
      <c r="H205" s="168"/>
      <c r="I205" s="168" t="s">
        <v>321</v>
      </c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12">
        <v>6072</v>
      </c>
      <c r="V205" s="112">
        <v>7509</v>
      </c>
      <c r="W205" s="112">
        <v>8260</v>
      </c>
      <c r="X205" s="128">
        <v>6500</v>
      </c>
      <c r="Y205" s="128">
        <v>6000</v>
      </c>
      <c r="Z205" s="128">
        <v>5400</v>
      </c>
      <c r="AA205" s="128">
        <v>5400</v>
      </c>
      <c r="AB205" s="128">
        <v>5400</v>
      </c>
      <c r="AC205" s="128">
        <v>5616</v>
      </c>
      <c r="AD205" s="128">
        <v>5841</v>
      </c>
      <c r="AE205" s="128">
        <v>6075</v>
      </c>
      <c r="AF205" s="128">
        <v>6318</v>
      </c>
      <c r="AG205" s="128">
        <v>6628</v>
      </c>
      <c r="AH205" s="128">
        <v>6893</v>
      </c>
      <c r="AI205" s="128">
        <v>7169</v>
      </c>
      <c r="AJ205" s="128">
        <f t="shared" si="75"/>
        <v>7455.76</v>
      </c>
      <c r="AK205" s="128">
        <f t="shared" si="72"/>
        <v>7753.9904000000006</v>
      </c>
      <c r="AL205" s="128">
        <f t="shared" si="72"/>
        <v>8064.1500160000005</v>
      </c>
      <c r="AM205" s="128">
        <f t="shared" si="72"/>
        <v>8386.7160166400008</v>
      </c>
      <c r="AN205" s="128">
        <f t="shared" si="72"/>
        <v>8722.1846573056009</v>
      </c>
      <c r="AO205" s="128">
        <f t="shared" si="72"/>
        <v>9071.0720435978255</v>
      </c>
      <c r="AP205" s="128">
        <f t="shared" si="72"/>
        <v>9433.9149253417381</v>
      </c>
      <c r="AQ205" s="128">
        <f t="shared" si="72"/>
        <v>9811.2715223554078</v>
      </c>
      <c r="AR205" s="128">
        <f t="shared" si="72"/>
        <v>10203.722383249624</v>
      </c>
      <c r="AS205" s="128">
        <f t="shared" si="72"/>
        <v>10611.871278579609</v>
      </c>
      <c r="AT205" s="128">
        <f t="shared" si="72"/>
        <v>11036.346129722793</v>
      </c>
      <c r="AU205" s="128">
        <f t="shared" si="72"/>
        <v>11477.799974911706</v>
      </c>
      <c r="AV205" s="128">
        <f t="shared" si="72"/>
        <v>11936.911973908174</v>
      </c>
      <c r="AW205" s="128">
        <f t="shared" si="72"/>
        <v>12414.388452864501</v>
      </c>
      <c r="AX205" s="128">
        <f t="shared" si="72"/>
        <v>12910.963990979082</v>
      </c>
      <c r="AY205" s="128">
        <f t="shared" si="72"/>
        <v>13427.402550618246</v>
      </c>
      <c r="AZ205" s="128">
        <f t="shared" si="73"/>
        <v>13964.498652642977</v>
      </c>
      <c r="BA205" s="128">
        <f t="shared" si="73"/>
        <v>14523.078598748696</v>
      </c>
      <c r="BB205" s="128">
        <f t="shared" si="73"/>
        <v>15104.001742698645</v>
      </c>
      <c r="BC205" s="128">
        <f t="shared" si="73"/>
        <v>15708.161812406592</v>
      </c>
      <c r="BD205" s="128">
        <f t="shared" si="73"/>
        <v>16336.488284902856</v>
      </c>
      <c r="BE205" s="128">
        <f t="shared" si="73"/>
        <v>16989.947816298973</v>
      </c>
      <c r="BF205" s="128">
        <f t="shared" si="73"/>
        <v>17669.545728950932</v>
      </c>
      <c r="BG205" s="128">
        <f t="shared" si="73"/>
        <v>18376.327558108969</v>
      </c>
    </row>
    <row r="206" spans="1:67" ht="13.75" customHeight="1">
      <c r="A206" s="141" t="s">
        <v>166</v>
      </c>
      <c r="B206" s="170" t="s">
        <v>313</v>
      </c>
      <c r="C206" s="170"/>
      <c r="D206" s="170" t="s">
        <v>168</v>
      </c>
      <c r="E206" s="168"/>
      <c r="F206" s="168" t="s">
        <v>331</v>
      </c>
      <c r="G206" s="168" t="s">
        <v>318</v>
      </c>
      <c r="H206" s="168"/>
      <c r="I206" s="168" t="s">
        <v>332</v>
      </c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12">
        <v>0</v>
      </c>
      <c r="V206" s="112">
        <v>5860</v>
      </c>
      <c r="W206" s="112">
        <v>6446</v>
      </c>
      <c r="X206" s="128">
        <v>3000</v>
      </c>
      <c r="Y206" s="128">
        <v>3000</v>
      </c>
      <c r="Z206" s="128">
        <v>7800</v>
      </c>
      <c r="AA206" s="128">
        <v>8662</v>
      </c>
      <c r="AB206" s="128">
        <v>9241</v>
      </c>
      <c r="AC206" s="128">
        <v>9535</v>
      </c>
      <c r="AD206" s="128">
        <v>9916</v>
      </c>
      <c r="AE206" s="128">
        <v>10114.32</v>
      </c>
      <c r="AF206" s="128">
        <v>10316.606400000001</v>
      </c>
      <c r="AG206" s="128">
        <v>10522.938528000001</v>
      </c>
      <c r="AH206" s="128">
        <v>10733.397298560001</v>
      </c>
      <c r="AI206" s="128">
        <v>10948.065244531201</v>
      </c>
      <c r="AJ206" s="128">
        <f t="shared" si="75"/>
        <v>11385.987854312449</v>
      </c>
      <c r="AK206" s="128">
        <f t="shared" si="72"/>
        <v>11841.427368484947</v>
      </c>
      <c r="AL206" s="128">
        <f t="shared" si="72"/>
        <v>12315.084463224344</v>
      </c>
      <c r="AM206" s="128">
        <f t="shared" si="72"/>
        <v>12807.687841753319</v>
      </c>
      <c r="AN206" s="128">
        <f t="shared" si="72"/>
        <v>13319.995355423453</v>
      </c>
      <c r="AO206" s="128">
        <f t="shared" si="72"/>
        <v>13852.795169640391</v>
      </c>
      <c r="AP206" s="128">
        <f t="shared" si="72"/>
        <v>14406.906976426008</v>
      </c>
      <c r="AQ206" s="128">
        <f t="shared" si="72"/>
        <v>14983.183255483049</v>
      </c>
      <c r="AR206" s="128">
        <f t="shared" si="72"/>
        <v>15582.510585702372</v>
      </c>
      <c r="AS206" s="128">
        <f t="shared" si="72"/>
        <v>16205.811009130468</v>
      </c>
      <c r="AT206" s="128">
        <f t="shared" si="72"/>
        <v>16854.043449495686</v>
      </c>
      <c r="AU206" s="128">
        <f t="shared" si="72"/>
        <v>17528.205187475513</v>
      </c>
      <c r="AV206" s="128">
        <f t="shared" si="72"/>
        <v>18229.333394974532</v>
      </c>
      <c r="AW206" s="128">
        <f t="shared" si="72"/>
        <v>18958.506730773515</v>
      </c>
      <c r="AX206" s="128">
        <f t="shared" si="72"/>
        <v>19716.847000004458</v>
      </c>
      <c r="AY206" s="128">
        <f t="shared" si="72"/>
        <v>20505.520880004638</v>
      </c>
      <c r="AZ206" s="128">
        <f t="shared" si="73"/>
        <v>21325.741715204826</v>
      </c>
      <c r="BA206" s="128">
        <f t="shared" si="73"/>
        <v>22178.771383813018</v>
      </c>
      <c r="BB206" s="128">
        <f t="shared" si="73"/>
        <v>23065.922239165538</v>
      </c>
      <c r="BC206" s="128">
        <f t="shared" si="73"/>
        <v>23988.559128732162</v>
      </c>
      <c r="BD206" s="128">
        <f t="shared" si="73"/>
        <v>24948.101493881448</v>
      </c>
      <c r="BE206" s="128">
        <f t="shared" si="73"/>
        <v>25946.025553636708</v>
      </c>
      <c r="BF206" s="128">
        <f t="shared" si="73"/>
        <v>26983.866575782176</v>
      </c>
      <c r="BG206" s="128">
        <f t="shared" si="73"/>
        <v>28063.221238813465</v>
      </c>
    </row>
    <row r="207" spans="1:67" ht="13.75" customHeight="1">
      <c r="A207" s="141" t="s">
        <v>166</v>
      </c>
      <c r="B207" s="170" t="s">
        <v>313</v>
      </c>
      <c r="C207" s="170"/>
      <c r="D207" s="170" t="s">
        <v>168</v>
      </c>
      <c r="E207" s="168"/>
      <c r="F207" s="168" t="s">
        <v>333</v>
      </c>
      <c r="G207" s="168" t="s">
        <v>318</v>
      </c>
      <c r="H207" s="168"/>
      <c r="I207" s="168" t="s">
        <v>321</v>
      </c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12">
        <v>0</v>
      </c>
      <c r="V207" s="112">
        <v>0</v>
      </c>
      <c r="W207" s="112">
        <v>0</v>
      </c>
      <c r="X207" s="128">
        <v>2300</v>
      </c>
      <c r="Y207" s="128">
        <v>3000</v>
      </c>
      <c r="Z207" s="128">
        <v>2800</v>
      </c>
      <c r="AA207" s="128">
        <v>2800</v>
      </c>
      <c r="AB207" s="128">
        <v>2929.2579999999998</v>
      </c>
      <c r="AC207" s="128">
        <v>3057.7420000000002</v>
      </c>
      <c r="AD207" s="128">
        <v>3187</v>
      </c>
      <c r="AE207" s="128">
        <v>3316.2579999999998</v>
      </c>
      <c r="AF207" s="128">
        <v>3444.7420000000002</v>
      </c>
      <c r="AG207" s="128">
        <v>3574</v>
      </c>
      <c r="AH207" s="129">
        <f t="shared" ref="AH207:AJ208" si="78">AG207*(1+AH$3)</f>
        <v>3718.5900749018433</v>
      </c>
      <c r="AI207" s="129">
        <f t="shared" si="78"/>
        <v>3868.7890999350425</v>
      </c>
      <c r="AJ207" s="129">
        <f t="shared" si="78"/>
        <v>4023.5406639324442</v>
      </c>
      <c r="AK207" s="129">
        <f t="shared" si="72"/>
        <v>4184.4822904897419</v>
      </c>
      <c r="AL207" s="129">
        <f t="shared" si="72"/>
        <v>4351.8615821093317</v>
      </c>
      <c r="AM207" s="129">
        <f t="shared" si="72"/>
        <v>4525.9360453937052</v>
      </c>
      <c r="AN207" s="129">
        <f t="shared" si="72"/>
        <v>4706.9734872094532</v>
      </c>
      <c r="AO207" s="129">
        <f t="shared" si="72"/>
        <v>4895.2524266978317</v>
      </c>
      <c r="AP207" s="129">
        <f t="shared" si="72"/>
        <v>5091.062523765745</v>
      </c>
      <c r="AQ207" s="129">
        <f t="shared" si="72"/>
        <v>5294.7050247163752</v>
      </c>
      <c r="AR207" s="129">
        <f t="shared" si="72"/>
        <v>5506.4932257050305</v>
      </c>
      <c r="AS207" s="129">
        <f t="shared" si="72"/>
        <v>5726.7529547332315</v>
      </c>
      <c r="AT207" s="129">
        <f t="shared" si="72"/>
        <v>5955.8230729225606</v>
      </c>
      <c r="AU207" s="129">
        <f t="shared" si="72"/>
        <v>6194.0559958394633</v>
      </c>
      <c r="AV207" s="129">
        <f t="shared" si="72"/>
        <v>6441.8182356730422</v>
      </c>
      <c r="AW207" s="129">
        <f t="shared" si="72"/>
        <v>6699.4909650999643</v>
      </c>
      <c r="AX207" s="129">
        <f t="shared" si="72"/>
        <v>6967.4706037039632</v>
      </c>
      <c r="AY207" s="129">
        <f t="shared" si="72"/>
        <v>7246.1694278521218</v>
      </c>
      <c r="AZ207" s="129">
        <f t="shared" si="73"/>
        <v>7536.0162049662067</v>
      </c>
      <c r="BA207" s="129">
        <f t="shared" si="73"/>
        <v>7837.4568531648556</v>
      </c>
      <c r="BB207" s="129">
        <f t="shared" si="73"/>
        <v>8150.9551272914505</v>
      </c>
      <c r="BC207" s="129">
        <f t="shared" si="73"/>
        <v>8476.9933323831083</v>
      </c>
      <c r="BD207" s="129">
        <f t="shared" si="73"/>
        <v>8816.0730656784326</v>
      </c>
      <c r="BE207" s="129">
        <f t="shared" si="73"/>
        <v>9168.7159883055701</v>
      </c>
      <c r="BF207" s="129">
        <f t="shared" si="73"/>
        <v>9535.4646278377932</v>
      </c>
      <c r="BG207" s="129">
        <f t="shared" si="73"/>
        <v>9916.8832129513048</v>
      </c>
    </row>
    <row r="208" spans="1:67" ht="13.75" customHeight="1">
      <c r="A208" s="141" t="s">
        <v>166</v>
      </c>
      <c r="B208" s="170" t="s">
        <v>313</v>
      </c>
      <c r="C208" s="170"/>
      <c r="D208" s="170" t="s">
        <v>168</v>
      </c>
      <c r="F208" s="168" t="s">
        <v>334</v>
      </c>
      <c r="G208" s="168" t="s">
        <v>318</v>
      </c>
      <c r="I208" s="168" t="s">
        <v>321</v>
      </c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12">
        <v>0</v>
      </c>
      <c r="V208" s="112">
        <v>0</v>
      </c>
      <c r="W208" s="112">
        <v>0</v>
      </c>
      <c r="X208" s="128">
        <v>2300</v>
      </c>
      <c r="Y208" s="128">
        <v>3000</v>
      </c>
      <c r="Z208" s="128">
        <v>2800</v>
      </c>
      <c r="AA208" s="128">
        <v>2800</v>
      </c>
      <c r="AB208" s="128">
        <v>2800</v>
      </c>
      <c r="AC208" s="128">
        <v>2800</v>
      </c>
      <c r="AD208" s="128">
        <v>2800</v>
      </c>
      <c r="AE208" s="128">
        <v>2800</v>
      </c>
      <c r="AF208" s="128">
        <v>2800</v>
      </c>
      <c r="AG208" s="128">
        <v>2800</v>
      </c>
      <c r="AH208" s="128">
        <v>2800</v>
      </c>
      <c r="AI208" s="128">
        <v>2800</v>
      </c>
      <c r="AJ208" s="128">
        <f t="shared" si="78"/>
        <v>2912</v>
      </c>
      <c r="AK208" s="128">
        <f t="shared" si="72"/>
        <v>3028.48</v>
      </c>
      <c r="AL208" s="128">
        <f t="shared" si="72"/>
        <v>3149.6192000000001</v>
      </c>
      <c r="AM208" s="128">
        <f t="shared" si="72"/>
        <v>3275.6039680000004</v>
      </c>
      <c r="AN208" s="128">
        <f t="shared" si="72"/>
        <v>3406.6281267200006</v>
      </c>
      <c r="AO208" s="128">
        <f t="shared" si="72"/>
        <v>3542.8932517888006</v>
      </c>
      <c r="AP208" s="128">
        <f t="shared" si="72"/>
        <v>3684.6089818603527</v>
      </c>
      <c r="AQ208" s="128">
        <f t="shared" si="72"/>
        <v>3831.993341134767</v>
      </c>
      <c r="AR208" s="128">
        <f t="shared" si="72"/>
        <v>3985.2730747801579</v>
      </c>
      <c r="AS208" s="128">
        <f t="shared" si="72"/>
        <v>4144.6839977713644</v>
      </c>
      <c r="AT208" s="128">
        <f t="shared" si="72"/>
        <v>4310.4713576822187</v>
      </c>
      <c r="AU208" s="128">
        <f t="shared" si="72"/>
        <v>4482.8902119895074</v>
      </c>
      <c r="AV208" s="128">
        <f t="shared" si="72"/>
        <v>4662.2058204690875</v>
      </c>
      <c r="AW208" s="128">
        <f t="shared" si="72"/>
        <v>4848.6940532878516</v>
      </c>
      <c r="AX208" s="128">
        <f t="shared" si="72"/>
        <v>5042.6418154193661</v>
      </c>
      <c r="AY208" s="128">
        <f t="shared" si="72"/>
        <v>5244.3474880361409</v>
      </c>
      <c r="AZ208" s="128">
        <f t="shared" si="73"/>
        <v>5454.1213875575868</v>
      </c>
      <c r="BA208" s="128">
        <f t="shared" si="73"/>
        <v>5672.2862430598907</v>
      </c>
      <c r="BB208" s="128">
        <f t="shared" si="73"/>
        <v>5899.1776927822866</v>
      </c>
      <c r="BC208" s="128">
        <f t="shared" si="73"/>
        <v>6135.1448004935783</v>
      </c>
      <c r="BD208" s="128">
        <f t="shared" si="73"/>
        <v>6380.550592513322</v>
      </c>
      <c r="BE208" s="128">
        <f t="shared" si="73"/>
        <v>6635.7726162138551</v>
      </c>
      <c r="BF208" s="128">
        <f t="shared" si="73"/>
        <v>6901.2035208624093</v>
      </c>
      <c r="BG208" s="128">
        <f t="shared" si="73"/>
        <v>7177.251661696906</v>
      </c>
    </row>
    <row r="209" spans="1:59" ht="13.75" customHeight="1">
      <c r="A209" s="141" t="s">
        <v>166</v>
      </c>
      <c r="B209" s="170" t="s">
        <v>313</v>
      </c>
      <c r="C209" s="170"/>
      <c r="D209" s="170" t="s">
        <v>168</v>
      </c>
      <c r="E209" s="168"/>
      <c r="F209" s="168" t="s">
        <v>335</v>
      </c>
      <c r="G209" s="168" t="s">
        <v>3</v>
      </c>
      <c r="H209" s="168"/>
      <c r="I209" s="168" t="s">
        <v>336</v>
      </c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7"/>
      <c r="V209" s="107"/>
      <c r="W209" s="107"/>
      <c r="X209" s="107">
        <v>0.42</v>
      </c>
      <c r="Y209" s="107">
        <v>0.42</v>
      </c>
      <c r="Z209" s="107">
        <v>0.3</v>
      </c>
      <c r="AA209" s="107">
        <v>0.3</v>
      </c>
      <c r="AB209" s="107">
        <v>0.3</v>
      </c>
      <c r="AC209" s="107">
        <v>0.3</v>
      </c>
      <c r="AD209" s="107">
        <v>0.3</v>
      </c>
      <c r="AE209" s="107">
        <v>0.3</v>
      </c>
      <c r="AF209" s="107">
        <v>0.3</v>
      </c>
      <c r="AG209" s="107">
        <v>0.3</v>
      </c>
      <c r="AH209" s="107">
        <v>0.3</v>
      </c>
      <c r="AI209" s="107">
        <v>0.3</v>
      </c>
      <c r="AJ209" s="107">
        <v>0.3</v>
      </c>
      <c r="AK209" s="107">
        <v>0.3</v>
      </c>
      <c r="AL209" s="107">
        <v>0.3</v>
      </c>
      <c r="AM209" s="107">
        <v>0.3</v>
      </c>
      <c r="AN209" s="107">
        <f>AM209</f>
        <v>0.3</v>
      </c>
      <c r="AO209" s="107">
        <v>0.3</v>
      </c>
      <c r="AP209" s="107">
        <v>0.3</v>
      </c>
      <c r="AQ209" s="107">
        <v>0.3</v>
      </c>
      <c r="AR209" s="107">
        <v>0.3</v>
      </c>
      <c r="AS209" s="107">
        <v>0.3</v>
      </c>
      <c r="AT209" s="107">
        <v>0.3</v>
      </c>
      <c r="AU209" s="107">
        <v>0.3</v>
      </c>
      <c r="AV209" s="107">
        <v>0.3</v>
      </c>
      <c r="AW209" s="107">
        <v>0.3</v>
      </c>
      <c r="AX209" s="107">
        <v>0.3</v>
      </c>
      <c r="AY209" s="107">
        <v>0.3</v>
      </c>
      <c r="AZ209" s="107">
        <f t="shared" ref="AZ209:BG215" si="79">AY209</f>
        <v>0.3</v>
      </c>
      <c r="BA209" s="107">
        <f t="shared" si="79"/>
        <v>0.3</v>
      </c>
      <c r="BB209" s="107">
        <f t="shared" si="79"/>
        <v>0.3</v>
      </c>
      <c r="BC209" s="107">
        <f t="shared" si="79"/>
        <v>0.3</v>
      </c>
      <c r="BD209" s="107">
        <f t="shared" si="79"/>
        <v>0.3</v>
      </c>
      <c r="BE209" s="107">
        <f t="shared" si="79"/>
        <v>0.3</v>
      </c>
      <c r="BF209" s="107">
        <f t="shared" si="79"/>
        <v>0.3</v>
      </c>
      <c r="BG209" s="107">
        <f t="shared" si="79"/>
        <v>0.3</v>
      </c>
    </row>
    <row r="210" spans="1:59" ht="13.75" customHeight="1">
      <c r="A210" s="141" t="s">
        <v>166</v>
      </c>
      <c r="B210" s="170" t="s">
        <v>313</v>
      </c>
      <c r="C210" s="170"/>
      <c r="D210" s="170" t="s">
        <v>168</v>
      </c>
      <c r="E210" s="168"/>
      <c r="F210" s="168" t="s">
        <v>337</v>
      </c>
      <c r="G210" s="168" t="s">
        <v>3</v>
      </c>
      <c r="H210" s="168"/>
      <c r="I210" s="168" t="s">
        <v>338</v>
      </c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7"/>
      <c r="V210" s="107"/>
      <c r="W210" s="107"/>
      <c r="X210" s="107">
        <v>0.48</v>
      </c>
      <c r="Y210" s="107">
        <v>0.4</v>
      </c>
      <c r="Z210" s="107">
        <v>0.3</v>
      </c>
      <c r="AA210" s="107">
        <v>0.3</v>
      </c>
      <c r="AB210" s="107">
        <v>0.3</v>
      </c>
      <c r="AC210" s="107">
        <v>0.3</v>
      </c>
      <c r="AD210" s="107">
        <v>0.3</v>
      </c>
      <c r="AE210" s="107">
        <v>0.3</v>
      </c>
      <c r="AF210" s="107">
        <v>0.3</v>
      </c>
      <c r="AG210" s="107">
        <v>0.3</v>
      </c>
      <c r="AH210" s="107">
        <v>0.3</v>
      </c>
      <c r="AI210" s="107">
        <v>0.3</v>
      </c>
      <c r="AJ210" s="107">
        <v>0.3</v>
      </c>
      <c r="AK210" s="107">
        <v>0.3</v>
      </c>
      <c r="AL210" s="107">
        <v>0.3</v>
      </c>
      <c r="AM210" s="107">
        <v>0.3</v>
      </c>
      <c r="AN210" s="107">
        <f t="shared" ref="AN210:AN215" si="80">AM210</f>
        <v>0.3</v>
      </c>
      <c r="AO210" s="107">
        <v>0.3</v>
      </c>
      <c r="AP210" s="107">
        <v>0.3</v>
      </c>
      <c r="AQ210" s="107">
        <v>0.3</v>
      </c>
      <c r="AR210" s="107">
        <v>0.3</v>
      </c>
      <c r="AS210" s="107">
        <v>0.3</v>
      </c>
      <c r="AT210" s="107">
        <v>0.3</v>
      </c>
      <c r="AU210" s="107">
        <v>0.3</v>
      </c>
      <c r="AV210" s="107">
        <v>0.3</v>
      </c>
      <c r="AW210" s="107">
        <v>0.3</v>
      </c>
      <c r="AX210" s="107">
        <v>0.3</v>
      </c>
      <c r="AY210" s="107">
        <v>0.3</v>
      </c>
      <c r="AZ210" s="107">
        <f t="shared" si="79"/>
        <v>0.3</v>
      </c>
      <c r="BA210" s="107">
        <f t="shared" si="79"/>
        <v>0.3</v>
      </c>
      <c r="BB210" s="107">
        <f t="shared" si="79"/>
        <v>0.3</v>
      </c>
      <c r="BC210" s="107">
        <f t="shared" si="79"/>
        <v>0.3</v>
      </c>
      <c r="BD210" s="107">
        <f t="shared" si="79"/>
        <v>0.3</v>
      </c>
      <c r="BE210" s="107">
        <f t="shared" si="79"/>
        <v>0.3</v>
      </c>
      <c r="BF210" s="107">
        <f t="shared" si="79"/>
        <v>0.3</v>
      </c>
      <c r="BG210" s="107">
        <f t="shared" si="79"/>
        <v>0.3</v>
      </c>
    </row>
    <row r="211" spans="1:59" ht="13.75" customHeight="1">
      <c r="A211" s="141" t="s">
        <v>166</v>
      </c>
      <c r="B211" s="170" t="s">
        <v>313</v>
      </c>
      <c r="C211" s="170"/>
      <c r="D211" s="170" t="s">
        <v>168</v>
      </c>
      <c r="E211" s="168"/>
      <c r="F211" s="168" t="s">
        <v>339</v>
      </c>
      <c r="G211" s="168" t="s">
        <v>3</v>
      </c>
      <c r="H211" s="168"/>
      <c r="I211" s="168" t="s">
        <v>338</v>
      </c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7"/>
      <c r="V211" s="107"/>
      <c r="W211" s="107"/>
      <c r="X211" s="107">
        <v>0.78</v>
      </c>
      <c r="Y211" s="107">
        <v>0.61</v>
      </c>
      <c r="Z211" s="107">
        <v>0.3</v>
      </c>
      <c r="AA211" s="107">
        <v>0.3</v>
      </c>
      <c r="AB211" s="107">
        <v>0.3</v>
      </c>
      <c r="AC211" s="107">
        <v>0.3</v>
      </c>
      <c r="AD211" s="107">
        <v>0.3</v>
      </c>
      <c r="AE211" s="107">
        <v>0.3</v>
      </c>
      <c r="AF211" s="107">
        <v>0.3</v>
      </c>
      <c r="AG211" s="107">
        <v>0.3</v>
      </c>
      <c r="AH211" s="107">
        <v>0.3</v>
      </c>
      <c r="AI211" s="107">
        <v>0.3</v>
      </c>
      <c r="AJ211" s="107">
        <v>0.3</v>
      </c>
      <c r="AK211" s="107">
        <v>0.3</v>
      </c>
      <c r="AL211" s="107">
        <v>0.3</v>
      </c>
      <c r="AM211" s="107">
        <v>0.3</v>
      </c>
      <c r="AN211" s="107">
        <f t="shared" si="80"/>
        <v>0.3</v>
      </c>
      <c r="AO211" s="107">
        <v>0.3</v>
      </c>
      <c r="AP211" s="107">
        <v>0.3</v>
      </c>
      <c r="AQ211" s="107">
        <v>0.3</v>
      </c>
      <c r="AR211" s="107">
        <v>0.3</v>
      </c>
      <c r="AS211" s="107">
        <v>0.3</v>
      </c>
      <c r="AT211" s="107">
        <v>0.3</v>
      </c>
      <c r="AU211" s="107">
        <v>0.3</v>
      </c>
      <c r="AV211" s="107">
        <v>0.3</v>
      </c>
      <c r="AW211" s="107">
        <v>0.3</v>
      </c>
      <c r="AX211" s="107">
        <v>0.3</v>
      </c>
      <c r="AY211" s="107">
        <v>0.3</v>
      </c>
      <c r="AZ211" s="107">
        <f t="shared" si="79"/>
        <v>0.3</v>
      </c>
      <c r="BA211" s="107">
        <f t="shared" si="79"/>
        <v>0.3</v>
      </c>
      <c r="BB211" s="107">
        <f t="shared" si="79"/>
        <v>0.3</v>
      </c>
      <c r="BC211" s="107">
        <f t="shared" si="79"/>
        <v>0.3</v>
      </c>
      <c r="BD211" s="107">
        <f t="shared" si="79"/>
        <v>0.3</v>
      </c>
      <c r="BE211" s="107">
        <f t="shared" si="79"/>
        <v>0.3</v>
      </c>
      <c r="BF211" s="107">
        <f t="shared" si="79"/>
        <v>0.3</v>
      </c>
      <c r="BG211" s="107">
        <f t="shared" si="79"/>
        <v>0.3</v>
      </c>
    </row>
    <row r="212" spans="1:59" ht="13.75" customHeight="1">
      <c r="A212" s="141" t="s">
        <v>166</v>
      </c>
      <c r="B212" s="170" t="s">
        <v>313</v>
      </c>
      <c r="C212" s="170"/>
      <c r="D212" s="170" t="s">
        <v>168</v>
      </c>
      <c r="E212" s="168"/>
      <c r="F212" s="168" t="s">
        <v>340</v>
      </c>
      <c r="G212" s="168" t="s">
        <v>3</v>
      </c>
      <c r="H212" s="168"/>
      <c r="I212" s="168" t="s">
        <v>338</v>
      </c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7"/>
      <c r="V212" s="107"/>
      <c r="W212" s="107"/>
      <c r="X212" s="107">
        <v>0.85</v>
      </c>
      <c r="Y212" s="107">
        <v>0.71</v>
      </c>
      <c r="Z212" s="107">
        <v>0.55000000000000004</v>
      </c>
      <c r="AA212" s="107">
        <v>0.55000000000000004</v>
      </c>
      <c r="AB212" s="107">
        <v>0.55000000000000004</v>
      </c>
      <c r="AC212" s="107">
        <v>0.55000000000000004</v>
      </c>
      <c r="AD212" s="107">
        <v>0.55000000000000004</v>
      </c>
      <c r="AE212" s="107">
        <v>0.55000000000000004</v>
      </c>
      <c r="AF212" s="107">
        <v>0.55000000000000004</v>
      </c>
      <c r="AG212" s="107">
        <v>0.55000000000000004</v>
      </c>
      <c r="AH212" s="107">
        <v>0.55000000000000004</v>
      </c>
      <c r="AI212" s="107">
        <v>0.55000000000000004</v>
      </c>
      <c r="AJ212" s="107">
        <v>0.55000000000000004</v>
      </c>
      <c r="AK212" s="107">
        <v>0.55000000000000004</v>
      </c>
      <c r="AL212" s="107">
        <v>0.55000000000000004</v>
      </c>
      <c r="AM212" s="107">
        <v>0.55000000000000004</v>
      </c>
      <c r="AN212" s="107">
        <f t="shared" si="80"/>
        <v>0.55000000000000004</v>
      </c>
      <c r="AO212" s="107">
        <v>0.55000000000000004</v>
      </c>
      <c r="AP212" s="107">
        <v>0.55000000000000004</v>
      </c>
      <c r="AQ212" s="107">
        <v>0.55000000000000004</v>
      </c>
      <c r="AR212" s="107">
        <v>0.55000000000000004</v>
      </c>
      <c r="AS212" s="107">
        <v>0.55000000000000004</v>
      </c>
      <c r="AT212" s="107">
        <v>0.55000000000000004</v>
      </c>
      <c r="AU212" s="107">
        <v>0.55000000000000004</v>
      </c>
      <c r="AV212" s="107">
        <v>0.55000000000000004</v>
      </c>
      <c r="AW212" s="107">
        <v>0.55000000000000004</v>
      </c>
      <c r="AX212" s="107">
        <v>0.55000000000000004</v>
      </c>
      <c r="AY212" s="107">
        <v>0.55000000000000004</v>
      </c>
      <c r="AZ212" s="107">
        <f t="shared" si="79"/>
        <v>0.55000000000000004</v>
      </c>
      <c r="BA212" s="107">
        <f t="shared" si="79"/>
        <v>0.55000000000000004</v>
      </c>
      <c r="BB212" s="107">
        <f t="shared" si="79"/>
        <v>0.55000000000000004</v>
      </c>
      <c r="BC212" s="107">
        <f t="shared" si="79"/>
        <v>0.55000000000000004</v>
      </c>
      <c r="BD212" s="107">
        <f t="shared" si="79"/>
        <v>0.55000000000000004</v>
      </c>
      <c r="BE212" s="107">
        <f t="shared" si="79"/>
        <v>0.55000000000000004</v>
      </c>
      <c r="BF212" s="107">
        <f t="shared" si="79"/>
        <v>0.55000000000000004</v>
      </c>
      <c r="BG212" s="107">
        <f t="shared" si="79"/>
        <v>0.55000000000000004</v>
      </c>
    </row>
    <row r="213" spans="1:59" ht="13.75" customHeight="1">
      <c r="A213" s="141" t="s">
        <v>166</v>
      </c>
      <c r="B213" s="170" t="s">
        <v>313</v>
      </c>
      <c r="C213" s="170"/>
      <c r="D213" s="170" t="s">
        <v>168</v>
      </c>
      <c r="E213" s="168"/>
      <c r="F213" s="168" t="s">
        <v>341</v>
      </c>
      <c r="G213" s="168" t="s">
        <v>3</v>
      </c>
      <c r="H213" s="168"/>
      <c r="I213" s="168" t="s">
        <v>338</v>
      </c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7"/>
      <c r="V213" s="107"/>
      <c r="W213" s="107"/>
      <c r="X213" s="107">
        <v>0.76</v>
      </c>
      <c r="Y213" s="107">
        <v>0.82</v>
      </c>
      <c r="Z213" s="107">
        <v>1</v>
      </c>
      <c r="AA213" s="107">
        <v>1</v>
      </c>
      <c r="AB213" s="107">
        <v>1</v>
      </c>
      <c r="AC213" s="107">
        <v>1</v>
      </c>
      <c r="AD213" s="107">
        <v>1</v>
      </c>
      <c r="AE213" s="107">
        <v>1</v>
      </c>
      <c r="AF213" s="107">
        <v>1</v>
      </c>
      <c r="AG213" s="107">
        <v>1</v>
      </c>
      <c r="AH213" s="107">
        <v>1</v>
      </c>
      <c r="AI213" s="107">
        <v>1</v>
      </c>
      <c r="AJ213" s="107">
        <v>1</v>
      </c>
      <c r="AK213" s="107">
        <v>1</v>
      </c>
      <c r="AL213" s="107">
        <v>1</v>
      </c>
      <c r="AM213" s="107">
        <v>1</v>
      </c>
      <c r="AN213" s="107">
        <f t="shared" si="80"/>
        <v>1</v>
      </c>
      <c r="AO213" s="107">
        <v>1</v>
      </c>
      <c r="AP213" s="107">
        <v>1</v>
      </c>
      <c r="AQ213" s="107">
        <v>1</v>
      </c>
      <c r="AR213" s="107">
        <v>1</v>
      </c>
      <c r="AS213" s="107">
        <v>1</v>
      </c>
      <c r="AT213" s="107">
        <v>1</v>
      </c>
      <c r="AU213" s="107">
        <v>1</v>
      </c>
      <c r="AV213" s="107">
        <v>1</v>
      </c>
      <c r="AW213" s="107">
        <v>1</v>
      </c>
      <c r="AX213" s="107">
        <v>1</v>
      </c>
      <c r="AY213" s="107">
        <v>1</v>
      </c>
      <c r="AZ213" s="107">
        <f t="shared" si="79"/>
        <v>1</v>
      </c>
      <c r="BA213" s="107">
        <f t="shared" si="79"/>
        <v>1</v>
      </c>
      <c r="BB213" s="107">
        <f t="shared" si="79"/>
        <v>1</v>
      </c>
      <c r="BC213" s="107">
        <f t="shared" si="79"/>
        <v>1</v>
      </c>
      <c r="BD213" s="107">
        <f t="shared" si="79"/>
        <v>1</v>
      </c>
      <c r="BE213" s="107">
        <f t="shared" si="79"/>
        <v>1</v>
      </c>
      <c r="BF213" s="107">
        <f t="shared" si="79"/>
        <v>1</v>
      </c>
      <c r="BG213" s="107">
        <f t="shared" si="79"/>
        <v>1</v>
      </c>
    </row>
    <row r="214" spans="1:59" ht="13.75" customHeight="1">
      <c r="A214" s="141" t="s">
        <v>166</v>
      </c>
      <c r="B214" s="170" t="s">
        <v>313</v>
      </c>
      <c r="C214" s="170"/>
      <c r="D214" s="170" t="s">
        <v>168</v>
      </c>
      <c r="E214" s="168"/>
      <c r="F214" s="168" t="s">
        <v>342</v>
      </c>
      <c r="G214" s="168" t="s">
        <v>3</v>
      </c>
      <c r="H214" s="168"/>
      <c r="I214" s="168" t="s">
        <v>338</v>
      </c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7"/>
      <c r="V214" s="107"/>
      <c r="W214" s="107"/>
      <c r="X214" s="107">
        <v>0.48</v>
      </c>
      <c r="Y214" s="107">
        <v>0.4</v>
      </c>
      <c r="Z214" s="107">
        <v>0.3</v>
      </c>
      <c r="AA214" s="107">
        <v>0.3</v>
      </c>
      <c r="AB214" s="107">
        <v>0.3</v>
      </c>
      <c r="AC214" s="107">
        <v>0.3</v>
      </c>
      <c r="AD214" s="107">
        <v>0.3</v>
      </c>
      <c r="AE214" s="107">
        <v>0.3</v>
      </c>
      <c r="AF214" s="107">
        <v>0.3</v>
      </c>
      <c r="AG214" s="107">
        <v>0.3</v>
      </c>
      <c r="AH214" s="107">
        <v>0.3</v>
      </c>
      <c r="AI214" s="107">
        <v>0.3</v>
      </c>
      <c r="AJ214" s="107">
        <v>0.3</v>
      </c>
      <c r="AK214" s="107">
        <v>0.3</v>
      </c>
      <c r="AL214" s="107">
        <v>0.3</v>
      </c>
      <c r="AM214" s="107">
        <v>0.3</v>
      </c>
      <c r="AN214" s="107">
        <f t="shared" si="80"/>
        <v>0.3</v>
      </c>
      <c r="AO214" s="107">
        <v>0.3</v>
      </c>
      <c r="AP214" s="107">
        <v>0.3</v>
      </c>
      <c r="AQ214" s="107">
        <v>0.3</v>
      </c>
      <c r="AR214" s="107">
        <v>0.3</v>
      </c>
      <c r="AS214" s="107">
        <v>0.3</v>
      </c>
      <c r="AT214" s="107">
        <v>0.3</v>
      </c>
      <c r="AU214" s="107">
        <v>0.3</v>
      </c>
      <c r="AV214" s="107">
        <v>0.3</v>
      </c>
      <c r="AW214" s="107">
        <v>0.3</v>
      </c>
      <c r="AX214" s="107">
        <v>0.3</v>
      </c>
      <c r="AY214" s="107">
        <v>0.3</v>
      </c>
      <c r="AZ214" s="107">
        <f t="shared" si="79"/>
        <v>0.3</v>
      </c>
      <c r="BA214" s="107">
        <f t="shared" si="79"/>
        <v>0.3</v>
      </c>
      <c r="BB214" s="107">
        <f t="shared" si="79"/>
        <v>0.3</v>
      </c>
      <c r="BC214" s="107">
        <f t="shared" si="79"/>
        <v>0.3</v>
      </c>
      <c r="BD214" s="107">
        <f t="shared" si="79"/>
        <v>0.3</v>
      </c>
      <c r="BE214" s="107">
        <f t="shared" si="79"/>
        <v>0.3</v>
      </c>
      <c r="BF214" s="107">
        <f t="shared" si="79"/>
        <v>0.3</v>
      </c>
      <c r="BG214" s="107">
        <f t="shared" si="79"/>
        <v>0.3</v>
      </c>
    </row>
    <row r="215" spans="1:59" ht="13.75" customHeight="1">
      <c r="A215" s="141" t="s">
        <v>166</v>
      </c>
      <c r="B215" s="170" t="s">
        <v>313</v>
      </c>
      <c r="C215" s="170"/>
      <c r="D215" s="170" t="s">
        <v>168</v>
      </c>
      <c r="E215" s="168"/>
      <c r="F215" s="168" t="s">
        <v>343</v>
      </c>
      <c r="G215" s="168" t="s">
        <v>3</v>
      </c>
      <c r="H215" s="168"/>
      <c r="I215" s="168" t="s">
        <v>338</v>
      </c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7"/>
      <c r="V215" s="107"/>
      <c r="W215" s="107"/>
      <c r="X215" s="107">
        <v>6.5000000000000002E-2</v>
      </c>
      <c r="Y215" s="107">
        <v>6.5000000000000002E-2</v>
      </c>
      <c r="Z215" s="107">
        <v>6.5000000000000002E-2</v>
      </c>
      <c r="AA215" s="107">
        <v>6.5000000000000002E-2</v>
      </c>
      <c r="AB215" s="107">
        <v>6.5000000000000002E-2</v>
      </c>
      <c r="AC215" s="107">
        <v>6.5000000000000002E-2</v>
      </c>
      <c r="AD215" s="107">
        <v>6.5000000000000002E-2</v>
      </c>
      <c r="AE215" s="107">
        <v>6.5000000000000002E-2</v>
      </c>
      <c r="AF215" s="107">
        <v>6.5000000000000002E-2</v>
      </c>
      <c r="AG215" s="107">
        <v>6.5000000000000002E-2</v>
      </c>
      <c r="AH215" s="107">
        <v>6.5000000000000002E-2</v>
      </c>
      <c r="AI215" s="107">
        <v>6.5000000000000002E-2</v>
      </c>
      <c r="AJ215" s="107">
        <v>6.5000000000000002E-2</v>
      </c>
      <c r="AK215" s="107">
        <v>6.5000000000000002E-2</v>
      </c>
      <c r="AL215" s="107">
        <v>6.5000000000000002E-2</v>
      </c>
      <c r="AM215" s="107">
        <v>6.5000000000000002E-2</v>
      </c>
      <c r="AN215" s="107">
        <f t="shared" si="80"/>
        <v>6.5000000000000002E-2</v>
      </c>
      <c r="AO215" s="107">
        <v>6.5000000000000002E-2</v>
      </c>
      <c r="AP215" s="107">
        <v>6.5000000000000002E-2</v>
      </c>
      <c r="AQ215" s="107">
        <v>6.5000000000000002E-2</v>
      </c>
      <c r="AR215" s="107">
        <v>6.5000000000000002E-2</v>
      </c>
      <c r="AS215" s="107">
        <v>6.5000000000000002E-2</v>
      </c>
      <c r="AT215" s="107">
        <v>6.5000000000000002E-2</v>
      </c>
      <c r="AU215" s="107">
        <v>6.5000000000000002E-2</v>
      </c>
      <c r="AV215" s="107">
        <v>6.5000000000000002E-2</v>
      </c>
      <c r="AW215" s="107">
        <v>6.5000000000000002E-2</v>
      </c>
      <c r="AX215" s="107">
        <v>6.5000000000000002E-2</v>
      </c>
      <c r="AY215" s="107">
        <v>6.5000000000000002E-2</v>
      </c>
      <c r="AZ215" s="107">
        <f>AY215</f>
        <v>6.5000000000000002E-2</v>
      </c>
      <c r="BA215" s="107">
        <f t="shared" si="79"/>
        <v>6.5000000000000002E-2</v>
      </c>
      <c r="BB215" s="107">
        <f t="shared" si="79"/>
        <v>6.5000000000000002E-2</v>
      </c>
      <c r="BC215" s="107">
        <f t="shared" si="79"/>
        <v>6.5000000000000002E-2</v>
      </c>
      <c r="BD215" s="107">
        <f t="shared" si="79"/>
        <v>6.5000000000000002E-2</v>
      </c>
      <c r="BE215" s="107">
        <f t="shared" si="79"/>
        <v>6.5000000000000002E-2</v>
      </c>
      <c r="BF215" s="107">
        <f t="shared" si="79"/>
        <v>6.5000000000000002E-2</v>
      </c>
      <c r="BG215" s="107">
        <f t="shared" si="79"/>
        <v>6.5000000000000002E-2</v>
      </c>
    </row>
    <row r="216" spans="1:59" ht="13.75" customHeight="1">
      <c r="A216" s="141" t="s">
        <v>166</v>
      </c>
      <c r="B216" s="170" t="s">
        <v>313</v>
      </c>
      <c r="C216" s="170"/>
      <c r="D216" s="170" t="s">
        <v>87</v>
      </c>
      <c r="E216" s="168"/>
      <c r="F216" s="168" t="s">
        <v>344</v>
      </c>
      <c r="G216" s="168" t="s">
        <v>315</v>
      </c>
      <c r="H216" s="168"/>
      <c r="I216" s="168" t="s">
        <v>345</v>
      </c>
      <c r="J216" s="109"/>
      <c r="K216" s="109"/>
      <c r="L216" s="109"/>
      <c r="M216" s="109"/>
      <c r="N216" s="109"/>
      <c r="O216" s="109"/>
      <c r="P216" s="109"/>
      <c r="Q216" s="109"/>
      <c r="R216" s="109"/>
      <c r="S216" s="115">
        <v>78.081027667984188</v>
      </c>
      <c r="T216" s="115">
        <v>109.58242063492062</v>
      </c>
      <c r="U216" s="115">
        <v>110.63688235294121</v>
      </c>
      <c r="V216" s="115">
        <v>107.97051181102361</v>
      </c>
      <c r="W216" s="115">
        <v>97.595118577075112</v>
      </c>
      <c r="X216" s="112">
        <v>50.926936758893277</v>
      </c>
      <c r="Y216" s="112">
        <v>41.569031620553368</v>
      </c>
      <c r="Z216" s="112">
        <v>52.995509803921564</v>
      </c>
      <c r="AA216" s="140">
        <v>70.025866141732266</v>
      </c>
      <c r="AB216" s="140">
        <v>63.918039215686299</v>
      </c>
      <c r="AC216" s="140">
        <v>41.557499999999997</v>
      </c>
      <c r="AD216" s="140">
        <v>68.823333333333323</v>
      </c>
      <c r="AE216" s="112">
        <v>76.030833333333334</v>
      </c>
      <c r="AF216" s="112">
        <v>64.212499999999991</v>
      </c>
      <c r="AG216" s="112">
        <v>86.916666666666671</v>
      </c>
      <c r="AH216" s="133">
        <v>76.5</v>
      </c>
      <c r="AI216" s="133">
        <v>70</v>
      </c>
      <c r="AJ216" s="133">
        <v>73.817436463220332</v>
      </c>
      <c r="AK216" s="133">
        <v>75.43407888424403</v>
      </c>
      <c r="AL216" s="133">
        <v>77.083051498527951</v>
      </c>
      <c r="AM216" s="133">
        <v>78.765000846001044</v>
      </c>
      <c r="AN216" s="133">
        <v>80.480586395851248</v>
      </c>
      <c r="AO216" s="133">
        <v>82.230480805073583</v>
      </c>
      <c r="AP216" s="133">
        <v>84.015370182188391</v>
      </c>
      <c r="AQ216" s="133">
        <v>85.835954356232889</v>
      </c>
      <c r="AR216" s="133">
        <v>87.69294715113169</v>
      </c>
      <c r="AS216" s="133">
        <v>89.587076665553866</v>
      </c>
      <c r="AT216" s="133">
        <v>91.519085558365973</v>
      </c>
      <c r="AU216" s="133">
        <v>93.489731339793281</v>
      </c>
      <c r="AV216" s="133">
        <v>95.499786668403203</v>
      </c>
      <c r="AW216" s="133">
        <v>97.550039654027174</v>
      </c>
      <c r="AX216" s="133">
        <v>99.641294166740124</v>
      </c>
      <c r="AY216" s="133">
        <v>101.77437015201828</v>
      </c>
      <c r="AZ216" s="133">
        <v>103.95010395219897</v>
      </c>
      <c r="BA216" s="133">
        <v>106.16934863436859</v>
      </c>
      <c r="BB216" s="133">
        <v>108.43297432480706</v>
      </c>
      <c r="BC216" s="133">
        <f t="shared" ref="BC216:BG216" si="81">BB216*(1+((BB216-BA216)/BA216))</f>
        <v>110.74486254423647</v>
      </c>
      <c r="BD216" s="133">
        <f t="shared" si="81"/>
        <v>113.10604229304074</v>
      </c>
      <c r="BE216" s="133">
        <f t="shared" si="81"/>
        <v>115.51756451081451</v>
      </c>
      <c r="BF216" s="133">
        <f t="shared" si="81"/>
        <v>117.98050254412667</v>
      </c>
      <c r="BG216" s="133">
        <f t="shared" si="81"/>
        <v>120.49595262425719</v>
      </c>
    </row>
    <row r="217" spans="1:59" s="109" customFormat="1" ht="13.75" customHeight="1">
      <c r="A217" s="141" t="s">
        <v>166</v>
      </c>
      <c r="B217" s="170" t="s">
        <v>313</v>
      </c>
      <c r="C217" s="170"/>
      <c r="D217" s="170" t="s">
        <v>168</v>
      </c>
      <c r="E217" s="168"/>
      <c r="F217" s="168" t="s">
        <v>346</v>
      </c>
      <c r="G217" s="168" t="s">
        <v>318</v>
      </c>
      <c r="H217" s="168"/>
      <c r="I217" s="168" t="s">
        <v>347</v>
      </c>
      <c r="U217" s="112">
        <v>0</v>
      </c>
      <c r="V217" s="112">
        <v>5860</v>
      </c>
      <c r="W217" s="112">
        <v>6446</v>
      </c>
      <c r="X217" s="128">
        <v>0</v>
      </c>
      <c r="Y217" s="128">
        <v>0</v>
      </c>
      <c r="Z217" s="128">
        <v>7800</v>
      </c>
      <c r="AA217" s="128">
        <v>8662</v>
      </c>
      <c r="AB217" s="128">
        <v>9241</v>
      </c>
      <c r="AC217" s="128">
        <v>9535</v>
      </c>
      <c r="AD217" s="128">
        <v>9916</v>
      </c>
      <c r="AE217" s="128">
        <v>10114.32</v>
      </c>
      <c r="AF217" s="128">
        <v>10316.606400000001</v>
      </c>
      <c r="AG217" s="128">
        <v>10522.938528000001</v>
      </c>
      <c r="AH217" s="128">
        <v>10733.397298560001</v>
      </c>
      <c r="AI217" s="128">
        <v>10948.065244531201</v>
      </c>
      <c r="AJ217" s="128">
        <f t="shared" ref="AJ217:BG217" si="82">AI217*(1+AJ$3)</f>
        <v>11385.987854312449</v>
      </c>
      <c r="AK217" s="128">
        <f t="shared" si="82"/>
        <v>11841.427368484947</v>
      </c>
      <c r="AL217" s="128">
        <f t="shared" si="82"/>
        <v>12315.084463224344</v>
      </c>
      <c r="AM217" s="128">
        <f t="shared" si="82"/>
        <v>12807.687841753319</v>
      </c>
      <c r="AN217" s="128">
        <f t="shared" si="82"/>
        <v>13319.995355423453</v>
      </c>
      <c r="AO217" s="128">
        <f t="shared" si="82"/>
        <v>13852.795169640391</v>
      </c>
      <c r="AP217" s="128">
        <f t="shared" si="82"/>
        <v>14406.906976426008</v>
      </c>
      <c r="AQ217" s="128">
        <f t="shared" si="82"/>
        <v>14983.183255483049</v>
      </c>
      <c r="AR217" s="128">
        <f t="shared" si="82"/>
        <v>15582.510585702372</v>
      </c>
      <c r="AS217" s="128">
        <f t="shared" si="82"/>
        <v>16205.811009130468</v>
      </c>
      <c r="AT217" s="128">
        <f t="shared" si="82"/>
        <v>16854.043449495686</v>
      </c>
      <c r="AU217" s="128">
        <f t="shared" si="82"/>
        <v>17528.205187475513</v>
      </c>
      <c r="AV217" s="128">
        <f t="shared" si="82"/>
        <v>18229.333394974532</v>
      </c>
      <c r="AW217" s="128">
        <f t="shared" si="82"/>
        <v>18958.506730773515</v>
      </c>
      <c r="AX217" s="128">
        <f t="shared" si="82"/>
        <v>19716.847000004458</v>
      </c>
      <c r="AY217" s="128">
        <f t="shared" si="82"/>
        <v>20505.520880004638</v>
      </c>
      <c r="AZ217" s="128">
        <f t="shared" si="82"/>
        <v>21325.741715204826</v>
      </c>
      <c r="BA217" s="128">
        <f t="shared" si="82"/>
        <v>22178.771383813018</v>
      </c>
      <c r="BB217" s="128">
        <f t="shared" si="82"/>
        <v>23065.922239165538</v>
      </c>
      <c r="BC217" s="128">
        <f t="shared" si="82"/>
        <v>23988.559128732162</v>
      </c>
      <c r="BD217" s="128">
        <f t="shared" si="82"/>
        <v>24948.101493881448</v>
      </c>
      <c r="BE217" s="128">
        <f t="shared" si="82"/>
        <v>25946.025553636708</v>
      </c>
      <c r="BF217" s="128">
        <f t="shared" si="82"/>
        <v>26983.866575782176</v>
      </c>
      <c r="BG217" s="128">
        <f t="shared" si="82"/>
        <v>28063.221238813465</v>
      </c>
    </row>
    <row r="218" spans="1:59" s="109" customFormat="1" ht="13.75" customHeight="1">
      <c r="A218" s="141" t="s">
        <v>166</v>
      </c>
      <c r="B218" s="170" t="s">
        <v>313</v>
      </c>
      <c r="C218" s="170"/>
      <c r="D218" s="170" t="s">
        <v>168</v>
      </c>
      <c r="E218" s="168"/>
      <c r="F218" s="168" t="s">
        <v>348</v>
      </c>
      <c r="G218" s="168" t="s">
        <v>318</v>
      </c>
      <c r="H218" s="168"/>
      <c r="I218" s="168"/>
      <c r="W218" s="116"/>
      <c r="X218" s="128">
        <v>0</v>
      </c>
      <c r="Y218" s="128">
        <v>0</v>
      </c>
      <c r="Z218" s="128">
        <v>306</v>
      </c>
      <c r="AA218" s="128">
        <v>357</v>
      </c>
      <c r="AB218" s="128">
        <v>428</v>
      </c>
      <c r="AC218" s="128">
        <v>428</v>
      </c>
      <c r="AD218" s="151">
        <v>428</v>
      </c>
      <c r="AE218" s="151">
        <v>428</v>
      </c>
      <c r="AF218" s="151">
        <v>428</v>
      </c>
      <c r="AG218" s="116">
        <v>428</v>
      </c>
      <c r="AH218" s="116">
        <v>428</v>
      </c>
      <c r="AI218" s="109">
        <v>428</v>
      </c>
      <c r="AJ218" s="109">
        <v>428</v>
      </c>
      <c r="AK218" s="109">
        <v>428</v>
      </c>
      <c r="AL218" s="109">
        <v>428</v>
      </c>
      <c r="AM218" s="109">
        <v>428</v>
      </c>
      <c r="AN218" s="128">
        <f>AM218*(1+AN$4)</f>
        <v>436.81330110237838</v>
      </c>
      <c r="AO218" s="128">
        <f t="shared" ref="AO218:AX218" si="83">AN218*(1+AO$4)</f>
        <v>445.80808415877823</v>
      </c>
      <c r="AP218" s="128">
        <f t="shared" si="83"/>
        <v>454.98808621383841</v>
      </c>
      <c r="AQ218" s="128">
        <f t="shared" si="83"/>
        <v>464.35712126476704</v>
      </c>
      <c r="AR218" s="128">
        <f t="shared" si="83"/>
        <v>473.91908184593535</v>
      </c>
      <c r="AS218" s="128">
        <f t="shared" si="83"/>
        <v>483.67794064610109</v>
      </c>
      <c r="AT218" s="128">
        <f t="shared" si="83"/>
        <v>493.63775215893378</v>
      </c>
      <c r="AU218" s="128">
        <f t="shared" si="83"/>
        <v>503.80265436752705</v>
      </c>
      <c r="AV218" s="128">
        <f t="shared" si="83"/>
        <v>514.17687046359833</v>
      </c>
      <c r="AW218" s="128">
        <f t="shared" si="83"/>
        <v>524.76471060208974</v>
      </c>
      <c r="AX218" s="128">
        <f t="shared" si="83"/>
        <v>535.57057369189977</v>
      </c>
      <c r="AY218" s="128">
        <v>428</v>
      </c>
      <c r="AZ218" s="128">
        <f>AY218</f>
        <v>428</v>
      </c>
      <c r="BA218" s="128">
        <f t="shared" ref="BA218:BG220" si="84">AZ218</f>
        <v>428</v>
      </c>
      <c r="BB218" s="128">
        <f t="shared" si="84"/>
        <v>428</v>
      </c>
      <c r="BC218" s="128">
        <f t="shared" si="84"/>
        <v>428</v>
      </c>
      <c r="BD218" s="128">
        <f t="shared" si="84"/>
        <v>428</v>
      </c>
      <c r="BE218" s="128">
        <f t="shared" si="84"/>
        <v>428</v>
      </c>
      <c r="BF218" s="128">
        <f t="shared" si="84"/>
        <v>428</v>
      </c>
      <c r="BG218" s="128">
        <f t="shared" si="84"/>
        <v>428</v>
      </c>
    </row>
    <row r="219" spans="1:59" s="109" customFormat="1" ht="13.75" customHeight="1">
      <c r="A219" s="141" t="s">
        <v>166</v>
      </c>
      <c r="B219" s="170" t="s">
        <v>313</v>
      </c>
      <c r="C219" s="170"/>
      <c r="D219" s="170" t="s">
        <v>168</v>
      </c>
      <c r="E219" s="168"/>
      <c r="F219" s="168" t="s">
        <v>349</v>
      </c>
      <c r="G219" s="168"/>
      <c r="H219" s="168"/>
      <c r="I219" s="168"/>
      <c r="W219" s="116"/>
      <c r="X219" s="120"/>
      <c r="Y219" s="120"/>
      <c r="Z219" s="120"/>
      <c r="AA219" s="120"/>
      <c r="AB219" s="152">
        <v>0.83299999999999996</v>
      </c>
      <c r="AC219" s="152">
        <v>0.66700000000000004</v>
      </c>
      <c r="AD219" s="152">
        <v>0.5</v>
      </c>
      <c r="AE219" s="152">
        <v>0.33300000000000002</v>
      </c>
      <c r="AF219" s="152">
        <v>0.16700000000000001</v>
      </c>
      <c r="AG219" s="152">
        <v>0</v>
      </c>
      <c r="AH219" s="146">
        <v>0</v>
      </c>
      <c r="AI219" s="146">
        <v>0</v>
      </c>
      <c r="AJ219" s="146">
        <v>0</v>
      </c>
      <c r="AK219" s="146">
        <v>0</v>
      </c>
      <c r="AL219" s="146">
        <v>0</v>
      </c>
      <c r="AM219" s="146">
        <v>0</v>
      </c>
      <c r="AN219" s="146">
        <v>0</v>
      </c>
      <c r="AO219" s="146">
        <v>0</v>
      </c>
      <c r="AP219" s="146">
        <v>0</v>
      </c>
      <c r="AQ219" s="146">
        <v>0</v>
      </c>
      <c r="AR219" s="146">
        <v>0</v>
      </c>
      <c r="AS219" s="146">
        <v>0</v>
      </c>
      <c r="AT219" s="146">
        <v>0</v>
      </c>
      <c r="AU219" s="146">
        <v>0</v>
      </c>
      <c r="AV219" s="146">
        <v>0</v>
      </c>
      <c r="AW219" s="146">
        <v>0</v>
      </c>
      <c r="AX219" s="146">
        <v>0</v>
      </c>
      <c r="AY219" s="146">
        <v>0</v>
      </c>
      <c r="AZ219" s="146">
        <f>AY219</f>
        <v>0</v>
      </c>
      <c r="BA219" s="146">
        <f t="shared" si="84"/>
        <v>0</v>
      </c>
      <c r="BB219" s="146">
        <f t="shared" si="84"/>
        <v>0</v>
      </c>
      <c r="BC219" s="146">
        <f t="shared" si="84"/>
        <v>0</v>
      </c>
      <c r="BD219" s="146">
        <f t="shared" si="84"/>
        <v>0</v>
      </c>
      <c r="BE219" s="146">
        <f t="shared" si="84"/>
        <v>0</v>
      </c>
      <c r="BF219" s="146">
        <f t="shared" si="84"/>
        <v>0</v>
      </c>
      <c r="BG219" s="146">
        <f t="shared" si="84"/>
        <v>0</v>
      </c>
    </row>
    <row r="220" spans="1:59" s="109" customFormat="1" ht="13.75" customHeight="1">
      <c r="A220" s="141" t="s">
        <v>166</v>
      </c>
      <c r="B220" s="170" t="s">
        <v>313</v>
      </c>
      <c r="C220" s="170"/>
      <c r="D220" s="170" t="s">
        <v>168</v>
      </c>
      <c r="E220" s="168"/>
      <c r="F220" s="168" t="s">
        <v>350</v>
      </c>
      <c r="G220" s="168"/>
      <c r="H220" s="168"/>
      <c r="I220" s="168"/>
      <c r="W220" s="116"/>
      <c r="X220" s="120"/>
      <c r="Y220" s="120"/>
      <c r="Z220" s="120"/>
      <c r="AA220" s="120"/>
      <c r="AB220" s="152">
        <v>0.16700000000000001</v>
      </c>
      <c r="AC220" s="152">
        <v>0.33300000000000002</v>
      </c>
      <c r="AD220" s="152">
        <v>0.5</v>
      </c>
      <c r="AE220" s="152">
        <v>0.66700000000000004</v>
      </c>
      <c r="AF220" s="152">
        <v>0.83299999999999996</v>
      </c>
      <c r="AG220" s="152">
        <v>1</v>
      </c>
      <c r="AH220" s="146">
        <v>1</v>
      </c>
      <c r="AI220" s="146">
        <v>1</v>
      </c>
      <c r="AJ220" s="146">
        <v>1</v>
      </c>
      <c r="AK220" s="146">
        <v>1</v>
      </c>
      <c r="AL220" s="146">
        <v>1</v>
      </c>
      <c r="AM220" s="146">
        <v>1</v>
      </c>
      <c r="AN220" s="146">
        <v>1</v>
      </c>
      <c r="AO220" s="146">
        <v>1</v>
      </c>
      <c r="AP220" s="146">
        <v>1</v>
      </c>
      <c r="AQ220" s="146">
        <v>1</v>
      </c>
      <c r="AR220" s="146">
        <v>1</v>
      </c>
      <c r="AS220" s="146">
        <v>1</v>
      </c>
      <c r="AT220" s="146">
        <v>1</v>
      </c>
      <c r="AU220" s="146">
        <v>1</v>
      </c>
      <c r="AV220" s="146">
        <v>1</v>
      </c>
      <c r="AW220" s="146">
        <v>1</v>
      </c>
      <c r="AX220" s="146">
        <v>1</v>
      </c>
      <c r="AY220" s="146">
        <v>1</v>
      </c>
      <c r="AZ220" s="146">
        <f>AY220</f>
        <v>1</v>
      </c>
      <c r="BA220" s="146">
        <f t="shared" si="84"/>
        <v>1</v>
      </c>
      <c r="BB220" s="146">
        <f t="shared" si="84"/>
        <v>1</v>
      </c>
      <c r="BC220" s="146">
        <f t="shared" si="84"/>
        <v>1</v>
      </c>
      <c r="BD220" s="146">
        <f t="shared" si="84"/>
        <v>1</v>
      </c>
      <c r="BE220" s="146">
        <f t="shared" si="84"/>
        <v>1</v>
      </c>
      <c r="BF220" s="146">
        <f t="shared" si="84"/>
        <v>1</v>
      </c>
      <c r="BG220" s="146">
        <f t="shared" si="84"/>
        <v>1</v>
      </c>
    </row>
    <row r="221" spans="1:59" s="109" customFormat="1" ht="13.75" customHeight="1">
      <c r="A221" s="141" t="s">
        <v>166</v>
      </c>
      <c r="B221" s="170" t="s">
        <v>313</v>
      </c>
      <c r="C221" s="170"/>
      <c r="D221" s="170" t="s">
        <v>168</v>
      </c>
      <c r="E221" s="168"/>
      <c r="F221" s="168" t="s">
        <v>351</v>
      </c>
      <c r="G221" s="168" t="s">
        <v>4</v>
      </c>
      <c r="H221" s="168"/>
      <c r="I221" s="168"/>
      <c r="P221" s="119"/>
      <c r="Q221" s="119"/>
      <c r="R221" s="119"/>
      <c r="S221" s="119"/>
      <c r="T221" s="119"/>
      <c r="U221" s="119"/>
      <c r="V221" s="119"/>
      <c r="W221" s="119"/>
      <c r="X221" s="160">
        <v>489.03583333333341</v>
      </c>
      <c r="Y221" s="160">
        <v>390.00749999999999</v>
      </c>
      <c r="Z221" s="160">
        <v>482.41166666666663</v>
      </c>
      <c r="AA221" s="153">
        <v>624.85333333333335</v>
      </c>
      <c r="AB221" s="153">
        <v>580.02333333333331</v>
      </c>
      <c r="AC221" s="153">
        <v>359.72409048945127</v>
      </c>
      <c r="AD221" s="153">
        <v>571.97409653745706</v>
      </c>
      <c r="AE221" s="150">
        <v>1041.4864320932536</v>
      </c>
      <c r="AF221" s="150">
        <v>844.68216462305213</v>
      </c>
      <c r="AG221" s="128">
        <v>949.01508980697986</v>
      </c>
      <c r="AH221" s="128">
        <v>840.41497011890647</v>
      </c>
      <c r="AI221" s="128">
        <v>766.92736671270779</v>
      </c>
      <c r="AJ221" s="128">
        <v>762.41914802799681</v>
      </c>
      <c r="AK221" s="128">
        <v>773.29014330775476</v>
      </c>
      <c r="AL221" s="128">
        <v>787.19468115742461</v>
      </c>
      <c r="AM221" s="128">
        <v>802.350449797735</v>
      </c>
      <c r="AN221" s="128">
        <v>815.46643329813719</v>
      </c>
      <c r="AO221" s="128">
        <v>828.94008114364078</v>
      </c>
      <c r="AP221" s="128">
        <v>843.4080131332347</v>
      </c>
      <c r="AQ221" s="128">
        <v>858.43705932991747</v>
      </c>
      <c r="AR221" s="128">
        <v>874.2873524678223</v>
      </c>
      <c r="AS221" s="128">
        <v>889.7195998612699</v>
      </c>
      <c r="AT221" s="128">
        <v>905.93813587313082</v>
      </c>
      <c r="AU221" s="128">
        <v>923.48040875405184</v>
      </c>
      <c r="AV221" s="128">
        <v>941.38946914644566</v>
      </c>
      <c r="AW221" s="128">
        <v>959.95423565194631</v>
      </c>
      <c r="AX221" s="128">
        <v>979.53915810038666</v>
      </c>
      <c r="AY221" s="128">
        <v>998.82609305452115</v>
      </c>
      <c r="AZ221" s="128">
        <v>1016.0286712760028</v>
      </c>
      <c r="BA221" s="128">
        <v>1033.5753010619142</v>
      </c>
      <c r="BB221" s="128">
        <v>1051.4728634435437</v>
      </c>
      <c r="BC221" s="128">
        <f t="shared" ref="BC221:BG222" si="85">BB221*(1+((BB221-BA221)/BA221))</f>
        <v>1069.6803430018658</v>
      </c>
      <c r="BD221" s="128">
        <f t="shared" si="85"/>
        <v>1088.2031063144268</v>
      </c>
      <c r="BE221" s="128">
        <f t="shared" si="85"/>
        <v>1107.0466128873252</v>
      </c>
      <c r="BF221" s="128">
        <f t="shared" si="85"/>
        <v>1126.216416764378</v>
      </c>
      <c r="BG221" s="128">
        <f t="shared" si="85"/>
        <v>1145.7181681641518</v>
      </c>
    </row>
    <row r="222" spans="1:59" s="109" customFormat="1" ht="13.75" customHeight="1">
      <c r="A222" s="141" t="s">
        <v>166</v>
      </c>
      <c r="B222" s="170" t="s">
        <v>313</v>
      </c>
      <c r="C222" s="170"/>
      <c r="D222" s="170" t="s">
        <v>168</v>
      </c>
      <c r="E222" s="168"/>
      <c r="F222" s="168" t="s">
        <v>352</v>
      </c>
      <c r="G222" s="168" t="s">
        <v>4</v>
      </c>
      <c r="H222" s="168"/>
      <c r="I222" s="168"/>
      <c r="S222" s="119"/>
      <c r="T222" s="119"/>
      <c r="U222" s="119"/>
      <c r="V222" s="119"/>
      <c r="W222" s="119"/>
      <c r="X222" s="119">
        <v>560.99416666666673</v>
      </c>
      <c r="Y222" s="119">
        <v>451.36000000000007</v>
      </c>
      <c r="Z222" s="119">
        <v>547.33499999999992</v>
      </c>
      <c r="AA222" s="119">
        <v>653.46749999999986</v>
      </c>
      <c r="AB222" s="119">
        <v>588.89358333333337</v>
      </c>
      <c r="AC222" s="119">
        <v>373.61</v>
      </c>
      <c r="AD222" s="153">
        <v>659.45566753936066</v>
      </c>
      <c r="AE222" s="119">
        <v>1030.9458070932535</v>
      </c>
      <c r="AF222" s="119">
        <v>876.72010020856396</v>
      </c>
      <c r="AG222" s="128">
        <v>969.67101178887276</v>
      </c>
      <c r="AH222" s="128">
        <v>878.64522649274818</v>
      </c>
      <c r="AI222" s="128">
        <v>815.32795646573345</v>
      </c>
      <c r="AJ222" s="128">
        <v>818.65666563458353</v>
      </c>
      <c r="AK222" s="128">
        <v>835.29051656384365</v>
      </c>
      <c r="AL222" s="128">
        <v>857.70360801664094</v>
      </c>
      <c r="AM222" s="128">
        <v>873.17693516160591</v>
      </c>
      <c r="AN222" s="128">
        <v>886.69664849028163</v>
      </c>
      <c r="AO222" s="128">
        <v>900.65057310376994</v>
      </c>
      <c r="AP222" s="128">
        <v>915.25834095906134</v>
      </c>
      <c r="AQ222" s="128">
        <v>930.09972210139426</v>
      </c>
      <c r="AR222" s="128">
        <v>945.9025444395719</v>
      </c>
      <c r="AS222" s="128">
        <v>961.91240309581167</v>
      </c>
      <c r="AT222" s="128">
        <v>978.2967059793973</v>
      </c>
      <c r="AU222" s="128">
        <v>994.12637221058901</v>
      </c>
      <c r="AV222" s="128">
        <v>1010.1223862579766</v>
      </c>
      <c r="AW222" s="128">
        <v>1026.4584496581056</v>
      </c>
      <c r="AX222" s="128">
        <v>1039.5888572133276</v>
      </c>
      <c r="AY222" s="128">
        <v>1053.6827966129908</v>
      </c>
      <c r="AZ222" s="128">
        <v>1070.8853748344725</v>
      </c>
      <c r="BA222" s="128">
        <v>1088.4320046203839</v>
      </c>
      <c r="BB222" s="128">
        <v>1106.3295670020134</v>
      </c>
      <c r="BC222" s="128">
        <f t="shared" si="85"/>
        <v>1124.5214268113598</v>
      </c>
      <c r="BD222" s="128">
        <f t="shared" si="85"/>
        <v>1143.0124233094414</v>
      </c>
      <c r="BE222" s="128">
        <f t="shared" si="85"/>
        <v>1161.8074753313574</v>
      </c>
      <c r="BF222" s="128">
        <f t="shared" si="85"/>
        <v>1180.9115825947586</v>
      </c>
      <c r="BG222" s="128">
        <f t="shared" si="85"/>
        <v>1200.3298270298349</v>
      </c>
    </row>
    <row r="223" spans="1:59" s="109" customFormat="1" ht="13.75" customHeight="1">
      <c r="A223" s="141" t="s">
        <v>166</v>
      </c>
      <c r="B223" s="170" t="s">
        <v>313</v>
      </c>
      <c r="C223" s="170"/>
      <c r="D223" s="170" t="s">
        <v>168</v>
      </c>
      <c r="E223" s="168"/>
      <c r="F223" s="168" t="s">
        <v>353</v>
      </c>
      <c r="G223" s="168" t="s">
        <v>4</v>
      </c>
      <c r="H223" s="168"/>
      <c r="I223" s="168"/>
      <c r="W223" s="116"/>
      <c r="X223" s="120"/>
      <c r="Y223" s="120"/>
      <c r="Z223" s="120"/>
      <c r="AA223" s="120"/>
      <c r="AB223" s="128">
        <v>46000</v>
      </c>
      <c r="AC223" s="128">
        <v>48300</v>
      </c>
      <c r="AD223" s="128">
        <v>50700</v>
      </c>
      <c r="AE223" s="128">
        <v>52250</v>
      </c>
      <c r="AF223" s="128">
        <v>53850</v>
      </c>
      <c r="AG223" s="128">
        <v>55500</v>
      </c>
      <c r="AH223" s="129">
        <v>57200</v>
      </c>
      <c r="AI223" s="129">
        <v>58950</v>
      </c>
      <c r="AJ223" s="128">
        <f t="shared" ref="AJ223:AY224" si="86">AI223*(1+AJ$3)</f>
        <v>61308</v>
      </c>
      <c r="AK223" s="128">
        <f t="shared" si="86"/>
        <v>63760.32</v>
      </c>
      <c r="AL223" s="128">
        <f t="shared" si="86"/>
        <v>66310.732799999998</v>
      </c>
      <c r="AM223" s="128">
        <f t="shared" si="86"/>
        <v>68963.162112000005</v>
      </c>
      <c r="AN223" s="128">
        <f t="shared" si="86"/>
        <v>71721.688596480002</v>
      </c>
      <c r="AO223" s="128">
        <f t="shared" si="86"/>
        <v>74590.556140339206</v>
      </c>
      <c r="AP223" s="128">
        <f t="shared" si="86"/>
        <v>77574.178385952779</v>
      </c>
      <c r="AQ223" s="128">
        <f t="shared" si="86"/>
        <v>80677.145521390892</v>
      </c>
      <c r="AR223" s="128">
        <f t="shared" si="86"/>
        <v>83904.231342246538</v>
      </c>
      <c r="AS223" s="128">
        <f t="shared" si="86"/>
        <v>87260.4005959364</v>
      </c>
      <c r="AT223" s="128">
        <f t="shared" si="86"/>
        <v>90750.816619773861</v>
      </c>
      <c r="AU223" s="128">
        <f t="shared" si="86"/>
        <v>94380.849284564814</v>
      </c>
      <c r="AV223" s="128">
        <f t="shared" si="86"/>
        <v>98156.083255947407</v>
      </c>
      <c r="AW223" s="128">
        <f t="shared" si="86"/>
        <v>102082.32658618531</v>
      </c>
      <c r="AX223" s="128">
        <f t="shared" si="86"/>
        <v>106165.61964963273</v>
      </c>
      <c r="AY223" s="128">
        <f t="shared" si="86"/>
        <v>110412.24443561805</v>
      </c>
      <c r="AZ223" s="128">
        <f t="shared" ref="AZ223:BG224" si="87">AY223*(1+AZ$3)</f>
        <v>114828.73421304277</v>
      </c>
      <c r="BA223" s="128">
        <f t="shared" si="87"/>
        <v>119421.88358156449</v>
      </c>
      <c r="BB223" s="128">
        <f t="shared" si="87"/>
        <v>124198.75892482707</v>
      </c>
      <c r="BC223" s="128">
        <f t="shared" si="87"/>
        <v>129166.70928182015</v>
      </c>
      <c r="BD223" s="128">
        <f t="shared" si="87"/>
        <v>134333.37765309296</v>
      </c>
      <c r="BE223" s="128">
        <f t="shared" si="87"/>
        <v>139706.71275921669</v>
      </c>
      <c r="BF223" s="128">
        <f t="shared" si="87"/>
        <v>145294.98126958538</v>
      </c>
      <c r="BG223" s="128">
        <f t="shared" si="87"/>
        <v>151106.7805203688</v>
      </c>
    </row>
    <row r="224" spans="1:59" s="109" customFormat="1" ht="13.75" customHeight="1">
      <c r="A224" s="141" t="s">
        <v>166</v>
      </c>
      <c r="B224" s="170" t="s">
        <v>313</v>
      </c>
      <c r="C224" s="170"/>
      <c r="D224" s="170" t="s">
        <v>168</v>
      </c>
      <c r="E224" s="168"/>
      <c r="F224" s="168" t="s">
        <v>354</v>
      </c>
      <c r="G224" s="168" t="s">
        <v>4</v>
      </c>
      <c r="H224" s="168"/>
      <c r="I224" s="168"/>
      <c r="W224" s="116"/>
      <c r="X224" s="120"/>
      <c r="Y224" s="120"/>
      <c r="Z224" s="120"/>
      <c r="AA224" s="120"/>
      <c r="AB224" s="128">
        <v>51000</v>
      </c>
      <c r="AC224" s="128">
        <v>53600</v>
      </c>
      <c r="AD224" s="128">
        <v>53633.333333333328</v>
      </c>
      <c r="AE224" s="128">
        <v>55200</v>
      </c>
      <c r="AF224" s="128">
        <v>56900</v>
      </c>
      <c r="AG224" s="128">
        <v>58650</v>
      </c>
      <c r="AH224" s="129">
        <v>60450</v>
      </c>
      <c r="AI224" s="129">
        <v>67300</v>
      </c>
      <c r="AJ224" s="128">
        <f t="shared" si="86"/>
        <v>69992</v>
      </c>
      <c r="AK224" s="128">
        <f t="shared" si="86"/>
        <v>72791.680000000008</v>
      </c>
      <c r="AL224" s="128">
        <f t="shared" si="86"/>
        <v>75703.347200000004</v>
      </c>
      <c r="AM224" s="128">
        <f t="shared" si="86"/>
        <v>78731.481088</v>
      </c>
      <c r="AN224" s="128">
        <f t="shared" si="86"/>
        <v>81880.740331520006</v>
      </c>
      <c r="AO224" s="128">
        <f t="shared" si="86"/>
        <v>85155.969944780809</v>
      </c>
      <c r="AP224" s="128">
        <f t="shared" si="86"/>
        <v>88562.208742572038</v>
      </c>
      <c r="AQ224" s="128">
        <f t="shared" si="86"/>
        <v>92104.697092274917</v>
      </c>
      <c r="AR224" s="128">
        <f t="shared" si="86"/>
        <v>95788.884975965921</v>
      </c>
      <c r="AS224" s="128">
        <f t="shared" si="86"/>
        <v>99620.44037500456</v>
      </c>
      <c r="AT224" s="128">
        <f t="shared" si="86"/>
        <v>103605.25799000474</v>
      </c>
      <c r="AU224" s="128">
        <f t="shared" si="86"/>
        <v>107749.46830960494</v>
      </c>
      <c r="AV224" s="128">
        <f t="shared" si="86"/>
        <v>112059.44704198914</v>
      </c>
      <c r="AW224" s="128">
        <f t="shared" si="86"/>
        <v>116541.82492366871</v>
      </c>
      <c r="AX224" s="128">
        <f t="shared" si="86"/>
        <v>121203.49792061547</v>
      </c>
      <c r="AY224" s="128">
        <f t="shared" si="86"/>
        <v>126051.6378374401</v>
      </c>
      <c r="AZ224" s="128">
        <f t="shared" si="87"/>
        <v>131093.70335093769</v>
      </c>
      <c r="BA224" s="128">
        <f t="shared" si="87"/>
        <v>136337.4514849752</v>
      </c>
      <c r="BB224" s="128">
        <f t="shared" si="87"/>
        <v>141790.94954437422</v>
      </c>
      <c r="BC224" s="128">
        <f t="shared" si="87"/>
        <v>147462.5875261492</v>
      </c>
      <c r="BD224" s="128">
        <f t="shared" si="87"/>
        <v>153361.09102719519</v>
      </c>
      <c r="BE224" s="128">
        <f t="shared" si="87"/>
        <v>159495.53466828301</v>
      </c>
      <c r="BF224" s="128">
        <f t="shared" si="87"/>
        <v>165875.35605501433</v>
      </c>
      <c r="BG224" s="128">
        <f t="shared" si="87"/>
        <v>172510.37029721492</v>
      </c>
    </row>
    <row r="225" spans="1:59" ht="13.75" customHeight="1" outlineLevel="1">
      <c r="A225" s="141" t="s">
        <v>166</v>
      </c>
      <c r="B225" s="170" t="s">
        <v>313</v>
      </c>
      <c r="C225" s="170"/>
      <c r="D225" s="170" t="s">
        <v>168</v>
      </c>
      <c r="E225" s="168"/>
      <c r="F225" s="168" t="s">
        <v>355</v>
      </c>
      <c r="G225" s="168" t="s">
        <v>315</v>
      </c>
      <c r="H225" s="168"/>
      <c r="I225" s="168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X225" s="120"/>
      <c r="Y225" s="116">
        <v>40.083784860557756</v>
      </c>
      <c r="Z225" s="116">
        <v>51.832560000000015</v>
      </c>
      <c r="AA225" s="116">
        <v>68.78443775100402</v>
      </c>
      <c r="AB225" s="116">
        <v>62.026159999999997</v>
      </c>
      <c r="AC225" s="116">
        <v>40.58442231075697</v>
      </c>
      <c r="AD225" s="116">
        <v>67.85027307188335</v>
      </c>
      <c r="AE225" s="116">
        <v>73.380576923076916</v>
      </c>
      <c r="AF225" s="112">
        <v>62.045672380531975</v>
      </c>
      <c r="AG225" s="112">
        <v>84.631325560306351</v>
      </c>
      <c r="AH225" s="112">
        <v>74.956259650008263</v>
      </c>
      <c r="AI225" s="162">
        <v>68.424471218867211</v>
      </c>
      <c r="AJ225" s="162">
        <v>72.210397106464882</v>
      </c>
      <c r="AK225" s="162">
        <v>73.794898740353474</v>
      </c>
      <c r="AL225" s="162">
        <v>75.411087751759581</v>
      </c>
      <c r="AM225" s="162">
        <v>77.059597824297299</v>
      </c>
      <c r="AN225" s="112">
        <v>78.741075313713438</v>
      </c>
      <c r="AO225" s="112">
        <v>80.456179501293022</v>
      </c>
      <c r="AP225" s="112">
        <v>82.205582852332213</v>
      </c>
      <c r="AQ225" s="112">
        <v>83.989971279779581</v>
      </c>
      <c r="AR225" s="112">
        <v>85.810044413149328</v>
      </c>
      <c r="AS225" s="112">
        <v>87.666515872811857</v>
      </c>
      <c r="AT225" s="112">
        <v>89.560113549769127</v>
      </c>
      <c r="AU225" s="112">
        <v>91.4915798910245</v>
      </c>
      <c r="AV225" s="112">
        <v>93.461672190659044</v>
      </c>
      <c r="AW225" s="112">
        <v>95.471162886728123</v>
      </c>
      <c r="AX225" s="112">
        <v>97.520839864095095</v>
      </c>
      <c r="AY225" s="112">
        <v>99.611506763320335</v>
      </c>
      <c r="AZ225" s="112">
        <v>101.74398329572708</v>
      </c>
      <c r="BA225" s="112">
        <v>103.91910556476726</v>
      </c>
      <c r="BB225" s="112">
        <v>106.13772639381371</v>
      </c>
      <c r="BC225" s="112">
        <f t="shared" ref="BC225:BG238" si="88">BB225*(1+((BB225-BA225)/BA225))</f>
        <v>108.40371366579024</v>
      </c>
      <c r="BD225" s="112">
        <f t="shared" si="88"/>
        <v>110.71807863051768</v>
      </c>
      <c r="BE225" s="112">
        <f t="shared" si="88"/>
        <v>113.08185412749378</v>
      </c>
      <c r="BF225" s="112">
        <f t="shared" si="88"/>
        <v>115.49609504682201</v>
      </c>
      <c r="BG225" s="112">
        <f t="shared" si="88"/>
        <v>117.96187879998091</v>
      </c>
    </row>
    <row r="226" spans="1:59" ht="13.75" customHeight="1" outlineLevel="1">
      <c r="A226" s="141" t="s">
        <v>166</v>
      </c>
      <c r="B226" s="170" t="s">
        <v>313</v>
      </c>
      <c r="C226" s="170"/>
      <c r="D226" s="170" t="s">
        <v>168</v>
      </c>
      <c r="E226" s="168"/>
      <c r="F226" s="168" t="s">
        <v>356</v>
      </c>
      <c r="G226" s="168" t="s">
        <v>315</v>
      </c>
      <c r="H226" s="168"/>
      <c r="I226" s="168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X226" s="120"/>
      <c r="Y226" s="116">
        <v>45.58</v>
      </c>
      <c r="Z226" s="116">
        <v>52.127791164658653</v>
      </c>
      <c r="AA226" s="116">
        <v>68.810341365461866</v>
      </c>
      <c r="AB226" s="116">
        <v>62.32820000000001</v>
      </c>
      <c r="AC226" s="116">
        <v>40.703904382470149</v>
      </c>
      <c r="AD226" s="116">
        <v>67.911453785434986</v>
      </c>
      <c r="AE226" s="116">
        <v>74.751153846153827</v>
      </c>
      <c r="AF226" s="112">
        <v>62.396846486932965</v>
      </c>
      <c r="AG226" s="112">
        <v>86.152263306208155</v>
      </c>
      <c r="AH226" s="112">
        <v>76.053537470928688</v>
      </c>
      <c r="AI226" s="162">
        <v>70.548508175889623</v>
      </c>
      <c r="AJ226" s="162">
        <v>73.467740054822514</v>
      </c>
      <c r="AK226" s="162">
        <v>75.029029990230043</v>
      </c>
      <c r="AL226" s="162">
        <v>76.621540414025219</v>
      </c>
      <c r="AM226" s="162">
        <v>78.245895608103254</v>
      </c>
      <c r="AN226" s="112">
        <v>79.902732336918163</v>
      </c>
      <c r="AO226" s="112">
        <v>81.592700097059662</v>
      </c>
      <c r="AP226" s="112">
        <v>83.316461371820012</v>
      </c>
      <c r="AQ226" s="112">
        <v>85.074691890850346</v>
      </c>
      <c r="AR226" s="112">
        <v>86.868080895008148</v>
      </c>
      <c r="AS226" s="112">
        <v>88.69733140649987</v>
      </c>
      <c r="AT226" s="112">
        <v>90.563160504424431</v>
      </c>
      <c r="AU226" s="112">
        <v>92.46629960582537</v>
      </c>
      <c r="AV226" s="112">
        <v>94.407494752362453</v>
      </c>
      <c r="AW226" s="112">
        <v>96.387506902714023</v>
      </c>
      <c r="AX226" s="112">
        <v>98.407112230825589</v>
      </c>
      <c r="AY226" s="112">
        <v>100.4671024301213</v>
      </c>
      <c r="AZ226" s="112">
        <v>102.56828502379686</v>
      </c>
      <c r="BA226" s="112">
        <v>104.71148368131658</v>
      </c>
      <c r="BB226" s="112">
        <v>106.89753854123761</v>
      </c>
      <c r="BC226" s="112">
        <f t="shared" si="88"/>
        <v>109.12923152682143</v>
      </c>
      <c r="BD226" s="112">
        <f t="shared" si="88"/>
        <v>111.40751542226032</v>
      </c>
      <c r="BE226" s="112">
        <f t="shared" si="88"/>
        <v>113.73336290296041</v>
      </c>
      <c r="BF226" s="112">
        <f t="shared" si="88"/>
        <v>116.10776695080928</v>
      </c>
      <c r="BG226" s="112">
        <f t="shared" si="88"/>
        <v>118.53174127811302</v>
      </c>
    </row>
    <row r="227" spans="1:59" ht="13.75" customHeight="1" outlineLevel="1">
      <c r="A227" s="141" t="s">
        <v>166</v>
      </c>
      <c r="B227" s="170" t="s">
        <v>313</v>
      </c>
      <c r="C227" s="170"/>
      <c r="D227" s="170" t="s">
        <v>168</v>
      </c>
      <c r="E227" s="168"/>
      <c r="F227" s="168" t="s">
        <v>357</v>
      </c>
      <c r="G227" s="168" t="s">
        <v>315</v>
      </c>
      <c r="H227" s="168"/>
      <c r="I227" s="168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X227" s="120"/>
      <c r="Y227" s="116">
        <v>41.57865384615387</v>
      </c>
      <c r="Z227" s="116">
        <v>53.094186046511595</v>
      </c>
      <c r="AA227" s="116">
        <v>69.304115384615358</v>
      </c>
      <c r="AB227" s="116">
        <v>63.209961685823792</v>
      </c>
      <c r="AC227" s="116">
        <v>42.679501915708805</v>
      </c>
      <c r="AD227" s="116">
        <v>69.393076923076919</v>
      </c>
      <c r="AE227" s="116">
        <v>95.533703703703722</v>
      </c>
      <c r="AF227" s="112">
        <v>82.669726588208491</v>
      </c>
      <c r="AG227" s="112">
        <v>101.54662314095106</v>
      </c>
      <c r="AH227" s="121">
        <v>89.429737049063604</v>
      </c>
      <c r="AI227" s="112">
        <v>82.556409635188345</v>
      </c>
      <c r="AJ227" s="121">
        <v>84.14234447429574</v>
      </c>
      <c r="AK227" s="121">
        <v>85.758336120747913</v>
      </c>
      <c r="AL227" s="121">
        <v>87.40664228980863</v>
      </c>
      <c r="AM227" s="121">
        <v>89.087909144057519</v>
      </c>
      <c r="AN227" s="121">
        <v>90.802795766246703</v>
      </c>
      <c r="AO227" s="121">
        <v>92.55197441762995</v>
      </c>
      <c r="AP227" s="121">
        <v>94.336130801456889</v>
      </c>
      <c r="AQ227" s="121">
        <v>96.155964331735149</v>
      </c>
      <c r="AR227" s="121">
        <v>98.012188407365826</v>
      </c>
      <c r="AS227" s="121">
        <v>99.905530691759893</v>
      </c>
      <c r="AT227" s="121">
        <v>101.83673339804483</v>
      </c>
      <c r="AU227" s="121">
        <v>103.80655357997337</v>
      </c>
      <c r="AV227" s="121">
        <v>105.81576342864861</v>
      </c>
      <c r="AW227" s="121">
        <v>107.86515057518106</v>
      </c>
      <c r="AX227" s="121">
        <v>109.95551839939716</v>
      </c>
      <c r="AY227" s="121">
        <v>112.08768634471949</v>
      </c>
      <c r="AZ227" s="121">
        <v>114.2624902393422</v>
      </c>
      <c r="BA227" s="121">
        <v>116.48078262382801</v>
      </c>
      <c r="BB227" s="121">
        <v>118.74343308525444</v>
      </c>
      <c r="BC227" s="121">
        <f t="shared" si="88"/>
        <v>121.05003575060044</v>
      </c>
      <c r="BD227" s="121">
        <f t="shared" si="88"/>
        <v>123.40144439567555</v>
      </c>
      <c r="BE227" s="121">
        <f t="shared" si="88"/>
        <v>125.79852938096691</v>
      </c>
      <c r="BF227" s="121">
        <f t="shared" si="88"/>
        <v>128.24217797379828</v>
      </c>
      <c r="BG227" s="121">
        <f t="shared" si="88"/>
        <v>130.73329467674691</v>
      </c>
    </row>
    <row r="228" spans="1:59" ht="13.75" customHeight="1" outlineLevel="1">
      <c r="A228" s="141" t="s">
        <v>166</v>
      </c>
      <c r="B228" s="170" t="s">
        <v>313</v>
      </c>
      <c r="C228" s="170"/>
      <c r="D228" s="170" t="s">
        <v>168</v>
      </c>
      <c r="E228" s="168"/>
      <c r="F228" s="168" t="s">
        <v>358</v>
      </c>
      <c r="G228" s="168" t="s">
        <v>315</v>
      </c>
      <c r="H228" s="168"/>
      <c r="I228" s="168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X228" s="120"/>
      <c r="Y228" s="116">
        <v>44.523065134099618</v>
      </c>
      <c r="Z228" s="116">
        <v>55.417490347490322</v>
      </c>
      <c r="AA228" s="116">
        <v>73.100540540540536</v>
      </c>
      <c r="AB228" s="116">
        <v>68.034750957854371</v>
      </c>
      <c r="AC228" s="116">
        <v>44.713256704980815</v>
      </c>
      <c r="AD228" s="116">
        <v>72</v>
      </c>
      <c r="AE228" s="116">
        <v>84.286153846153866</v>
      </c>
      <c r="AF228" s="112">
        <v>75.944948132313129</v>
      </c>
      <c r="AG228" s="112">
        <v>94.341183829014625</v>
      </c>
      <c r="AH228" s="121">
        <v>83.733146897377594</v>
      </c>
      <c r="AI228" s="112">
        <v>78.614769934833618</v>
      </c>
      <c r="AJ228" s="121">
        <v>81.938380175093855</v>
      </c>
      <c r="AK228" s="121">
        <v>83.567820499955815</v>
      </c>
      <c r="AL228" s="121">
        <v>85.229846976154761</v>
      </c>
      <c r="AM228" s="121">
        <v>86.925111262781172</v>
      </c>
      <c r="AN228" s="121">
        <v>88.654278050567783</v>
      </c>
      <c r="AO228" s="121">
        <v>90.418025322485249</v>
      </c>
      <c r="AP228" s="121">
        <v>92.217044619549085</v>
      </c>
      <c r="AQ228" s="121">
        <v>94.052041311941593</v>
      </c>
      <c r="AR228" s="121">
        <v>95.923734875555368</v>
      </c>
      <c r="AS228" s="121">
        <v>97.832859174066812</v>
      </c>
      <c r="AT228" s="121">
        <v>99.780162746649992</v>
      </c>
      <c r="AU228" s="121">
        <v>101.76640910144376</v>
      </c>
      <c r="AV228" s="121">
        <v>103.79237701488749</v>
      </c>
      <c r="AW228" s="121">
        <v>105.85886083704196</v>
      </c>
      <c r="AX228" s="121">
        <v>107.96667080301597</v>
      </c>
      <c r="AY228" s="121">
        <v>110.11663335062046</v>
      </c>
      <c r="AZ228" s="121">
        <v>112.30959144437398</v>
      </c>
      <c r="BA228" s="121">
        <v>114.54640490598791</v>
      </c>
      <c r="BB228" s="121">
        <v>116.82795075145957</v>
      </c>
      <c r="BC228" s="121">
        <f t="shared" si="88"/>
        <v>119.15494063726807</v>
      </c>
      <c r="BD228" s="121">
        <f t="shared" si="88"/>
        <v>121.52827972199536</v>
      </c>
      <c r="BE228" s="121">
        <f t="shared" si="88"/>
        <v>123.94889119325542</v>
      </c>
      <c r="BF228" s="121">
        <f t="shared" si="88"/>
        <v>126.41771662679817</v>
      </c>
      <c r="BG228" s="121">
        <f t="shared" si="88"/>
        <v>128.93571635276604</v>
      </c>
    </row>
    <row r="229" spans="1:59" ht="13.75" customHeight="1" outlineLevel="1">
      <c r="A229" s="141" t="s">
        <v>166</v>
      </c>
      <c r="B229" s="170" t="s">
        <v>313</v>
      </c>
      <c r="C229" s="170"/>
      <c r="D229" s="170" t="s">
        <v>168</v>
      </c>
      <c r="E229" s="168"/>
      <c r="F229" s="168" t="s">
        <v>359</v>
      </c>
      <c r="G229" s="168" t="s">
        <v>4</v>
      </c>
      <c r="H229" s="168"/>
      <c r="I229" s="168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X229" s="123"/>
      <c r="Y229" s="154">
        <v>66.066264424709516</v>
      </c>
      <c r="Z229" s="154">
        <v>78.173328874807623</v>
      </c>
      <c r="AA229" s="154">
        <v>74.587473658878537</v>
      </c>
      <c r="AB229" s="154">
        <v>22.874475716392624</v>
      </c>
      <c r="AC229" s="154">
        <v>31.878385123109183</v>
      </c>
      <c r="AD229" s="154">
        <v>80</v>
      </c>
      <c r="AE229" s="154">
        <v>40.392360979578598</v>
      </c>
      <c r="AF229" s="154">
        <v>-24.487558489046762</v>
      </c>
      <c r="AG229" s="119">
        <v>6.0454305655836515</v>
      </c>
      <c r="AH229" s="119">
        <v>55.411983546332728</v>
      </c>
      <c r="AI229" s="150">
        <v>67.946935136017473</v>
      </c>
      <c r="AJ229" s="150">
        <v>68.624838502938928</v>
      </c>
      <c r="AK229" s="150">
        <v>81.754069528396514</v>
      </c>
      <c r="AL229" s="150">
        <v>88.716124797361445</v>
      </c>
      <c r="AM229" s="150">
        <v>95.022606285199032</v>
      </c>
      <c r="AN229" s="119">
        <v>101.30270136537052</v>
      </c>
      <c r="AO229" s="119">
        <v>104.93794456420072</v>
      </c>
      <c r="AP229" s="119">
        <v>104.51733579056459</v>
      </c>
      <c r="AQ229" s="119">
        <v>104.6817373258267</v>
      </c>
      <c r="AR229" s="119">
        <v>106.0088465281917</v>
      </c>
      <c r="AS229" s="119">
        <v>108.20521627586638</v>
      </c>
      <c r="AT229" s="119">
        <v>110.56121176920702</v>
      </c>
      <c r="AU229" s="119">
        <v>112.93813109427143</v>
      </c>
      <c r="AV229" s="119">
        <v>115.41311772782853</v>
      </c>
      <c r="AW229" s="119">
        <v>118.36406707906598</v>
      </c>
      <c r="AX229" s="119">
        <v>121.92275792754798</v>
      </c>
      <c r="AY229" s="119">
        <v>124.54541583260152</v>
      </c>
      <c r="AZ229" s="119">
        <v>124.54541583260152</v>
      </c>
      <c r="BA229" s="119">
        <v>124.54541583260152</v>
      </c>
      <c r="BB229" s="119">
        <v>124.54541583260152</v>
      </c>
      <c r="BC229" s="119">
        <f t="shared" si="88"/>
        <v>124.54541583260152</v>
      </c>
      <c r="BD229" s="119">
        <f t="shared" si="88"/>
        <v>124.54541583260152</v>
      </c>
      <c r="BE229" s="119">
        <f t="shared" si="88"/>
        <v>124.54541583260152</v>
      </c>
      <c r="BF229" s="119">
        <f t="shared" si="88"/>
        <v>124.54541583260152</v>
      </c>
      <c r="BG229" s="119">
        <f t="shared" si="88"/>
        <v>124.54541583260152</v>
      </c>
    </row>
    <row r="230" spans="1:59" ht="13.75" customHeight="1" outlineLevel="1">
      <c r="A230" s="141" t="s">
        <v>166</v>
      </c>
      <c r="B230" s="170" t="s">
        <v>313</v>
      </c>
      <c r="C230" s="170"/>
      <c r="D230" s="170" t="s">
        <v>168</v>
      </c>
      <c r="E230" s="168"/>
      <c r="F230" s="168" t="s">
        <v>360</v>
      </c>
      <c r="G230" s="168" t="s">
        <v>4</v>
      </c>
      <c r="H230" s="168"/>
      <c r="I230" s="168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X230" s="123"/>
      <c r="Y230" s="119">
        <v>158.05321440155063</v>
      </c>
      <c r="Z230" s="119">
        <v>156.59510498059882</v>
      </c>
      <c r="AA230" s="119">
        <v>154.08592879810652</v>
      </c>
      <c r="AB230" s="119">
        <v>148.68765654723705</v>
      </c>
      <c r="AC230" s="119">
        <v>81.494055396696353</v>
      </c>
      <c r="AD230" s="119">
        <v>178</v>
      </c>
      <c r="AE230" s="119">
        <v>229.7903294218662</v>
      </c>
      <c r="AF230" s="119">
        <v>237.05745745537416</v>
      </c>
      <c r="AG230" s="119">
        <v>182.80535697882289</v>
      </c>
      <c r="AH230" s="119">
        <v>199.51132536585723</v>
      </c>
      <c r="AI230" s="150">
        <v>203.88475369956373</v>
      </c>
      <c r="AJ230" s="150">
        <v>201.40426187267863</v>
      </c>
      <c r="AK230" s="150">
        <v>211.61122939822485</v>
      </c>
      <c r="AL230" s="150">
        <v>221.15958398502909</v>
      </c>
      <c r="AM230" s="150">
        <v>224.55891867990894</v>
      </c>
      <c r="AN230" s="119">
        <v>224.56683155989168</v>
      </c>
      <c r="AO230" s="119">
        <v>224.28023988221489</v>
      </c>
      <c r="AP230" s="119">
        <v>224.39514609037667</v>
      </c>
      <c r="AQ230" s="119">
        <v>224.46479936840086</v>
      </c>
      <c r="AR230" s="119">
        <v>225.21030105408448</v>
      </c>
      <c r="AS230" s="119">
        <v>225.82770056302914</v>
      </c>
      <c r="AT230" s="119">
        <v>226.51160588226494</v>
      </c>
      <c r="AU230" s="119">
        <v>226.31321272017544</v>
      </c>
      <c r="AV230" s="119">
        <v>225.95742369873514</v>
      </c>
      <c r="AW230" s="119">
        <v>216.88509564838853</v>
      </c>
      <c r="AX230" s="119">
        <v>212.6943982248726</v>
      </c>
      <c r="AY230" s="119">
        <v>208.51418324123003</v>
      </c>
      <c r="AZ230" s="119">
        <v>208.51418324123003</v>
      </c>
      <c r="BA230" s="119">
        <v>208.51418324123003</v>
      </c>
      <c r="BB230" s="119">
        <v>208.51418324123003</v>
      </c>
      <c r="BC230" s="119">
        <f t="shared" si="88"/>
        <v>208.51418324123003</v>
      </c>
      <c r="BD230" s="119">
        <f t="shared" si="88"/>
        <v>208.51418324123003</v>
      </c>
      <c r="BE230" s="119">
        <f t="shared" si="88"/>
        <v>208.51418324123003</v>
      </c>
      <c r="BF230" s="119">
        <f t="shared" si="88"/>
        <v>208.51418324123003</v>
      </c>
      <c r="BG230" s="119">
        <f t="shared" si="88"/>
        <v>208.51418324123003</v>
      </c>
    </row>
    <row r="231" spans="1:59" ht="13.75" customHeight="1" outlineLevel="1">
      <c r="A231" s="141" t="s">
        <v>166</v>
      </c>
      <c r="B231" s="170" t="s">
        <v>313</v>
      </c>
      <c r="C231" s="170"/>
      <c r="D231" s="170" t="s">
        <v>168</v>
      </c>
      <c r="E231" s="168"/>
      <c r="F231" s="168" t="s">
        <v>361</v>
      </c>
      <c r="G231" s="168" t="s">
        <v>4</v>
      </c>
      <c r="H231" s="168"/>
      <c r="I231" s="168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X231" s="123"/>
      <c r="Y231" s="119">
        <v>94.578104694414208</v>
      </c>
      <c r="Z231" s="119">
        <v>103.27055542061731</v>
      </c>
      <c r="AA231" s="119">
        <v>129.95764917717992</v>
      </c>
      <c r="AB231" s="119">
        <v>129.89748443930381</v>
      </c>
      <c r="AC231" s="119">
        <v>67.832047507603193</v>
      </c>
      <c r="AD231" s="119">
        <v>60</v>
      </c>
      <c r="AE231" s="119">
        <v>458.23815615645935</v>
      </c>
      <c r="AF231" s="119">
        <v>231.31279191433708</v>
      </c>
      <c r="AG231" s="119">
        <v>143.44429601977143</v>
      </c>
      <c r="AH231" s="119">
        <v>132.4388845285803</v>
      </c>
      <c r="AI231" s="150">
        <v>116.94442510295711</v>
      </c>
      <c r="AJ231" s="150">
        <v>108.2398621005151</v>
      </c>
      <c r="AK231" s="150">
        <v>109.68475294414782</v>
      </c>
      <c r="AL231" s="150">
        <v>115.20024307500067</v>
      </c>
      <c r="AM231" s="150">
        <v>119.7309308698832</v>
      </c>
      <c r="AN231" s="119">
        <v>120.53603130785629</v>
      </c>
      <c r="AO231" s="119">
        <v>119.61130695184352</v>
      </c>
      <c r="AP231" s="119">
        <v>119.37342582450819</v>
      </c>
      <c r="AQ231" s="119">
        <v>119.52282267686775</v>
      </c>
      <c r="AR231" s="119">
        <v>120.33034737809339</v>
      </c>
      <c r="AS231" s="119">
        <v>121.2247390214022</v>
      </c>
      <c r="AT231" s="119">
        <v>122.2770176522333</v>
      </c>
      <c r="AU231" s="119">
        <v>123.41562864675072</v>
      </c>
      <c r="AV231" s="119">
        <v>124.59838156467956</v>
      </c>
      <c r="AW231" s="119">
        <v>126.06257290600156</v>
      </c>
      <c r="AX231" s="119">
        <v>127.85939931269138</v>
      </c>
      <c r="AY231" s="119">
        <v>129.02772321588293</v>
      </c>
      <c r="AZ231" s="119">
        <v>129.02772321588293</v>
      </c>
      <c r="BA231" s="119">
        <v>129.02772321588293</v>
      </c>
      <c r="BB231" s="119">
        <v>129.02772321588293</v>
      </c>
      <c r="BC231" s="119">
        <f t="shared" si="88"/>
        <v>129.02772321588293</v>
      </c>
      <c r="BD231" s="119">
        <f t="shared" si="88"/>
        <v>129.02772321588293</v>
      </c>
      <c r="BE231" s="119">
        <f t="shared" si="88"/>
        <v>129.02772321588293</v>
      </c>
      <c r="BF231" s="119">
        <f t="shared" si="88"/>
        <v>129.02772321588293</v>
      </c>
      <c r="BG231" s="119">
        <f t="shared" si="88"/>
        <v>129.02772321588293</v>
      </c>
    </row>
    <row r="232" spans="1:59" ht="13.75" customHeight="1" outlineLevel="1">
      <c r="A232" s="141" t="s">
        <v>166</v>
      </c>
      <c r="B232" s="170" t="s">
        <v>313</v>
      </c>
      <c r="C232" s="170"/>
      <c r="D232" s="170" t="s">
        <v>168</v>
      </c>
      <c r="E232" s="168"/>
      <c r="F232" s="168" t="s">
        <v>362</v>
      </c>
      <c r="G232" s="168" t="s">
        <v>4</v>
      </c>
      <c r="H232" s="168"/>
      <c r="I232" s="168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X232" s="123"/>
      <c r="Y232" s="119">
        <v>115.4990805432829</v>
      </c>
      <c r="Z232" s="119">
        <v>127.95373243157923</v>
      </c>
      <c r="AA232" s="119">
        <v>167.11797604220129</v>
      </c>
      <c r="AB232" s="119">
        <v>162.07244491361217</v>
      </c>
      <c r="AC232" s="119">
        <v>53.568322017407127</v>
      </c>
      <c r="AD232" s="119">
        <v>92</v>
      </c>
      <c r="AE232" s="119">
        <v>382.40767420874442</v>
      </c>
      <c r="AF232" s="119">
        <v>286.22984856710781</v>
      </c>
      <c r="AG232" s="119">
        <v>204.41457358994654</v>
      </c>
      <c r="AH232" s="119">
        <v>196.52835829307534</v>
      </c>
      <c r="AI232" s="150">
        <v>181.00653066797614</v>
      </c>
      <c r="AJ232" s="150">
        <v>163.54585272122588</v>
      </c>
      <c r="AK232" s="150">
        <v>154.88798332206468</v>
      </c>
      <c r="AL232" s="150">
        <v>164.81993029932775</v>
      </c>
      <c r="AM232" s="150">
        <v>170.59483431453327</v>
      </c>
      <c r="AN232" s="119">
        <v>170.54275733031807</v>
      </c>
      <c r="AO232" s="119">
        <v>169.04923949208722</v>
      </c>
      <c r="AP232" s="119">
        <v>168.5745955578443</v>
      </c>
      <c r="AQ232" s="119">
        <v>168.65258681953969</v>
      </c>
      <c r="AR232" s="119">
        <v>169.57417944213699</v>
      </c>
      <c r="AS232" s="119">
        <v>170.60487923794648</v>
      </c>
      <c r="AT232" s="119">
        <v>172.09933725623887</v>
      </c>
      <c r="AU232" s="119">
        <v>174.57344325749474</v>
      </c>
      <c r="AV232" s="119">
        <v>177.08611635854217</v>
      </c>
      <c r="AW232" s="119">
        <v>180.05045002439667</v>
      </c>
      <c r="AX232" s="119">
        <v>182.44178169882758</v>
      </c>
      <c r="AY232" s="119">
        <v>183.90390688391869</v>
      </c>
      <c r="AZ232" s="119">
        <v>183.90390688391869</v>
      </c>
      <c r="BA232" s="119">
        <v>183.90390688391869</v>
      </c>
      <c r="BB232" s="119">
        <v>183.90390688391869</v>
      </c>
      <c r="BC232" s="119">
        <f t="shared" si="88"/>
        <v>183.90390688391869</v>
      </c>
      <c r="BD232" s="119">
        <f t="shared" si="88"/>
        <v>183.90390688391869</v>
      </c>
      <c r="BE232" s="119">
        <f t="shared" si="88"/>
        <v>183.90390688391869</v>
      </c>
      <c r="BF232" s="119">
        <f t="shared" si="88"/>
        <v>183.90390688391869</v>
      </c>
      <c r="BG232" s="119">
        <f t="shared" si="88"/>
        <v>183.90390688391869</v>
      </c>
    </row>
    <row r="233" spans="1:59" ht="13.75" customHeight="1" outlineLevel="1">
      <c r="A233" s="141" t="s">
        <v>166</v>
      </c>
      <c r="B233" s="170" t="s">
        <v>313</v>
      </c>
      <c r="C233" s="170"/>
      <c r="D233" s="170" t="s">
        <v>168</v>
      </c>
      <c r="E233" s="168"/>
      <c r="F233" s="168" t="s">
        <v>363</v>
      </c>
      <c r="G233" s="168" t="s">
        <v>4</v>
      </c>
      <c r="H233" s="168"/>
      <c r="I233" s="168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X233" s="123"/>
      <c r="Y233" s="119">
        <v>-104.84079767542667</v>
      </c>
      <c r="Z233" s="119">
        <v>-101.80459385709253</v>
      </c>
      <c r="AA233" s="119">
        <v>-129.03935957957196</v>
      </c>
      <c r="AB233" s="119">
        <v>-150.08070138294329</v>
      </c>
      <c r="AC233" s="119">
        <v>-94.282045297964345</v>
      </c>
      <c r="AD233" s="119">
        <v>-121</v>
      </c>
      <c r="AE233" s="119">
        <v>-179.26103260970598</v>
      </c>
      <c r="AF233" s="119">
        <v>-165.39379024202947</v>
      </c>
      <c r="AG233" s="119">
        <v>-152.31253705572595</v>
      </c>
      <c r="AH233" s="119">
        <v>-146.50080922560946</v>
      </c>
      <c r="AI233" s="150">
        <v>-137.37715792996835</v>
      </c>
      <c r="AJ233" s="150">
        <v>-137.5162776467499</v>
      </c>
      <c r="AK233" s="150">
        <v>-127.44307040590044</v>
      </c>
      <c r="AL233" s="150">
        <v>-126.76709962178789</v>
      </c>
      <c r="AM233" s="150">
        <v>-127.99058656269013</v>
      </c>
      <c r="AN233" s="119">
        <v>-133.29193365453773</v>
      </c>
      <c r="AO233" s="119">
        <v>-140.09691029738053</v>
      </c>
      <c r="AP233" s="119">
        <v>-146.85785787001629</v>
      </c>
      <c r="AQ233" s="119">
        <v>-153.26542024900692</v>
      </c>
      <c r="AR233" s="119">
        <v>-159.71414608514684</v>
      </c>
      <c r="AS233" s="119">
        <v>-166.811595555445</v>
      </c>
      <c r="AT233" s="119">
        <v>-173.7608445250323</v>
      </c>
      <c r="AU233" s="119">
        <v>-181.17640838697065</v>
      </c>
      <c r="AV233" s="119">
        <v>-189.14787794429438</v>
      </c>
      <c r="AW233" s="119">
        <v>-196.9561438777294</v>
      </c>
      <c r="AX233" s="119">
        <v>-205.17766278824487</v>
      </c>
      <c r="AY233" s="119">
        <v>-214.08019768224653</v>
      </c>
      <c r="AZ233" s="119">
        <v>-214.08019768224653</v>
      </c>
      <c r="BA233" s="119">
        <v>-214.08019768224653</v>
      </c>
      <c r="BB233" s="119">
        <v>-214.08019768224653</v>
      </c>
      <c r="BC233" s="119">
        <f t="shared" si="88"/>
        <v>-214.08019768224653</v>
      </c>
      <c r="BD233" s="119">
        <f t="shared" si="88"/>
        <v>-214.08019768224653</v>
      </c>
      <c r="BE233" s="119">
        <f t="shared" si="88"/>
        <v>-214.08019768224653</v>
      </c>
      <c r="BF233" s="119">
        <f t="shared" si="88"/>
        <v>-214.08019768224653</v>
      </c>
      <c r="BG233" s="119">
        <f t="shared" si="88"/>
        <v>-214.08019768224653</v>
      </c>
    </row>
    <row r="234" spans="1:59" ht="13.75" customHeight="1" outlineLevel="1">
      <c r="A234" s="141" t="s">
        <v>166</v>
      </c>
      <c r="B234" s="170" t="s">
        <v>313</v>
      </c>
      <c r="C234" s="170"/>
      <c r="D234" s="170" t="s">
        <v>168</v>
      </c>
      <c r="E234" s="168"/>
      <c r="F234" s="168" t="s">
        <v>364</v>
      </c>
      <c r="G234" s="168" t="s">
        <v>4</v>
      </c>
      <c r="H234" s="168"/>
      <c r="I234" s="168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X234" s="123"/>
      <c r="Y234" s="119">
        <v>23.259885104099283</v>
      </c>
      <c r="Z234" s="119">
        <v>74.402620335918186</v>
      </c>
      <c r="AA234" s="119">
        <v>72.721178324788696</v>
      </c>
      <c r="AB234" s="119">
        <v>19.846490964691725</v>
      </c>
      <c r="AC234" s="119">
        <v>31.821277347617922</v>
      </c>
      <c r="AD234" s="109">
        <v>36</v>
      </c>
      <c r="AE234" s="119">
        <v>4.510495435626126</v>
      </c>
      <c r="AF234" s="119">
        <v>-10.509171398483431</v>
      </c>
      <c r="AG234" s="119">
        <v>5.8357247209828209</v>
      </c>
      <c r="AH234" s="119">
        <v>52.053520772727154</v>
      </c>
      <c r="AI234" s="150">
        <v>71.834283489220255</v>
      </c>
      <c r="AJ234" s="150">
        <v>90.470946526622427</v>
      </c>
      <c r="AK234" s="150">
        <v>115.30970457546725</v>
      </c>
      <c r="AL234" s="150">
        <v>123.32082233920184</v>
      </c>
      <c r="AM234" s="150">
        <v>130.71405916798523</v>
      </c>
      <c r="AN234" s="119">
        <v>138.11556075468718</v>
      </c>
      <c r="AO234" s="119">
        <v>142.89188802120336</v>
      </c>
      <c r="AP234" s="119">
        <v>143.62919673219525</v>
      </c>
      <c r="AQ234" s="119">
        <v>144.97253521554529</v>
      </c>
      <c r="AR234" s="119">
        <v>147.51584329816677</v>
      </c>
      <c r="AS234" s="119">
        <v>150.95302082699263</v>
      </c>
      <c r="AT234" s="119">
        <v>154.57450150938067</v>
      </c>
      <c r="AU234" s="119">
        <v>158.24143802266101</v>
      </c>
      <c r="AV234" s="119">
        <v>162.00138579945428</v>
      </c>
      <c r="AW234" s="119">
        <v>166.2053472108546</v>
      </c>
      <c r="AX234" s="119">
        <v>170.82751894455393</v>
      </c>
      <c r="AY234" s="119">
        <v>174.51063298046421</v>
      </c>
      <c r="AZ234" s="119">
        <v>174.51063298046421</v>
      </c>
      <c r="BA234" s="119">
        <v>174.51063298046421</v>
      </c>
      <c r="BB234" s="119">
        <v>174.51063298046421</v>
      </c>
      <c r="BC234" s="119">
        <f t="shared" si="88"/>
        <v>174.51063298046421</v>
      </c>
      <c r="BD234" s="119">
        <f t="shared" si="88"/>
        <v>174.51063298046421</v>
      </c>
      <c r="BE234" s="119">
        <f t="shared" si="88"/>
        <v>174.51063298046421</v>
      </c>
      <c r="BF234" s="119">
        <f t="shared" si="88"/>
        <v>174.51063298046421</v>
      </c>
      <c r="BG234" s="119">
        <f t="shared" si="88"/>
        <v>174.51063298046421</v>
      </c>
    </row>
    <row r="235" spans="1:59" ht="13.75" customHeight="1" outlineLevel="1">
      <c r="A235" s="141" t="s">
        <v>166</v>
      </c>
      <c r="B235" s="170" t="s">
        <v>313</v>
      </c>
      <c r="C235" s="170"/>
      <c r="D235" s="170" t="s">
        <v>168</v>
      </c>
      <c r="E235" s="168"/>
      <c r="F235" s="168" t="s">
        <v>365</v>
      </c>
      <c r="G235" s="168" t="s">
        <v>4</v>
      </c>
      <c r="H235" s="168"/>
      <c r="I235" s="168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X235" s="123"/>
      <c r="Y235" s="119">
        <v>121.46086549625613</v>
      </c>
      <c r="Z235" s="119">
        <v>156.87769785529809</v>
      </c>
      <c r="AA235" s="119">
        <v>146.24102506808373</v>
      </c>
      <c r="AB235" s="119">
        <v>128.3217783210136</v>
      </c>
      <c r="AC235" s="119">
        <v>74.606717960644744</v>
      </c>
      <c r="AD235" s="109">
        <v>155</v>
      </c>
      <c r="AE235" s="119">
        <v>222.97338261348318</v>
      </c>
      <c r="AF235" s="119">
        <v>225.29584986161649</v>
      </c>
      <c r="AG235" s="119">
        <v>204.33159123869879</v>
      </c>
      <c r="AH235" s="119">
        <v>209.52977709602948</v>
      </c>
      <c r="AI235" s="150">
        <v>214.45319955679923</v>
      </c>
      <c r="AJ235" s="150">
        <v>222.87011007352612</v>
      </c>
      <c r="AK235" s="150">
        <v>234.97623615574636</v>
      </c>
      <c r="AL235" s="150">
        <v>245.574440648864</v>
      </c>
      <c r="AM235" s="150">
        <v>250.57538326158522</v>
      </c>
      <c r="AN235" s="119">
        <v>251.57520478910618</v>
      </c>
      <c r="AO235" s="119">
        <v>252.13589063960021</v>
      </c>
      <c r="AP235" s="119">
        <v>253.09778097593949</v>
      </c>
      <c r="AQ235" s="119">
        <v>254.01589002774864</v>
      </c>
      <c r="AR235" s="119">
        <v>255.6453612173863</v>
      </c>
      <c r="AS235" s="119">
        <v>257.19161558135596</v>
      </c>
      <c r="AT235" s="119">
        <v>258.82366983497724</v>
      </c>
      <c r="AU235" s="119">
        <v>259.56409146163236</v>
      </c>
      <c r="AV235" s="119">
        <v>260.16039381897895</v>
      </c>
      <c r="AW235" s="119">
        <v>245.99117913732138</v>
      </c>
      <c r="AX235" s="119">
        <v>242.73180437586819</v>
      </c>
      <c r="AY235" s="119">
        <v>239.1462938074103</v>
      </c>
      <c r="AZ235" s="119">
        <v>239.1462938074103</v>
      </c>
      <c r="BA235" s="119">
        <v>239.1462938074103</v>
      </c>
      <c r="BB235" s="119">
        <v>239.1462938074103</v>
      </c>
      <c r="BC235" s="119">
        <f t="shared" si="88"/>
        <v>239.1462938074103</v>
      </c>
      <c r="BD235" s="119">
        <f t="shared" si="88"/>
        <v>239.1462938074103</v>
      </c>
      <c r="BE235" s="119">
        <f t="shared" si="88"/>
        <v>239.1462938074103</v>
      </c>
      <c r="BF235" s="119">
        <f t="shared" si="88"/>
        <v>239.1462938074103</v>
      </c>
      <c r="BG235" s="119">
        <f t="shared" si="88"/>
        <v>239.1462938074103</v>
      </c>
    </row>
    <row r="236" spans="1:59" ht="13.75" customHeight="1" outlineLevel="1">
      <c r="A236" s="141" t="s">
        <v>166</v>
      </c>
      <c r="B236" s="170" t="s">
        <v>313</v>
      </c>
      <c r="C236" s="170"/>
      <c r="D236" s="170" t="s">
        <v>168</v>
      </c>
      <c r="E236" s="168"/>
      <c r="F236" s="168" t="s">
        <v>366</v>
      </c>
      <c r="G236" s="168" t="s">
        <v>4</v>
      </c>
      <c r="H236" s="168"/>
      <c r="I236" s="168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X236" s="123"/>
      <c r="Y236" s="119">
        <v>50.909551923952222</v>
      </c>
      <c r="Z236" s="119">
        <v>98.317996260015036</v>
      </c>
      <c r="AA236" s="119">
        <v>123.91083349720253</v>
      </c>
      <c r="AB236" s="119">
        <v>122.93844498768027</v>
      </c>
      <c r="AC236" s="119">
        <v>61.748005141481826</v>
      </c>
      <c r="AD236" s="109">
        <v>64</v>
      </c>
      <c r="AE236" s="119">
        <v>449.27623611434956</v>
      </c>
      <c r="AF236" s="119">
        <v>279.71658568207238</v>
      </c>
      <c r="AG236" s="119">
        <v>195.79229282767369</v>
      </c>
      <c r="AH236" s="119">
        <v>165.35126090405632</v>
      </c>
      <c r="AI236" s="150">
        <v>147.19532105046389</v>
      </c>
      <c r="AJ236" s="150">
        <v>138.31885031255482</v>
      </c>
      <c r="AK236" s="150">
        <v>138.00311961683059</v>
      </c>
      <c r="AL236" s="150">
        <v>146.57617048279184</v>
      </c>
      <c r="AM236" s="150">
        <v>153.79483189416166</v>
      </c>
      <c r="AN236" s="119">
        <v>155.94210691016389</v>
      </c>
      <c r="AO236" s="119">
        <v>155.78538842628413</v>
      </c>
      <c r="AP236" s="119">
        <v>156.5878127234144</v>
      </c>
      <c r="AQ236" s="119">
        <v>157.94043237252527</v>
      </c>
      <c r="AR236" s="119">
        <v>160.21178589127078</v>
      </c>
      <c r="AS236" s="119">
        <v>162.61616165053729</v>
      </c>
      <c r="AT236" s="119">
        <v>165.26633558425456</v>
      </c>
      <c r="AU236" s="119">
        <v>168.0739547314158</v>
      </c>
      <c r="AV236" s="119">
        <v>170.96921775481937</v>
      </c>
      <c r="AW236" s="119">
        <v>174.27612786423907</v>
      </c>
      <c r="AX236" s="119">
        <v>178.16166418817261</v>
      </c>
      <c r="AY236" s="119">
        <v>181.20987041608535</v>
      </c>
      <c r="AZ236" s="119">
        <v>181.20987041608535</v>
      </c>
      <c r="BA236" s="119">
        <v>181.20987041608535</v>
      </c>
      <c r="BB236" s="119">
        <v>181.20987041608535</v>
      </c>
      <c r="BC236" s="119">
        <f t="shared" si="88"/>
        <v>181.20987041608535</v>
      </c>
      <c r="BD236" s="119">
        <f t="shared" si="88"/>
        <v>181.20987041608535</v>
      </c>
      <c r="BE236" s="119">
        <f t="shared" si="88"/>
        <v>181.20987041608535</v>
      </c>
      <c r="BF236" s="119">
        <f t="shared" si="88"/>
        <v>181.20987041608535</v>
      </c>
      <c r="BG236" s="119">
        <f t="shared" si="88"/>
        <v>181.20987041608535</v>
      </c>
    </row>
    <row r="237" spans="1:59" ht="13.75" customHeight="1" outlineLevel="1">
      <c r="A237" s="141" t="s">
        <v>166</v>
      </c>
      <c r="B237" s="170" t="s">
        <v>313</v>
      </c>
      <c r="C237" s="170"/>
      <c r="D237" s="170" t="s">
        <v>168</v>
      </c>
      <c r="E237" s="168"/>
      <c r="F237" s="168" t="s">
        <v>367</v>
      </c>
      <c r="G237" s="168" t="s">
        <v>4</v>
      </c>
      <c r="H237" s="168"/>
      <c r="I237" s="168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X237" s="123"/>
      <c r="Y237" s="119">
        <v>76.194156203843534</v>
      </c>
      <c r="Z237" s="119">
        <v>131.22715003133419</v>
      </c>
      <c r="AA237" s="119">
        <v>171.96378700732402</v>
      </c>
      <c r="AB237" s="119">
        <v>166.6106656955082</v>
      </c>
      <c r="AC237" s="119">
        <v>62.793567183092364</v>
      </c>
      <c r="AD237" s="109">
        <v>61</v>
      </c>
      <c r="AE237" s="119">
        <v>328.42406840136198</v>
      </c>
      <c r="AF237" s="119">
        <v>235.09607883693434</v>
      </c>
      <c r="AG237" s="119">
        <v>175.72829228519137</v>
      </c>
      <c r="AH237" s="119">
        <v>172.86730506884203</v>
      </c>
      <c r="AI237" s="150">
        <v>153.98271966459455</v>
      </c>
      <c r="AJ237" s="150">
        <v>147.9961902971198</v>
      </c>
      <c r="AK237" s="150">
        <v>149.92419047639092</v>
      </c>
      <c r="AL237" s="150">
        <v>158.90400645612732</v>
      </c>
      <c r="AM237" s="150">
        <v>167.2758575473037</v>
      </c>
      <c r="AN237" s="119">
        <v>168.83393028371637</v>
      </c>
      <c r="AO237" s="119">
        <v>167.52265905029006</v>
      </c>
      <c r="AP237" s="119">
        <v>167.20189298110941</v>
      </c>
      <c r="AQ237" s="119">
        <v>167.46889076280425</v>
      </c>
      <c r="AR237" s="119">
        <v>168.71762841820242</v>
      </c>
      <c r="AS237" s="119">
        <v>170.26589596765794</v>
      </c>
      <c r="AT237" s="119">
        <v>171.97988443206569</v>
      </c>
      <c r="AU237" s="119">
        <v>173.63021735326819</v>
      </c>
      <c r="AV237" s="119">
        <v>175.34904946019566</v>
      </c>
      <c r="AW237" s="119">
        <v>177.46927661385962</v>
      </c>
      <c r="AX237" s="119">
        <v>180.1924415865017</v>
      </c>
      <c r="AY237" s="119">
        <v>181.99306721610148</v>
      </c>
      <c r="AZ237" s="119">
        <v>181.99306721610148</v>
      </c>
      <c r="BA237" s="119">
        <v>181.99306721610148</v>
      </c>
      <c r="BB237" s="119">
        <v>181.99306721610148</v>
      </c>
      <c r="BC237" s="119">
        <f t="shared" si="88"/>
        <v>181.99306721610148</v>
      </c>
      <c r="BD237" s="119">
        <f t="shared" si="88"/>
        <v>181.99306721610148</v>
      </c>
      <c r="BE237" s="119">
        <f t="shared" si="88"/>
        <v>181.99306721610148</v>
      </c>
      <c r="BF237" s="119">
        <f t="shared" si="88"/>
        <v>181.99306721610148</v>
      </c>
      <c r="BG237" s="119">
        <f t="shared" si="88"/>
        <v>181.99306721610148</v>
      </c>
    </row>
    <row r="238" spans="1:59" ht="13.75" customHeight="1" outlineLevel="1">
      <c r="A238" s="141" t="s">
        <v>166</v>
      </c>
      <c r="B238" s="170" t="s">
        <v>313</v>
      </c>
      <c r="C238" s="170"/>
      <c r="D238" s="170" t="s">
        <v>168</v>
      </c>
      <c r="E238" s="168"/>
      <c r="F238" s="168" t="s">
        <v>368</v>
      </c>
      <c r="G238" s="168" t="s">
        <v>4</v>
      </c>
      <c r="H238" s="168"/>
      <c r="I238" s="168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X238" s="123"/>
      <c r="Y238" s="119">
        <v>-131.36385956678546</v>
      </c>
      <c r="Z238" s="119">
        <v>-86.483441631584867</v>
      </c>
      <c r="AA238" s="119">
        <v>-112.81234384189838</v>
      </c>
      <c r="AB238" s="119">
        <v>-137.29519588519378</v>
      </c>
      <c r="AC238" s="119">
        <v>-83.332714718217858</v>
      </c>
      <c r="AD238" s="109">
        <v>-120</v>
      </c>
      <c r="AE238" s="119">
        <v>-200.3300722761997</v>
      </c>
      <c r="AF238" s="119">
        <v>-187.51505204903827</v>
      </c>
      <c r="AG238" s="119">
        <v>-167.60801278464604</v>
      </c>
      <c r="AH238" s="119">
        <v>-159.00205018575809</v>
      </c>
      <c r="AI238" s="150">
        <v>-150.69940933868176</v>
      </c>
      <c r="AJ238" s="150">
        <v>-140.1939388225729</v>
      </c>
      <c r="AK238" s="150">
        <v>-124.16100014030296</v>
      </c>
      <c r="AL238" s="150">
        <v>-123.05134926274066</v>
      </c>
      <c r="AM238" s="150">
        <v>-123.94467172185809</v>
      </c>
      <c r="AN238" s="119">
        <v>-129.25823810346037</v>
      </c>
      <c r="AO238" s="119">
        <v>-135.7150775778324</v>
      </c>
      <c r="AP238" s="119">
        <v>-142.08613657119628</v>
      </c>
      <c r="AQ238" s="119">
        <v>-148.11824439536471</v>
      </c>
      <c r="AR238" s="119">
        <v>-154.29536331723324</v>
      </c>
      <c r="AS238" s="119">
        <v>-161.22216696515721</v>
      </c>
      <c r="AT238" s="119">
        <v>-167.82079991658992</v>
      </c>
      <c r="AU238" s="119">
        <v>-174.78180290990591</v>
      </c>
      <c r="AV238" s="119">
        <v>-182.22513262833544</v>
      </c>
      <c r="AW238" s="119">
        <v>-189.56860668601254</v>
      </c>
      <c r="AX238" s="119">
        <v>-197.25660402862334</v>
      </c>
      <c r="AY238" s="119">
        <v>-205.63864029628107</v>
      </c>
      <c r="AZ238" s="119">
        <v>-205.63864029628107</v>
      </c>
      <c r="BA238" s="119">
        <v>-205.63864029628107</v>
      </c>
      <c r="BB238" s="119">
        <v>-205.63864029628107</v>
      </c>
      <c r="BC238" s="119">
        <f t="shared" si="88"/>
        <v>-205.63864029628107</v>
      </c>
      <c r="BD238" s="119">
        <f t="shared" si="88"/>
        <v>-205.63864029628107</v>
      </c>
      <c r="BE238" s="119">
        <f t="shared" si="88"/>
        <v>-205.63864029628107</v>
      </c>
      <c r="BF238" s="119">
        <f t="shared" si="88"/>
        <v>-205.63864029628107</v>
      </c>
      <c r="BG238" s="119">
        <f t="shared" si="88"/>
        <v>-205.63864029628107</v>
      </c>
    </row>
    <row r="239" spans="1:59" ht="13.75" customHeight="1" outlineLevel="1">
      <c r="B239" s="170"/>
      <c r="C239" s="170"/>
      <c r="D239" s="170"/>
      <c r="E239" s="168"/>
      <c r="F239" s="168"/>
      <c r="G239" s="168"/>
      <c r="H239" s="168"/>
      <c r="I239" s="168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X239" s="120"/>
      <c r="Y239" s="120"/>
      <c r="Z239" s="120"/>
      <c r="AG239" s="116"/>
      <c r="AH239" s="116"/>
      <c r="AI239" s="161"/>
      <c r="AJ239" s="161"/>
      <c r="AK239" s="161"/>
      <c r="AL239" s="161"/>
      <c r="AM239" s="161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</row>
    <row r="240" spans="1:59" ht="13.75" customHeight="1" outlineLevel="1">
      <c r="B240" s="170"/>
      <c r="C240" s="170"/>
      <c r="D240" s="170"/>
      <c r="E240" s="168"/>
      <c r="F240" s="168"/>
      <c r="G240" s="168"/>
      <c r="H240" s="168"/>
      <c r="I240" s="168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X240" s="120"/>
      <c r="Y240" s="120"/>
      <c r="Z240" s="120"/>
      <c r="AG240" s="116"/>
      <c r="AH240" s="116"/>
      <c r="AI240" s="161"/>
      <c r="AJ240" s="161"/>
      <c r="AK240" s="161"/>
      <c r="AL240" s="161"/>
      <c r="AM240" s="161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</row>
    <row r="241" spans="1:59" ht="13.75" customHeight="1" outlineLevel="1">
      <c r="B241" s="170"/>
      <c r="C241" s="170"/>
      <c r="D241" s="170"/>
      <c r="E241" s="168"/>
      <c r="F241" s="168"/>
      <c r="G241" s="168"/>
      <c r="H241" s="168"/>
      <c r="I241" s="168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X241" s="120"/>
      <c r="Y241" s="120"/>
      <c r="Z241" s="120"/>
      <c r="AA241" s="120"/>
      <c r="AG241" s="116"/>
      <c r="AH241" s="116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</row>
    <row r="242" spans="1:59" ht="13.75" customHeight="1">
      <c r="A242" s="141" t="s">
        <v>166</v>
      </c>
      <c r="B242" s="170" t="s">
        <v>369</v>
      </c>
      <c r="C242" s="170"/>
      <c r="D242" s="170" t="s">
        <v>370</v>
      </c>
      <c r="E242" s="168"/>
      <c r="F242" s="168" t="s">
        <v>371</v>
      </c>
      <c r="G242" s="168" t="s">
        <v>3</v>
      </c>
      <c r="H242" s="168"/>
      <c r="I242" s="168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7">
        <v>7.4999999999999997E-2</v>
      </c>
      <c r="V242" s="107">
        <v>0.15</v>
      </c>
      <c r="W242" s="107">
        <v>7.5999999999999998E-2</v>
      </c>
      <c r="X242" s="107">
        <v>3.5000000000000003E-2</v>
      </c>
      <c r="Y242" s="107">
        <v>3.6144578313252795E-2</v>
      </c>
      <c r="Z242" s="107">
        <v>1.9500000000000073E-2</v>
      </c>
      <c r="AA242" s="107">
        <v>3.6500000000000005E-2</v>
      </c>
      <c r="AB242" s="107">
        <v>0.03</v>
      </c>
      <c r="AC242" s="107">
        <v>0.03</v>
      </c>
      <c r="AD242" s="107">
        <v>0.03</v>
      </c>
      <c r="AE242" s="107">
        <v>6.3E-2</v>
      </c>
      <c r="AF242" s="107">
        <v>0.10299999999999999</v>
      </c>
      <c r="AG242" s="107">
        <v>4.0000000000000036E-2</v>
      </c>
      <c r="AH242" s="107">
        <v>8.0000000000000293E-2</v>
      </c>
      <c r="AI242" s="107">
        <v>5.9230769230769198E-2</v>
      </c>
      <c r="AJ242" s="107">
        <v>0.04</v>
      </c>
      <c r="AK242" s="107">
        <v>0.04</v>
      </c>
      <c r="AL242" s="107">
        <v>0.04</v>
      </c>
      <c r="AM242" s="107">
        <v>0.04</v>
      </c>
      <c r="AN242" s="107">
        <v>0.04</v>
      </c>
      <c r="AO242" s="107">
        <v>0.04</v>
      </c>
      <c r="AP242" s="107">
        <v>0.04</v>
      </c>
      <c r="AQ242" s="107">
        <v>0.04</v>
      </c>
      <c r="AR242" s="107">
        <v>0.04</v>
      </c>
      <c r="AS242" s="107">
        <v>0.04</v>
      </c>
      <c r="AT242" s="107">
        <v>0.04</v>
      </c>
      <c r="AU242" s="107">
        <v>0.04</v>
      </c>
      <c r="AV242" s="107">
        <v>0.04</v>
      </c>
      <c r="AW242" s="107">
        <v>0.04</v>
      </c>
      <c r="AX242" s="107">
        <v>0.04</v>
      </c>
      <c r="AY242" s="107">
        <v>0.04</v>
      </c>
      <c r="AZ242" s="107">
        <f>AY242</f>
        <v>0.04</v>
      </c>
      <c r="BA242" s="107">
        <f t="shared" ref="BA242:BG244" si="89">AZ242</f>
        <v>0.04</v>
      </c>
      <c r="BB242" s="107">
        <f t="shared" si="89"/>
        <v>0.04</v>
      </c>
      <c r="BC242" s="107">
        <f t="shared" si="89"/>
        <v>0.04</v>
      </c>
      <c r="BD242" s="107">
        <f t="shared" si="89"/>
        <v>0.04</v>
      </c>
      <c r="BE242" s="107">
        <f t="shared" si="89"/>
        <v>0.04</v>
      </c>
      <c r="BF242" s="107">
        <f t="shared" si="89"/>
        <v>0.04</v>
      </c>
      <c r="BG242" s="107">
        <f t="shared" si="89"/>
        <v>0.04</v>
      </c>
    </row>
    <row r="243" spans="1:59" ht="13.75" customHeight="1">
      <c r="A243" s="141" t="s">
        <v>166</v>
      </c>
      <c r="B243" s="170" t="s">
        <v>369</v>
      </c>
      <c r="C243" s="170"/>
      <c r="D243" s="142" t="s">
        <v>110</v>
      </c>
      <c r="E243" s="168"/>
      <c r="F243" s="168" t="s">
        <v>372</v>
      </c>
      <c r="G243" s="168" t="s">
        <v>3</v>
      </c>
      <c r="H243" s="168"/>
      <c r="I243" s="168" t="s">
        <v>336</v>
      </c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7">
        <v>0.3</v>
      </c>
      <c r="V243" s="107">
        <v>0.3</v>
      </c>
      <c r="W243" s="107">
        <v>0.3</v>
      </c>
      <c r="X243" s="107">
        <v>0.3</v>
      </c>
      <c r="Y243" s="107">
        <v>0.3</v>
      </c>
      <c r="Z243" s="107">
        <v>0.3</v>
      </c>
      <c r="AA243" s="107">
        <v>0.3</v>
      </c>
      <c r="AB243" s="107">
        <v>0.3</v>
      </c>
      <c r="AC243" s="107">
        <v>0.3</v>
      </c>
      <c r="AD243" s="107">
        <v>0.3</v>
      </c>
      <c r="AE243" s="107">
        <v>0.3</v>
      </c>
      <c r="AF243" s="107">
        <v>0.3</v>
      </c>
      <c r="AG243" s="107">
        <v>0.3</v>
      </c>
      <c r="AH243" s="107">
        <v>0.3</v>
      </c>
      <c r="AI243" s="107">
        <v>0.3</v>
      </c>
      <c r="AJ243" s="107">
        <v>0.3</v>
      </c>
      <c r="AK243" s="107">
        <v>0.3</v>
      </c>
      <c r="AL243" s="107">
        <v>0.3</v>
      </c>
      <c r="AM243" s="107">
        <v>0.3</v>
      </c>
      <c r="AN243" s="107">
        <v>0.3</v>
      </c>
      <c r="AO243" s="107">
        <v>0.3</v>
      </c>
      <c r="AP243" s="107">
        <v>0.3</v>
      </c>
      <c r="AQ243" s="107">
        <v>0.3</v>
      </c>
      <c r="AR243" s="107">
        <v>0.3</v>
      </c>
      <c r="AS243" s="107">
        <v>0.3</v>
      </c>
      <c r="AT243" s="107">
        <v>0.3</v>
      </c>
      <c r="AU243" s="107">
        <v>0.3</v>
      </c>
      <c r="AV243" s="107">
        <v>0.3</v>
      </c>
      <c r="AW243" s="107">
        <v>0.3</v>
      </c>
      <c r="AX243" s="107">
        <v>0.3</v>
      </c>
      <c r="AY243" s="107">
        <v>0.3</v>
      </c>
      <c r="AZ243" s="107">
        <f t="shared" ref="AZ243:BB244" si="90">AY243</f>
        <v>0.3</v>
      </c>
      <c r="BA243" s="107">
        <f t="shared" si="90"/>
        <v>0.3</v>
      </c>
      <c r="BB243" s="107">
        <f t="shared" si="90"/>
        <v>0.3</v>
      </c>
      <c r="BC243" s="107">
        <f t="shared" si="89"/>
        <v>0.3</v>
      </c>
      <c r="BD243" s="107">
        <f t="shared" si="89"/>
        <v>0.3</v>
      </c>
      <c r="BE243" s="107">
        <f t="shared" si="89"/>
        <v>0.3</v>
      </c>
      <c r="BF243" s="107">
        <f t="shared" si="89"/>
        <v>0.3</v>
      </c>
      <c r="BG243" s="107">
        <f t="shared" si="89"/>
        <v>0.3</v>
      </c>
    </row>
    <row r="244" spans="1:59" ht="13.75" customHeight="1">
      <c r="A244" s="141" t="s">
        <v>166</v>
      </c>
      <c r="B244" s="170" t="s">
        <v>369</v>
      </c>
      <c r="C244" s="170"/>
      <c r="D244" s="142" t="s">
        <v>110</v>
      </c>
      <c r="E244" s="168"/>
      <c r="F244" s="168" t="s">
        <v>373</v>
      </c>
      <c r="G244" s="168" t="s">
        <v>3</v>
      </c>
      <c r="H244" s="168"/>
      <c r="I244" s="168" t="s">
        <v>336</v>
      </c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7">
        <v>0</v>
      </c>
      <c r="V244" s="107">
        <v>0</v>
      </c>
      <c r="W244" s="107">
        <v>0</v>
      </c>
      <c r="X244" s="107">
        <v>0</v>
      </c>
      <c r="Y244" s="107">
        <v>0</v>
      </c>
      <c r="Z244" s="107">
        <v>0</v>
      </c>
      <c r="AA244" s="107">
        <v>0</v>
      </c>
      <c r="AB244" s="107">
        <v>0</v>
      </c>
      <c r="AC244" s="107">
        <v>0</v>
      </c>
      <c r="AD244" s="107">
        <v>0</v>
      </c>
      <c r="AE244" s="107">
        <v>0</v>
      </c>
      <c r="AF244" s="107">
        <v>0</v>
      </c>
      <c r="AG244" s="107">
        <v>0</v>
      </c>
      <c r="AH244" s="107">
        <v>0</v>
      </c>
      <c r="AI244" s="107">
        <v>0</v>
      </c>
      <c r="AJ244" s="107">
        <v>0</v>
      </c>
      <c r="AK244" s="107">
        <v>0</v>
      </c>
      <c r="AL244" s="107">
        <v>0</v>
      </c>
      <c r="AM244" s="107">
        <v>0</v>
      </c>
      <c r="AN244" s="107">
        <v>0</v>
      </c>
      <c r="AO244" s="107">
        <v>0</v>
      </c>
      <c r="AP244" s="107">
        <v>0</v>
      </c>
      <c r="AQ244" s="107">
        <v>0</v>
      </c>
      <c r="AR244" s="107">
        <v>0</v>
      </c>
      <c r="AS244" s="107">
        <v>0</v>
      </c>
      <c r="AT244" s="107">
        <v>0</v>
      </c>
      <c r="AU244" s="107">
        <v>0</v>
      </c>
      <c r="AV244" s="107">
        <v>0</v>
      </c>
      <c r="AW244" s="107">
        <v>0</v>
      </c>
      <c r="AX244" s="107">
        <v>0</v>
      </c>
      <c r="AY244" s="107">
        <v>0</v>
      </c>
      <c r="AZ244" s="107">
        <f t="shared" si="90"/>
        <v>0</v>
      </c>
      <c r="BA244" s="107">
        <f t="shared" si="90"/>
        <v>0</v>
      </c>
      <c r="BB244" s="107">
        <f t="shared" si="90"/>
        <v>0</v>
      </c>
      <c r="BC244" s="107">
        <f t="shared" si="89"/>
        <v>0</v>
      </c>
      <c r="BD244" s="107">
        <f t="shared" si="89"/>
        <v>0</v>
      </c>
      <c r="BE244" s="107">
        <f t="shared" si="89"/>
        <v>0</v>
      </c>
      <c r="BF244" s="107">
        <f t="shared" si="89"/>
        <v>0</v>
      </c>
      <c r="BG244" s="107">
        <f t="shared" si="89"/>
        <v>0</v>
      </c>
    </row>
    <row r="245" spans="1:59" ht="13.75" customHeight="1">
      <c r="A245" s="141" t="s">
        <v>166</v>
      </c>
      <c r="B245" s="170" t="s">
        <v>369</v>
      </c>
      <c r="C245" s="170"/>
      <c r="D245" s="170" t="s">
        <v>168</v>
      </c>
      <c r="E245" s="168"/>
      <c r="F245" s="168" t="s">
        <v>374</v>
      </c>
      <c r="G245" s="168" t="s">
        <v>375</v>
      </c>
      <c r="H245" s="168"/>
      <c r="I245" s="168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12">
        <v>293.57369999999997</v>
      </c>
      <c r="V245" s="112">
        <v>329.61025999999998</v>
      </c>
      <c r="W245" s="112">
        <v>255.98383999999999</v>
      </c>
      <c r="X245" s="119">
        <v>232.14285714285714</v>
      </c>
      <c r="Y245" s="119">
        <v>167.85714285714286</v>
      </c>
      <c r="Z245" s="119">
        <v>207.14285714285714</v>
      </c>
      <c r="AA245" s="119">
        <v>289.28571428571428</v>
      </c>
      <c r="AB245" s="119">
        <v>160.71428571428572</v>
      </c>
      <c r="AC245" s="119">
        <v>178.57142857142856</v>
      </c>
      <c r="AD245" s="119">
        <v>571.38567646418721</v>
      </c>
      <c r="AE245" s="119">
        <f>35.71*AE247</f>
        <v>1155.2526252236389</v>
      </c>
      <c r="AF245" s="119">
        <f t="shared" ref="AF245:BA246" si="91">35.71*AF247</f>
        <v>465.72432973694322</v>
      </c>
      <c r="AG245" s="119">
        <f t="shared" si="91"/>
        <v>786.66558786678127</v>
      </c>
      <c r="AH245" s="119">
        <f t="shared" si="91"/>
        <v>716.15352381814182</v>
      </c>
      <c r="AI245" s="119">
        <f t="shared" si="91"/>
        <v>616.99364627668422</v>
      </c>
      <c r="AJ245" s="119">
        <f t="shared" si="91"/>
        <v>600.96328399442427</v>
      </c>
      <c r="AK245" s="119">
        <f t="shared" si="91"/>
        <v>612.98254967431274</v>
      </c>
      <c r="AL245" s="119">
        <f t="shared" si="91"/>
        <v>625.24220066779901</v>
      </c>
      <c r="AM245" s="119">
        <f t="shared" si="91"/>
        <v>637.7470446811551</v>
      </c>
      <c r="AN245" s="119">
        <f t="shared" si="91"/>
        <v>650.50198557477825</v>
      </c>
      <c r="AO245" s="119">
        <f t="shared" si="91"/>
        <v>663.5120252862738</v>
      </c>
      <c r="AP245" s="119">
        <f t="shared" si="91"/>
        <v>676.78226579199929</v>
      </c>
      <c r="AQ245" s="119">
        <f t="shared" si="91"/>
        <v>690.31791110783934</v>
      </c>
      <c r="AR245" s="119">
        <f t="shared" si="91"/>
        <v>704.12426932999608</v>
      </c>
      <c r="AS245" s="119">
        <f t="shared" si="91"/>
        <v>718.20675471659604</v>
      </c>
      <c r="AT245" s="119">
        <f t="shared" si="91"/>
        <v>732.57088981092795</v>
      </c>
      <c r="AU245" s="119">
        <f t="shared" si="91"/>
        <v>747.22230760714649</v>
      </c>
      <c r="AV245" s="119">
        <f t="shared" si="91"/>
        <v>762.16675375928935</v>
      </c>
      <c r="AW245" s="119">
        <f t="shared" si="91"/>
        <v>777.41008883447512</v>
      </c>
      <c r="AX245" s="119">
        <f t="shared" si="91"/>
        <v>792.95829061116456</v>
      </c>
      <c r="AY245" s="119">
        <f t="shared" si="91"/>
        <v>808.81745642338797</v>
      </c>
      <c r="AZ245" s="119">
        <f t="shared" si="91"/>
        <v>824.99380555185576</v>
      </c>
      <c r="BA245" s="119">
        <f t="shared" si="91"/>
        <v>841.49368166289287</v>
      </c>
      <c r="BB245" s="119">
        <f>35.71*BB247</f>
        <v>858.32355529615086</v>
      </c>
      <c r="BC245" s="119">
        <f t="shared" ref="BC245:BG246" si="92">35.71*BC247</f>
        <v>875.49002640207379</v>
      </c>
      <c r="BD245" s="119">
        <f t="shared" si="92"/>
        <v>892.99982693011532</v>
      </c>
      <c r="BE245" s="119">
        <f t="shared" si="92"/>
        <v>910.85982346871754</v>
      </c>
      <c r="BF245" s="119">
        <f t="shared" si="92"/>
        <v>929.07701993809201</v>
      </c>
      <c r="BG245" s="119">
        <f t="shared" si="92"/>
        <v>947.65856033685384</v>
      </c>
    </row>
    <row r="246" spans="1:59" ht="13.75" customHeight="1">
      <c r="A246" s="141" t="s">
        <v>166</v>
      </c>
      <c r="B246" s="170" t="s">
        <v>369</v>
      </c>
      <c r="C246" s="170"/>
      <c r="D246" s="170" t="s">
        <v>168</v>
      </c>
      <c r="E246" s="168"/>
      <c r="F246" s="161" t="s">
        <v>376</v>
      </c>
      <c r="G246" s="168" t="s">
        <v>375</v>
      </c>
      <c r="H246" s="168"/>
      <c r="I246" s="168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12">
        <v>487.40896763467515</v>
      </c>
      <c r="V246" s="112">
        <v>516.57839144259083</v>
      </c>
      <c r="W246" s="112">
        <v>431.50673999999998</v>
      </c>
      <c r="X246" s="119">
        <v>366.42857142857139</v>
      </c>
      <c r="Y246" s="119">
        <v>246.42857142857144</v>
      </c>
      <c r="Z246" s="119">
        <v>288.21428571428572</v>
      </c>
      <c r="AA246" s="119">
        <v>361.42857142857139</v>
      </c>
      <c r="AB246" s="119">
        <v>355</v>
      </c>
      <c r="AC246" s="119">
        <v>285.71428571428567</v>
      </c>
      <c r="AD246" s="119">
        <v>336.7064879663987</v>
      </c>
      <c r="AE246" s="119">
        <f>35.71*AE248</f>
        <v>538.20921666666663</v>
      </c>
      <c r="AF246" s="119">
        <f t="shared" si="91"/>
        <v>455.61012718242677</v>
      </c>
      <c r="AG246" s="119">
        <f t="shared" si="91"/>
        <v>469.88592467122885</v>
      </c>
      <c r="AH246" s="119">
        <f t="shared" si="91"/>
        <v>465.13419736097489</v>
      </c>
      <c r="AI246" s="119">
        <f t="shared" si="91"/>
        <v>429.71021824947559</v>
      </c>
      <c r="AJ246" s="119">
        <f t="shared" si="91"/>
        <v>424.32700975287526</v>
      </c>
      <c r="AK246" s="119">
        <f t="shared" si="91"/>
        <v>432.81354994793281</v>
      </c>
      <c r="AL246" s="119">
        <f t="shared" si="91"/>
        <v>441.46982094689145</v>
      </c>
      <c r="AM246" s="119">
        <f t="shared" si="91"/>
        <v>450.29921736582929</v>
      </c>
      <c r="AN246" s="119">
        <f t="shared" si="91"/>
        <v>459.30520171314589</v>
      </c>
      <c r="AO246" s="119">
        <f t="shared" si="91"/>
        <v>468.49130574740883</v>
      </c>
      <c r="AP246" s="119">
        <f t="shared" si="91"/>
        <v>477.86113186235701</v>
      </c>
      <c r="AQ246" s="119">
        <f t="shared" si="91"/>
        <v>487.41835449960422</v>
      </c>
      <c r="AR246" s="119">
        <f t="shared" si="91"/>
        <v>497.16672158959625</v>
      </c>
      <c r="AS246" s="119">
        <f t="shared" si="91"/>
        <v>507.11005602138823</v>
      </c>
      <c r="AT246" s="119">
        <f t="shared" si="91"/>
        <v>517.25225714181602</v>
      </c>
      <c r="AU246" s="119">
        <f t="shared" si="91"/>
        <v>527.5973022846523</v>
      </c>
      <c r="AV246" s="119">
        <f t="shared" si="91"/>
        <v>538.14924833034536</v>
      </c>
      <c r="AW246" s="119">
        <f t="shared" si="91"/>
        <v>548.91223329695231</v>
      </c>
      <c r="AX246" s="119">
        <f t="shared" si="91"/>
        <v>559.89047796289128</v>
      </c>
      <c r="AY246" s="119">
        <f t="shared" si="91"/>
        <v>571.08828752214913</v>
      </c>
      <c r="AZ246" s="119">
        <f t="shared" si="91"/>
        <v>582.51005327259213</v>
      </c>
      <c r="BA246" s="119">
        <f t="shared" si="91"/>
        <v>594.16025433804396</v>
      </c>
      <c r="BB246" s="119">
        <f>35.71*BB248</f>
        <v>606.04345942480495</v>
      </c>
      <c r="BC246" s="119">
        <f t="shared" si="92"/>
        <v>618.16432861330111</v>
      </c>
      <c r="BD246" s="119">
        <f t="shared" si="92"/>
        <v>630.52761518556702</v>
      </c>
      <c r="BE246" s="119">
        <f t="shared" si="92"/>
        <v>643.13816748927843</v>
      </c>
      <c r="BF246" s="119">
        <f t="shared" si="92"/>
        <v>656.00093083906404</v>
      </c>
      <c r="BG246" s="119">
        <f t="shared" si="92"/>
        <v>669.12094945584533</v>
      </c>
    </row>
    <row r="247" spans="1:59" ht="13.75" customHeight="1">
      <c r="A247" s="141" t="s">
        <v>166</v>
      </c>
      <c r="B247" s="170" t="s">
        <v>369</v>
      </c>
      <c r="C247" s="170"/>
      <c r="D247" s="170" t="s">
        <v>377</v>
      </c>
      <c r="E247" s="168"/>
      <c r="F247" s="168" t="s">
        <v>378</v>
      </c>
      <c r="G247" s="168" t="s">
        <v>379</v>
      </c>
      <c r="H247" s="168"/>
      <c r="I247" s="168" t="s">
        <v>380</v>
      </c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12">
        <v>9.4499999999999993</v>
      </c>
      <c r="V247" s="112">
        <v>10.61</v>
      </c>
      <c r="W247" s="112">
        <v>8.24</v>
      </c>
      <c r="X247" s="112">
        <v>6.5</v>
      </c>
      <c r="Y247" s="112">
        <v>4.7</v>
      </c>
      <c r="Z247" s="112">
        <v>5.8</v>
      </c>
      <c r="AA247" s="112">
        <v>8.1</v>
      </c>
      <c r="AB247" s="112">
        <v>4.5</v>
      </c>
      <c r="AC247" s="112">
        <v>5</v>
      </c>
      <c r="AD247" s="112">
        <v>15.998798940997242</v>
      </c>
      <c r="AE247" s="112">
        <v>32.350955620936404</v>
      </c>
      <c r="AF247" s="112">
        <v>13.041846254184913</v>
      </c>
      <c r="AG247" s="112">
        <v>22.029279973866739</v>
      </c>
      <c r="AH247" s="112">
        <v>20.054705231535756</v>
      </c>
      <c r="AI247" s="112">
        <v>17.277895443200343</v>
      </c>
      <c r="AJ247" s="112">
        <v>16.828991430815577</v>
      </c>
      <c r="AK247" s="112">
        <v>17.165571259431889</v>
      </c>
      <c r="AL247" s="112">
        <v>17.508882684620527</v>
      </c>
      <c r="AM247" s="112">
        <v>17.85906033831294</v>
      </c>
      <c r="AN247" s="112">
        <v>18.2162415450792</v>
      </c>
      <c r="AO247" s="112">
        <v>18.580566375980784</v>
      </c>
      <c r="AP247" s="112">
        <v>18.9521777035004</v>
      </c>
      <c r="AQ247" s="112">
        <v>19.331221257570409</v>
      </c>
      <c r="AR247" s="112">
        <v>19.717845682721816</v>
      </c>
      <c r="AS247" s="112">
        <v>20.112202596376253</v>
      </c>
      <c r="AT247" s="112">
        <v>20.514446648303778</v>
      </c>
      <c r="AU247" s="112">
        <v>20.924735581269854</v>
      </c>
      <c r="AV247" s="112">
        <v>21.34323029289525</v>
      </c>
      <c r="AW247" s="112">
        <v>21.770094898753154</v>
      </c>
      <c r="AX247" s="112">
        <v>22.205496796728216</v>
      </c>
      <c r="AY247" s="112">
        <v>22.649606732662782</v>
      </c>
      <c r="AZ247" s="112">
        <v>23.10259886731604</v>
      </c>
      <c r="BA247" s="112">
        <v>23.56465084466236</v>
      </c>
      <c r="BB247" s="112">
        <v>24.035943861555609</v>
      </c>
      <c r="BC247" s="112">
        <f t="shared" ref="BC247:BG250" si="93">BB247*(1+((BB247-BA247)/BA247))</f>
        <v>24.516662738786721</v>
      </c>
      <c r="BD247" s="112">
        <f t="shared" si="93"/>
        <v>25.006995993562455</v>
      </c>
      <c r="BE247" s="112">
        <f t="shared" si="93"/>
        <v>25.507135913433704</v>
      </c>
      <c r="BF247" s="112">
        <f t="shared" si="93"/>
        <v>26.017278631702379</v>
      </c>
      <c r="BG247" s="112">
        <f t="shared" si="93"/>
        <v>26.537624204336428</v>
      </c>
    </row>
    <row r="248" spans="1:59" ht="13.75" customHeight="1">
      <c r="A248" s="141" t="s">
        <v>166</v>
      </c>
      <c r="B248" s="170" t="s">
        <v>369</v>
      </c>
      <c r="C248" s="170"/>
      <c r="D248" s="170" t="s">
        <v>377</v>
      </c>
      <c r="E248" s="168"/>
      <c r="F248" s="161" t="s">
        <v>381</v>
      </c>
      <c r="G248" s="168" t="s">
        <v>379</v>
      </c>
      <c r="H248" s="168"/>
      <c r="I248" s="168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12">
        <v>15.689466543316653</v>
      </c>
      <c r="V248" s="112">
        <v>16.628416643359003</v>
      </c>
      <c r="W248" s="112">
        <v>13.89</v>
      </c>
      <c r="X248" s="112">
        <v>10.26</v>
      </c>
      <c r="Y248" s="112">
        <v>6.9</v>
      </c>
      <c r="Z248" s="112">
        <v>8.07</v>
      </c>
      <c r="AA248" s="112">
        <v>10.119999999999999</v>
      </c>
      <c r="AB248" s="112">
        <v>9.94</v>
      </c>
      <c r="AC248" s="112">
        <v>8</v>
      </c>
      <c r="AD248" s="112">
        <v>9.4277816630591627</v>
      </c>
      <c r="AE248" s="162">
        <v>15.071666666666665</v>
      </c>
      <c r="AF248" s="162">
        <v>12.758614594859333</v>
      </c>
      <c r="AG248" s="112">
        <v>13.158384896982046</v>
      </c>
      <c r="AH248" s="112">
        <v>13.025320564575045</v>
      </c>
      <c r="AI248" s="112">
        <v>12.033330110598587</v>
      </c>
      <c r="AJ248" s="112">
        <v>11.88258218294246</v>
      </c>
      <c r="AK248" s="112">
        <v>12.120233826601311</v>
      </c>
      <c r="AL248" s="112">
        <v>12.362638503133336</v>
      </c>
      <c r="AM248" s="112">
        <v>12.609891273196004</v>
      </c>
      <c r="AN248" s="112">
        <v>12.862089098659924</v>
      </c>
      <c r="AO248" s="112">
        <v>13.119330880633123</v>
      </c>
      <c r="AP248" s="112">
        <v>13.381717498245786</v>
      </c>
      <c r="AQ248" s="112">
        <v>13.649351848210703</v>
      </c>
      <c r="AR248" s="112">
        <v>13.922338885174916</v>
      </c>
      <c r="AS248" s="112">
        <v>14.200785662878415</v>
      </c>
      <c r="AT248" s="112">
        <v>14.484801376135984</v>
      </c>
      <c r="AU248" s="112">
        <v>14.774497403658703</v>
      </c>
      <c r="AV248" s="112">
        <v>15.069987351731877</v>
      </c>
      <c r="AW248" s="112">
        <v>15.371387098766515</v>
      </c>
      <c r="AX248" s="112">
        <v>15.678814840741845</v>
      </c>
      <c r="AY248" s="112">
        <v>15.992391137556682</v>
      </c>
      <c r="AZ248" s="112">
        <v>16.312238960307816</v>
      </c>
      <c r="BA248" s="112">
        <v>16.638483739513973</v>
      </c>
      <c r="BB248" s="112">
        <v>16.971253414304254</v>
      </c>
      <c r="BC248" s="112">
        <f t="shared" si="93"/>
        <v>17.31067848259034</v>
      </c>
      <c r="BD248" s="112">
        <f t="shared" si="93"/>
        <v>17.656892052242146</v>
      </c>
      <c r="BE248" s="112">
        <f t="shared" si="93"/>
        <v>18.01002989328699</v>
      </c>
      <c r="BF248" s="112">
        <f t="shared" si="93"/>
        <v>18.370230491152732</v>
      </c>
      <c r="BG248" s="112">
        <f t="shared" si="93"/>
        <v>18.737635100975787</v>
      </c>
    </row>
    <row r="249" spans="1:59" ht="13.75" customHeight="1" outlineLevel="1">
      <c r="A249" s="141" t="s">
        <v>166</v>
      </c>
      <c r="B249" s="170" t="s">
        <v>369</v>
      </c>
      <c r="C249" s="170"/>
      <c r="D249" s="170" t="s">
        <v>168</v>
      </c>
      <c r="E249" s="168"/>
      <c r="F249" s="168" t="s">
        <v>382</v>
      </c>
      <c r="G249" s="168" t="s">
        <v>379</v>
      </c>
      <c r="H249" s="168"/>
      <c r="I249" s="168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X249" s="112">
        <v>2.6120999999999999</v>
      </c>
      <c r="Y249" s="112">
        <v>2.4946000000000002</v>
      </c>
      <c r="Z249" s="112">
        <v>2.9628999999999999</v>
      </c>
      <c r="AA249" s="112">
        <v>3.1511</v>
      </c>
      <c r="AB249" s="112">
        <v>2.5625</v>
      </c>
      <c r="AC249" s="112">
        <v>2.0184176938558518</v>
      </c>
      <c r="AD249" s="112">
        <v>3.8514131344088152</v>
      </c>
      <c r="AE249" s="112">
        <v>6.4910354256854248</v>
      </c>
      <c r="AF249" s="112">
        <v>3.0184309571958212</v>
      </c>
      <c r="AG249" s="162">
        <v>5.8587982558139524</v>
      </c>
      <c r="AH249" s="162">
        <v>6.3383402616279074</v>
      </c>
      <c r="AI249" s="112">
        <v>6.3101398255813939</v>
      </c>
      <c r="AJ249" s="112">
        <v>6.2222206395348838</v>
      </c>
      <c r="AK249" s="112">
        <v>6.3466650523255819</v>
      </c>
      <c r="AL249" s="112">
        <v>6.4735983533720933</v>
      </c>
      <c r="AM249" s="112">
        <v>6.6030703204395351</v>
      </c>
      <c r="AN249" s="112">
        <v>6.7351317268483255</v>
      </c>
      <c r="AO249" s="112">
        <v>6.8698343613852924</v>
      </c>
      <c r="AP249" s="112">
        <v>7.0072310486129981</v>
      </c>
      <c r="AQ249" s="112">
        <v>7.1473756695852577</v>
      </c>
      <c r="AR249" s="112">
        <v>7.2903231829769632</v>
      </c>
      <c r="AS249" s="112">
        <v>7.4361296466365028</v>
      </c>
      <c r="AT249" s="112">
        <v>7.5848522395692326</v>
      </c>
      <c r="AU249" s="112">
        <v>7.736549284360617</v>
      </c>
      <c r="AV249" s="112">
        <v>7.8912802700478295</v>
      </c>
      <c r="AW249" s="112">
        <v>8.0491058754487863</v>
      </c>
      <c r="AX249" s="112">
        <v>8.2100879929577619</v>
      </c>
      <c r="AY249" s="112">
        <v>8.3742897528169173</v>
      </c>
      <c r="AZ249" s="112">
        <v>8.5417755478732555</v>
      </c>
      <c r="BA249" s="112">
        <v>8.7126110588307206</v>
      </c>
      <c r="BB249" s="112">
        <v>8.8868632800073346</v>
      </c>
      <c r="BC249" s="112">
        <f t="shared" si="93"/>
        <v>9.0646005456074814</v>
      </c>
      <c r="BD249" s="112">
        <f t="shared" si="93"/>
        <v>9.2458925565196317</v>
      </c>
      <c r="BE249" s="112">
        <f t="shared" si="93"/>
        <v>9.430810407650025</v>
      </c>
      <c r="BF249" s="112">
        <f t="shared" si="93"/>
        <v>9.6194266158030253</v>
      </c>
      <c r="BG249" s="112">
        <f t="shared" si="93"/>
        <v>9.8118151481190861</v>
      </c>
    </row>
    <row r="250" spans="1:59" ht="13.75" customHeight="1" outlineLevel="1">
      <c r="A250" s="141" t="s">
        <v>166</v>
      </c>
      <c r="B250" s="170" t="s">
        <v>369</v>
      </c>
      <c r="C250" s="170"/>
      <c r="D250" s="170" t="s">
        <v>168</v>
      </c>
      <c r="E250" s="168"/>
      <c r="F250" s="168" t="s">
        <v>383</v>
      </c>
      <c r="G250" s="168" t="s">
        <v>379</v>
      </c>
      <c r="H250" s="168"/>
      <c r="I250" s="168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X250" s="112">
        <v>6.4468088543445541</v>
      </c>
      <c r="Y250" s="112">
        <v>4.5374661915795089</v>
      </c>
      <c r="Z250" s="112">
        <v>5.7409236871492846</v>
      </c>
      <c r="AA250" s="112">
        <v>7.9166125649804098</v>
      </c>
      <c r="AB250" s="112">
        <v>4.4476006561357497</v>
      </c>
      <c r="AC250" s="112">
        <v>3.1753480594359531</v>
      </c>
      <c r="AD250" s="112">
        <v>15.935621721874805</v>
      </c>
      <c r="AE250" s="112">
        <v>41.127928546954458</v>
      </c>
      <c r="AF250" s="112">
        <v>13.593760905248415</v>
      </c>
      <c r="AG250" s="162">
        <v>22.529446640533411</v>
      </c>
      <c r="AH250" s="162">
        <v>20.546955231535758</v>
      </c>
      <c r="AI250" s="112">
        <v>16.888688778804589</v>
      </c>
      <c r="AJ250" s="112">
        <v>16.438227939762239</v>
      </c>
      <c r="AK250" s="112">
        <v>16.766992498557485</v>
      </c>
      <c r="AL250" s="112">
        <v>17.102332348528634</v>
      </c>
      <c r="AM250" s="112">
        <v>17.444378995499207</v>
      </c>
      <c r="AN250" s="112">
        <v>17.793266575409191</v>
      </c>
      <c r="AO250" s="112">
        <v>18.149131906917376</v>
      </c>
      <c r="AP250" s="112">
        <v>18.512114545055724</v>
      </c>
      <c r="AQ250" s="112">
        <v>18.882356835956838</v>
      </c>
      <c r="AR250" s="112">
        <v>19.260003972675975</v>
      </c>
      <c r="AS250" s="112">
        <v>19.645204052129493</v>
      </c>
      <c r="AT250" s="112">
        <v>20.038108133172084</v>
      </c>
      <c r="AU250" s="112">
        <v>20.438870295835525</v>
      </c>
      <c r="AV250" s="112">
        <v>20.847647701752237</v>
      </c>
      <c r="AW250" s="112">
        <v>21.264600655787284</v>
      </c>
      <c r="AX250" s="112">
        <v>21.689892668903031</v>
      </c>
      <c r="AY250" s="112">
        <v>22.123690522281091</v>
      </c>
      <c r="AZ250" s="112">
        <v>22.566164332726714</v>
      </c>
      <c r="BA250" s="112">
        <v>23.017487619381249</v>
      </c>
      <c r="BB250" s="112">
        <v>23.477837371768874</v>
      </c>
      <c r="BC250" s="112">
        <f t="shared" si="93"/>
        <v>23.947394119204251</v>
      </c>
      <c r="BD250" s="112">
        <f t="shared" si="93"/>
        <v>24.426342001588335</v>
      </c>
      <c r="BE250" s="112">
        <f t="shared" si="93"/>
        <v>24.914868841620102</v>
      </c>
      <c r="BF250" s="112">
        <f t="shared" si="93"/>
        <v>25.413166218452503</v>
      </c>
      <c r="BG250" s="112">
        <f t="shared" si="93"/>
        <v>25.921429542821553</v>
      </c>
    </row>
    <row r="251" spans="1:59" ht="13.75" customHeight="1" outlineLevel="1">
      <c r="B251" s="170"/>
      <c r="C251" s="170"/>
      <c r="D251" s="170"/>
      <c r="E251" s="168"/>
      <c r="F251" s="168"/>
      <c r="G251" s="168"/>
      <c r="H251" s="168"/>
      <c r="I251" s="168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AG251" s="116"/>
      <c r="AH251" s="116"/>
      <c r="AN251" s="107"/>
      <c r="AO251" s="107"/>
      <c r="AP251" s="107"/>
      <c r="AQ251" s="107"/>
      <c r="AR251" s="107"/>
      <c r="AS251" s="107"/>
      <c r="AT251" s="107"/>
      <c r="AU251" s="107"/>
      <c r="AV251" s="107"/>
      <c r="AW251" s="107"/>
      <c r="AX251" s="107"/>
      <c r="AY251" s="107"/>
      <c r="AZ251" s="107"/>
      <c r="BA251" s="107"/>
      <c r="BB251" s="107"/>
      <c r="BC251" s="107"/>
      <c r="BD251" s="107"/>
      <c r="BE251" s="107"/>
      <c r="BF251" s="107"/>
      <c r="BG251" s="107"/>
    </row>
    <row r="252" spans="1:59" ht="13.75" customHeight="1" outlineLevel="1">
      <c r="B252" s="170"/>
      <c r="C252" s="170"/>
      <c r="D252" s="170"/>
      <c r="E252" s="168"/>
      <c r="F252" s="168"/>
      <c r="G252" s="168"/>
      <c r="H252" s="168"/>
      <c r="I252" s="168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11"/>
      <c r="AB252" s="111"/>
      <c r="AC252" s="111"/>
      <c r="AD252" s="111"/>
      <c r="AE252" s="111"/>
      <c r="AF252" s="111"/>
      <c r="AG252" s="116"/>
      <c r="AH252" s="116"/>
      <c r="AN252" s="107"/>
      <c r="AO252" s="107"/>
      <c r="AP252" s="107"/>
      <c r="AQ252" s="107"/>
      <c r="AR252" s="107"/>
      <c r="AS252" s="107"/>
      <c r="AT252" s="107"/>
      <c r="AU252" s="107"/>
      <c r="AV252" s="107"/>
      <c r="AW252" s="107"/>
      <c r="AX252" s="107"/>
      <c r="AY252" s="107"/>
      <c r="AZ252" s="107"/>
      <c r="BA252" s="107"/>
      <c r="BB252" s="107"/>
      <c r="BC252" s="107"/>
      <c r="BD252" s="107"/>
      <c r="BE252" s="107"/>
      <c r="BF252" s="107"/>
      <c r="BG252" s="107"/>
    </row>
    <row r="253" spans="1:59" ht="13.75" customHeight="1" outlineLevel="1">
      <c r="B253" s="170"/>
      <c r="C253" s="170"/>
      <c r="D253" s="170"/>
      <c r="E253" s="168"/>
      <c r="F253" s="168"/>
      <c r="G253" s="168"/>
      <c r="H253" s="168"/>
      <c r="I253" s="168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AA253" s="111"/>
      <c r="AB253" s="111"/>
      <c r="AC253" s="111"/>
      <c r="AD253" s="111"/>
      <c r="AE253" s="111"/>
      <c r="AF253" s="111"/>
      <c r="AG253" s="116"/>
      <c r="AH253" s="116"/>
      <c r="AN253" s="107"/>
      <c r="AO253" s="107"/>
      <c r="AP253" s="107"/>
      <c r="AQ253" s="107"/>
      <c r="AR253" s="107"/>
      <c r="AS253" s="107"/>
      <c r="AT253" s="107"/>
      <c r="AU253" s="107"/>
      <c r="AV253" s="107"/>
      <c r="AW253" s="107"/>
      <c r="AX253" s="107"/>
      <c r="AY253" s="107"/>
      <c r="AZ253" s="107"/>
      <c r="BA253" s="107"/>
      <c r="BB253" s="107"/>
      <c r="BC253" s="107"/>
      <c r="BD253" s="107"/>
      <c r="BE253" s="107"/>
      <c r="BF253" s="107"/>
      <c r="BG253" s="107"/>
    </row>
    <row r="254" spans="1:59" ht="13.75" customHeight="1" outlineLevel="1">
      <c r="B254" s="170"/>
      <c r="C254" s="170"/>
      <c r="D254" s="170"/>
      <c r="E254" s="168"/>
      <c r="F254" s="168"/>
      <c r="G254" s="168"/>
      <c r="H254" s="168"/>
      <c r="I254" s="168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AG254" s="116"/>
      <c r="AH254" s="116"/>
      <c r="AN254" s="107"/>
      <c r="AO254" s="107"/>
      <c r="AP254" s="107"/>
      <c r="AQ254" s="107"/>
      <c r="AR254" s="107"/>
      <c r="AS254" s="107"/>
      <c r="AT254" s="107"/>
      <c r="AU254" s="107"/>
      <c r="AV254" s="107"/>
      <c r="AW254" s="107"/>
      <c r="AX254" s="107"/>
      <c r="AY254" s="107"/>
      <c r="AZ254" s="107"/>
      <c r="BA254" s="107"/>
      <c r="BB254" s="107"/>
      <c r="BC254" s="107"/>
      <c r="BD254" s="107"/>
      <c r="BE254" s="107"/>
      <c r="BF254" s="107"/>
      <c r="BG254" s="107"/>
    </row>
    <row r="255" spans="1:59" ht="13.75" customHeight="1" outlineLevel="1">
      <c r="B255" s="170"/>
      <c r="C255" s="170"/>
      <c r="D255" s="170"/>
      <c r="E255" s="168"/>
      <c r="F255" s="168"/>
      <c r="G255" s="168"/>
      <c r="H255" s="168"/>
      <c r="I255" s="168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AG255" s="116"/>
      <c r="AH255" s="116"/>
      <c r="AN255" s="107"/>
      <c r="AO255" s="107"/>
      <c r="AP255" s="107"/>
      <c r="AQ255" s="107"/>
      <c r="AR255" s="107"/>
      <c r="AS255" s="107"/>
      <c r="AT255" s="107"/>
      <c r="AU255" s="107"/>
      <c r="AV255" s="107"/>
      <c r="AW255" s="107"/>
      <c r="AX255" s="107"/>
      <c r="AY255" s="107"/>
      <c r="AZ255" s="107"/>
      <c r="BA255" s="107"/>
      <c r="BB255" s="107"/>
      <c r="BC255" s="107"/>
      <c r="BD255" s="107"/>
      <c r="BE255" s="107"/>
      <c r="BF255" s="107"/>
      <c r="BG255" s="107"/>
    </row>
    <row r="256" spans="1:59" ht="13.75" customHeight="1" outlineLevel="1">
      <c r="B256" s="170"/>
      <c r="C256" s="170"/>
      <c r="D256" s="170"/>
      <c r="E256" s="168"/>
      <c r="F256" s="168"/>
      <c r="G256" s="168"/>
      <c r="H256" s="168"/>
      <c r="I256" s="168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AG256" s="116"/>
      <c r="AH256" s="116"/>
      <c r="AN256" s="107"/>
      <c r="AO256" s="107"/>
      <c r="AP256" s="107"/>
      <c r="AQ256" s="107"/>
      <c r="AR256" s="107"/>
      <c r="AS256" s="107"/>
      <c r="AT256" s="107"/>
      <c r="AU256" s="107"/>
      <c r="AV256" s="107"/>
      <c r="AW256" s="107"/>
      <c r="AX256" s="107"/>
      <c r="AY256" s="107"/>
      <c r="AZ256" s="107"/>
      <c r="BA256" s="107"/>
      <c r="BB256" s="107"/>
      <c r="BC256" s="107"/>
      <c r="BD256" s="107"/>
      <c r="BE256" s="107"/>
      <c r="BF256" s="107"/>
      <c r="BG256" s="107"/>
    </row>
    <row r="257" spans="1:59" ht="13.75" customHeight="1" outlineLevel="1">
      <c r="B257" s="170"/>
      <c r="C257" s="170"/>
      <c r="D257" s="170"/>
      <c r="E257" s="168"/>
      <c r="F257" s="168"/>
      <c r="G257" s="168"/>
      <c r="H257" s="168"/>
      <c r="I257" s="168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AG257" s="116"/>
      <c r="AH257" s="116"/>
      <c r="AN257" s="107"/>
      <c r="AO257" s="107"/>
      <c r="AP257" s="107"/>
      <c r="AQ257" s="107"/>
      <c r="AR257" s="107"/>
      <c r="AS257" s="107"/>
      <c r="AT257" s="107"/>
      <c r="AU257" s="107"/>
      <c r="AV257" s="107"/>
      <c r="AW257" s="107"/>
      <c r="AX257" s="107"/>
      <c r="AY257" s="107"/>
      <c r="AZ257" s="107"/>
      <c r="BA257" s="107"/>
      <c r="BB257" s="107"/>
      <c r="BC257" s="107"/>
      <c r="BD257" s="107"/>
      <c r="BE257" s="107"/>
      <c r="BF257" s="107"/>
      <c r="BG257" s="107"/>
    </row>
    <row r="258" spans="1:59" ht="13.75" customHeight="1" outlineLevel="1">
      <c r="B258" s="170"/>
      <c r="C258" s="170"/>
      <c r="D258" s="170"/>
      <c r="E258" s="168"/>
      <c r="F258" s="168"/>
      <c r="G258" s="168"/>
      <c r="H258" s="168"/>
      <c r="I258" s="168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AG258" s="116"/>
      <c r="AH258" s="116"/>
      <c r="AN258" s="107"/>
      <c r="AO258" s="107"/>
      <c r="AP258" s="107"/>
      <c r="AQ258" s="107"/>
      <c r="AR258" s="107"/>
      <c r="AS258" s="107"/>
      <c r="AT258" s="107"/>
      <c r="AU258" s="107"/>
      <c r="AV258" s="107"/>
      <c r="AW258" s="107"/>
      <c r="AX258" s="107"/>
      <c r="AY258" s="107"/>
      <c r="AZ258" s="107"/>
      <c r="BA258" s="107"/>
      <c r="BB258" s="107"/>
      <c r="BC258" s="107"/>
      <c r="BD258" s="107"/>
      <c r="BE258" s="107"/>
      <c r="BF258" s="107"/>
      <c r="BG258" s="107"/>
    </row>
    <row r="259" spans="1:59" ht="13.75" customHeight="1" outlineLevel="1">
      <c r="B259" s="170"/>
      <c r="C259" s="170"/>
      <c r="D259" s="170"/>
      <c r="E259" s="168"/>
      <c r="F259" s="168"/>
      <c r="G259" s="168"/>
      <c r="H259" s="168"/>
      <c r="I259" s="168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AG259" s="116"/>
      <c r="AH259" s="116"/>
      <c r="AN259" s="107"/>
      <c r="AO259" s="107"/>
      <c r="AP259" s="107"/>
      <c r="AQ259" s="107"/>
      <c r="AR259" s="107"/>
      <c r="AS259" s="107"/>
      <c r="AT259" s="107"/>
      <c r="AU259" s="107"/>
      <c r="AV259" s="107"/>
      <c r="AW259" s="107"/>
      <c r="AX259" s="107"/>
      <c r="AY259" s="107"/>
      <c r="AZ259" s="107"/>
      <c r="BA259" s="107"/>
      <c r="BB259" s="107"/>
      <c r="BC259" s="107"/>
      <c r="BD259" s="107"/>
      <c r="BE259" s="107"/>
      <c r="BF259" s="107"/>
      <c r="BG259" s="107"/>
    </row>
    <row r="260" spans="1:59" ht="13.75" customHeight="1" outlineLevel="1">
      <c r="B260" s="170"/>
      <c r="C260" s="170"/>
      <c r="D260" s="170"/>
      <c r="E260" s="168"/>
      <c r="F260" s="168"/>
      <c r="G260" s="168"/>
      <c r="H260" s="168"/>
      <c r="I260" s="168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AG260" s="116"/>
      <c r="AH260" s="116"/>
      <c r="AN260" s="107"/>
      <c r="AO260" s="107"/>
      <c r="AP260" s="107"/>
      <c r="AQ260" s="107"/>
      <c r="AR260" s="107"/>
      <c r="AS260" s="107"/>
      <c r="AT260" s="107"/>
      <c r="AU260" s="107"/>
      <c r="AV260" s="107"/>
      <c r="AW260" s="107"/>
      <c r="AX260" s="107"/>
      <c r="AY260" s="107"/>
      <c r="AZ260" s="107"/>
      <c r="BA260" s="107"/>
      <c r="BB260" s="107"/>
      <c r="BC260" s="107"/>
      <c r="BD260" s="107"/>
      <c r="BE260" s="107"/>
      <c r="BF260" s="107"/>
      <c r="BG260" s="107"/>
    </row>
    <row r="261" spans="1:59" ht="13.75" customHeight="1" outlineLevel="1">
      <c r="B261" s="170"/>
      <c r="C261" s="170"/>
      <c r="D261" s="170"/>
      <c r="E261" s="168"/>
      <c r="F261" s="168"/>
      <c r="G261" s="168"/>
      <c r="H261" s="168"/>
      <c r="I261" s="168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AG261" s="116"/>
      <c r="AH261" s="116"/>
      <c r="AN261" s="107"/>
      <c r="AO261" s="107"/>
      <c r="AP261" s="107"/>
      <c r="AQ261" s="107"/>
      <c r="AR261" s="107"/>
      <c r="AS261" s="107"/>
      <c r="AT261" s="107"/>
      <c r="AU261" s="107"/>
      <c r="AV261" s="107"/>
      <c r="AW261" s="107"/>
      <c r="AX261" s="107"/>
      <c r="AY261" s="107"/>
      <c r="AZ261" s="107"/>
      <c r="BA261" s="107"/>
      <c r="BB261" s="107"/>
      <c r="BC261" s="107"/>
      <c r="BD261" s="107"/>
      <c r="BE261" s="107"/>
      <c r="BF261" s="107"/>
      <c r="BG261" s="107"/>
    </row>
    <row r="262" spans="1:59" ht="13.75" customHeight="1" outlineLevel="1">
      <c r="B262" s="170"/>
      <c r="C262" s="170"/>
      <c r="D262" s="170"/>
      <c r="E262" s="168"/>
      <c r="F262" s="168"/>
      <c r="G262" s="168"/>
      <c r="H262" s="168"/>
      <c r="I262" s="168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AG262" s="116"/>
      <c r="AH262" s="116"/>
      <c r="AN262" s="146"/>
      <c r="AO262" s="146"/>
      <c r="AP262" s="146"/>
      <c r="AQ262" s="146"/>
      <c r="AR262" s="146"/>
      <c r="AS262" s="146"/>
      <c r="AT262" s="146"/>
      <c r="AU262" s="146"/>
      <c r="AV262" s="146"/>
      <c r="AW262" s="146"/>
      <c r="AX262" s="146"/>
      <c r="AY262" s="146"/>
      <c r="AZ262" s="146"/>
      <c r="BA262" s="146"/>
      <c r="BB262" s="146"/>
      <c r="BC262" s="146"/>
      <c r="BD262" s="146"/>
      <c r="BE262" s="146"/>
      <c r="BF262" s="146"/>
      <c r="BG262" s="146"/>
    </row>
    <row r="263" spans="1:59" ht="13.75" customHeight="1" outlineLevel="1">
      <c r="B263" s="170"/>
      <c r="C263" s="170"/>
      <c r="D263" s="170"/>
      <c r="E263" s="168"/>
      <c r="F263" s="168"/>
      <c r="G263" s="168"/>
      <c r="H263" s="168"/>
      <c r="I263" s="168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AG263" s="116"/>
      <c r="AH263" s="116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</row>
    <row r="264" spans="1:59" ht="13.75" customHeight="1" outlineLevel="1">
      <c r="B264" s="170"/>
      <c r="C264" s="170"/>
      <c r="D264" s="170"/>
      <c r="E264" s="168"/>
      <c r="F264" s="168"/>
      <c r="G264" s="168"/>
      <c r="H264" s="168"/>
      <c r="I264" s="168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AG264" s="116"/>
      <c r="AH264" s="116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</row>
    <row r="265" spans="1:59" ht="13.75" customHeight="1" outlineLevel="1">
      <c r="B265" s="170"/>
      <c r="C265" s="170"/>
      <c r="D265" s="170"/>
      <c r="E265" s="168"/>
      <c r="F265" s="168"/>
      <c r="G265" s="168"/>
      <c r="H265" s="168"/>
      <c r="I265" s="168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AG265" s="116"/>
      <c r="AH265" s="116"/>
      <c r="AN265" s="107"/>
      <c r="AO265" s="107"/>
      <c r="AP265" s="107"/>
      <c r="AQ265" s="107"/>
      <c r="AR265" s="107"/>
      <c r="AS265" s="107"/>
      <c r="AT265" s="107"/>
      <c r="AU265" s="107"/>
      <c r="AV265" s="107"/>
      <c r="AW265" s="107"/>
      <c r="AX265" s="107"/>
      <c r="AY265" s="107"/>
      <c r="AZ265" s="107"/>
      <c r="BA265" s="107"/>
      <c r="BB265" s="107"/>
      <c r="BC265" s="107"/>
      <c r="BD265" s="107"/>
      <c r="BE265" s="107"/>
      <c r="BF265" s="107"/>
      <c r="BG265" s="107"/>
    </row>
    <row r="266" spans="1:59" ht="13.75" customHeight="1" outlineLevel="1">
      <c r="B266" s="170"/>
      <c r="C266" s="170"/>
      <c r="D266" s="170"/>
      <c r="E266" s="168"/>
      <c r="F266" s="168"/>
      <c r="G266" s="168"/>
      <c r="H266" s="168"/>
      <c r="I266" s="168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AG266" s="116"/>
      <c r="AH266" s="116"/>
      <c r="AN266" s="107"/>
      <c r="AO266" s="107"/>
      <c r="AP266" s="107"/>
      <c r="AQ266" s="107"/>
      <c r="AR266" s="107"/>
      <c r="AS266" s="107"/>
      <c r="AT266" s="107"/>
      <c r="AU266" s="107"/>
      <c r="AV266" s="107"/>
      <c r="AW266" s="107"/>
      <c r="AX266" s="107"/>
      <c r="AY266" s="107"/>
      <c r="AZ266" s="107"/>
      <c r="BA266" s="107"/>
      <c r="BB266" s="107"/>
      <c r="BC266" s="107"/>
      <c r="BD266" s="107"/>
      <c r="BE266" s="107"/>
      <c r="BF266" s="107"/>
      <c r="BG266" s="107"/>
    </row>
    <row r="267" spans="1:59" ht="13.75" customHeight="1" outlineLevel="1">
      <c r="B267" s="170"/>
      <c r="C267" s="170"/>
      <c r="D267" s="170"/>
      <c r="E267" s="168"/>
      <c r="F267" s="168"/>
      <c r="G267" s="168"/>
      <c r="H267" s="168"/>
      <c r="I267" s="168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AG267" s="116"/>
      <c r="AH267" s="116"/>
      <c r="AN267" s="107"/>
      <c r="AO267" s="107"/>
      <c r="AP267" s="107"/>
      <c r="AQ267" s="107"/>
      <c r="AR267" s="107"/>
      <c r="AS267" s="107"/>
      <c r="AT267" s="107"/>
      <c r="AU267" s="107"/>
      <c r="AV267" s="107"/>
      <c r="AW267" s="107"/>
      <c r="AX267" s="107"/>
      <c r="AY267" s="107"/>
      <c r="AZ267" s="107"/>
      <c r="BA267" s="107"/>
      <c r="BB267" s="107"/>
      <c r="BC267" s="107"/>
      <c r="BD267" s="107"/>
      <c r="BE267" s="107"/>
      <c r="BF267" s="107"/>
      <c r="BG267" s="107"/>
    </row>
    <row r="268" spans="1:59" ht="13.75" customHeight="1" outlineLevel="1">
      <c r="B268" s="170"/>
      <c r="C268" s="170"/>
      <c r="D268" s="170"/>
      <c r="E268" s="168"/>
      <c r="F268" s="168"/>
      <c r="G268" s="168"/>
      <c r="H268" s="168"/>
      <c r="I268" s="168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X268" s="110"/>
      <c r="Y268" s="110"/>
      <c r="Z268" s="110"/>
      <c r="AA268" s="110"/>
      <c r="AB268" s="110"/>
      <c r="AC268" s="110"/>
      <c r="AG268" s="116"/>
      <c r="AH268" s="116"/>
      <c r="AN268" s="119"/>
      <c r="AO268" s="119"/>
      <c r="AP268" s="119"/>
      <c r="AQ268" s="119"/>
      <c r="AR268" s="119"/>
      <c r="AS268" s="119"/>
      <c r="AT268" s="119"/>
      <c r="AU268" s="119"/>
      <c r="AV268" s="119"/>
      <c r="AW268" s="119"/>
      <c r="AX268" s="119"/>
      <c r="AY268" s="119"/>
      <c r="AZ268" s="119"/>
      <c r="BA268" s="119"/>
      <c r="BB268" s="119"/>
      <c r="BC268" s="119"/>
      <c r="BD268" s="119"/>
      <c r="BE268" s="119"/>
      <c r="BF268" s="119"/>
      <c r="BG268" s="119"/>
    </row>
    <row r="269" spans="1:59" ht="13.75" customHeight="1" outlineLevel="1">
      <c r="B269" s="170"/>
      <c r="C269" s="170"/>
      <c r="D269" s="170"/>
      <c r="E269" s="168"/>
      <c r="F269" s="168"/>
      <c r="G269" s="168"/>
      <c r="H269" s="168"/>
      <c r="I269" s="168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X269" s="110"/>
      <c r="Y269" s="110"/>
      <c r="Z269" s="110"/>
      <c r="AA269" s="110"/>
      <c r="AB269" s="110"/>
      <c r="AC269" s="110"/>
      <c r="AG269" s="116"/>
      <c r="AH269" s="116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19"/>
      <c r="AZ269" s="119"/>
      <c r="BA269" s="119"/>
      <c r="BB269" s="119"/>
      <c r="BC269" s="119"/>
      <c r="BD269" s="119"/>
      <c r="BE269" s="119"/>
      <c r="BF269" s="119"/>
      <c r="BG269" s="119"/>
    </row>
    <row r="270" spans="1:59" ht="13.75" customHeight="1">
      <c r="A270" s="141" t="s">
        <v>166</v>
      </c>
      <c r="B270" s="142" t="s">
        <v>384</v>
      </c>
      <c r="C270" s="170"/>
      <c r="D270" s="170" t="s">
        <v>385</v>
      </c>
      <c r="E270" s="173"/>
      <c r="F270" s="168" t="s">
        <v>386</v>
      </c>
      <c r="G270" s="168" t="s">
        <v>3</v>
      </c>
      <c r="H270" s="173" t="s">
        <v>387</v>
      </c>
      <c r="I270" s="168" t="s">
        <v>388</v>
      </c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7">
        <v>6.0999999999999999E-2</v>
      </c>
      <c r="V270" s="107">
        <v>9.7000000000000003E-2</v>
      </c>
      <c r="W270" s="107">
        <v>8.1000000000000003E-2</v>
      </c>
      <c r="X270" s="107">
        <v>7.4999999999999997E-2</v>
      </c>
      <c r="Y270" s="107">
        <v>5.8999999999999997E-2</v>
      </c>
      <c r="Z270" s="107">
        <v>0.04</v>
      </c>
      <c r="AA270" s="107">
        <v>0.04</v>
      </c>
      <c r="AB270" s="107">
        <v>4.8000000000000001E-2</v>
      </c>
      <c r="AC270" s="107">
        <v>2.7699999999999999E-2</v>
      </c>
      <c r="AD270" s="107">
        <v>3.2599999999999997E-2</v>
      </c>
      <c r="AE270" s="107">
        <v>5.0999999999999997E-2</v>
      </c>
      <c r="AF270" s="107">
        <v>0.10756101872637402</v>
      </c>
      <c r="AG270" s="107">
        <v>3.1E-2</v>
      </c>
      <c r="AH270" s="107">
        <v>5.8000000000000003E-2</v>
      </c>
      <c r="AI270" s="107">
        <v>0.05</v>
      </c>
      <c r="AJ270" s="107">
        <f>(50%*(1+AJ242)+50%*(1+AJ5))-1</f>
        <v>4.0000000000000036E-2</v>
      </c>
      <c r="AK270" s="107">
        <f t="shared" ref="AK270:AX270" si="94">(50%*(1+AK242)+50%*(1+AK5))-1</f>
        <v>4.0000000000000036E-2</v>
      </c>
      <c r="AL270" s="107">
        <f t="shared" si="94"/>
        <v>4.0000000000000036E-2</v>
      </c>
      <c r="AM270" s="107">
        <f t="shared" si="94"/>
        <v>4.0000000000000036E-2</v>
      </c>
      <c r="AN270" s="107">
        <f t="shared" si="94"/>
        <v>4.0000000000000036E-2</v>
      </c>
      <c r="AO270" s="107">
        <f t="shared" si="94"/>
        <v>4.0000000000000036E-2</v>
      </c>
      <c r="AP270" s="107">
        <f t="shared" si="94"/>
        <v>4.0000000000000036E-2</v>
      </c>
      <c r="AQ270" s="107">
        <f t="shared" si="94"/>
        <v>4.0000000000000036E-2</v>
      </c>
      <c r="AR270" s="107">
        <f t="shared" si="94"/>
        <v>4.0000000000000036E-2</v>
      </c>
      <c r="AS270" s="107">
        <f t="shared" si="94"/>
        <v>4.0000000000000036E-2</v>
      </c>
      <c r="AT270" s="107">
        <f t="shared" si="94"/>
        <v>4.0000000000000036E-2</v>
      </c>
      <c r="AU270" s="107">
        <f t="shared" si="94"/>
        <v>4.0000000000000036E-2</v>
      </c>
      <c r="AV270" s="107">
        <f t="shared" si="94"/>
        <v>4.0000000000000036E-2</v>
      </c>
      <c r="AW270" s="107">
        <f t="shared" si="94"/>
        <v>4.0000000000000036E-2</v>
      </c>
      <c r="AX270" s="107">
        <f t="shared" si="94"/>
        <v>4.0000000000000036E-2</v>
      </c>
      <c r="AY270" s="107">
        <f t="shared" ref="AY270:BG270" si="95">(50%*(1+AY242)+50%*(1+AY3))-1</f>
        <v>4.0000000000000036E-2</v>
      </c>
      <c r="AZ270" s="107">
        <f t="shared" si="95"/>
        <v>4.0000000000000036E-2</v>
      </c>
      <c r="BA270" s="107">
        <f t="shared" si="95"/>
        <v>4.0000000000000036E-2</v>
      </c>
      <c r="BB270" s="107">
        <f t="shared" si="95"/>
        <v>4.0000000000000036E-2</v>
      </c>
      <c r="BC270" s="107">
        <f t="shared" si="95"/>
        <v>4.0000000000000036E-2</v>
      </c>
      <c r="BD270" s="107">
        <f t="shared" si="95"/>
        <v>4.0000000000000036E-2</v>
      </c>
      <c r="BE270" s="107">
        <f t="shared" si="95"/>
        <v>4.0000000000000036E-2</v>
      </c>
      <c r="BF270" s="107">
        <f t="shared" si="95"/>
        <v>4.0000000000000036E-2</v>
      </c>
      <c r="BG270" s="107">
        <f t="shared" si="95"/>
        <v>4.0000000000000036E-2</v>
      </c>
    </row>
    <row r="271" spans="1:59" ht="13.75" customHeight="1">
      <c r="A271" s="141" t="s">
        <v>166</v>
      </c>
      <c r="B271" s="170" t="s">
        <v>384</v>
      </c>
      <c r="C271" s="170"/>
      <c r="D271" s="170" t="s">
        <v>168</v>
      </c>
      <c r="E271" s="173"/>
      <c r="F271" s="168" t="s">
        <v>389</v>
      </c>
      <c r="G271" s="168" t="s">
        <v>3</v>
      </c>
      <c r="H271" s="173" t="s">
        <v>387</v>
      </c>
      <c r="I271" s="168" t="s">
        <v>390</v>
      </c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7">
        <v>0.03</v>
      </c>
      <c r="V271" s="107">
        <v>9.2999999999999999E-2</v>
      </c>
      <c r="W271" s="107">
        <v>8.1000000000000003E-2</v>
      </c>
      <c r="X271" s="107">
        <v>6.2549639155632164E-2</v>
      </c>
      <c r="Y271" s="107">
        <v>5.8000000000000003E-2</v>
      </c>
      <c r="Z271" s="107">
        <v>4.1000000000000002E-2</v>
      </c>
      <c r="AA271" s="107">
        <v>0.04</v>
      </c>
      <c r="AB271" s="107">
        <v>4.8500000000000001E-2</v>
      </c>
      <c r="AC271" s="107">
        <v>3.2099999999999997E-2</v>
      </c>
      <c r="AD271" s="107">
        <v>4.24E-2</v>
      </c>
      <c r="AE271" s="107">
        <v>5.8000000000000003E-2</v>
      </c>
      <c r="AF271" s="107">
        <v>0.10807212876679162</v>
      </c>
      <c r="AG271" s="107">
        <v>0.03</v>
      </c>
      <c r="AH271" s="107">
        <v>5.5E-2</v>
      </c>
      <c r="AI271" s="107">
        <f t="shared" ref="AI271" si="96">AI3</f>
        <v>4.0391390824965789E-2</v>
      </c>
      <c r="AJ271" s="107">
        <f>AI3</f>
        <v>4.0391390824965789E-2</v>
      </c>
      <c r="AK271" s="107">
        <f t="shared" ref="AK271:AX271" si="97">AJ3</f>
        <v>0.04</v>
      </c>
      <c r="AL271" s="107">
        <f t="shared" si="97"/>
        <v>0.04</v>
      </c>
      <c r="AM271" s="107">
        <f t="shared" si="97"/>
        <v>0.04</v>
      </c>
      <c r="AN271" s="107">
        <f t="shared" si="97"/>
        <v>0.04</v>
      </c>
      <c r="AO271" s="107">
        <f t="shared" si="97"/>
        <v>0.04</v>
      </c>
      <c r="AP271" s="107">
        <f t="shared" si="97"/>
        <v>0.04</v>
      </c>
      <c r="AQ271" s="107">
        <f t="shared" si="97"/>
        <v>0.04</v>
      </c>
      <c r="AR271" s="107">
        <f t="shared" si="97"/>
        <v>0.04</v>
      </c>
      <c r="AS271" s="107">
        <f t="shared" si="97"/>
        <v>0.04</v>
      </c>
      <c r="AT271" s="107">
        <f t="shared" si="97"/>
        <v>0.04</v>
      </c>
      <c r="AU271" s="107">
        <f t="shared" si="97"/>
        <v>0.04</v>
      </c>
      <c r="AV271" s="107">
        <f t="shared" si="97"/>
        <v>0.04</v>
      </c>
      <c r="AW271" s="107">
        <f t="shared" si="97"/>
        <v>0.04</v>
      </c>
      <c r="AX271" s="107">
        <f t="shared" si="97"/>
        <v>0.04</v>
      </c>
      <c r="AY271" s="107">
        <f t="shared" ref="AY271:BG271" si="98">AY3</f>
        <v>0.04</v>
      </c>
      <c r="AZ271" s="107">
        <f t="shared" si="98"/>
        <v>0.04</v>
      </c>
      <c r="BA271" s="107">
        <f t="shared" si="98"/>
        <v>0.04</v>
      </c>
      <c r="BB271" s="107">
        <f t="shared" si="98"/>
        <v>0.04</v>
      </c>
      <c r="BC271" s="107">
        <f t="shared" si="98"/>
        <v>0.04</v>
      </c>
      <c r="BD271" s="107">
        <f t="shared" si="98"/>
        <v>0.04</v>
      </c>
      <c r="BE271" s="107">
        <f t="shared" si="98"/>
        <v>0.04</v>
      </c>
      <c r="BF271" s="107">
        <f t="shared" si="98"/>
        <v>0.04</v>
      </c>
      <c r="BG271" s="107">
        <f t="shared" si="98"/>
        <v>0.04</v>
      </c>
    </row>
    <row r="272" spans="1:59" ht="13.75" customHeight="1">
      <c r="A272" s="141" t="s">
        <v>166</v>
      </c>
      <c r="B272" s="170" t="s">
        <v>384</v>
      </c>
      <c r="C272" s="170"/>
      <c r="D272" s="170" t="s">
        <v>168</v>
      </c>
      <c r="E272" s="173"/>
      <c r="F272" s="168" t="s">
        <v>391</v>
      </c>
      <c r="G272" s="109" t="s">
        <v>3</v>
      </c>
      <c r="H272" s="109" t="s">
        <v>392</v>
      </c>
      <c r="I272" s="168" t="s">
        <v>393</v>
      </c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7">
        <v>4.6511627906976827E-2</v>
      </c>
      <c r="V272" s="107">
        <v>8.8888888888888795E-2</v>
      </c>
      <c r="W272" s="107">
        <v>6.1224489795918435E-2</v>
      </c>
      <c r="X272" s="107">
        <v>1.4232859473062964E-2</v>
      </c>
      <c r="Y272" s="107">
        <v>2.5170975902034431E-2</v>
      </c>
      <c r="Z272" s="107">
        <v>1.0091786747004061E-3</v>
      </c>
      <c r="AA272" s="107">
        <v>3.5378204787900769E-2</v>
      </c>
      <c r="AB272" s="107">
        <v>2.780401525031917E-2</v>
      </c>
      <c r="AC272" s="107">
        <v>-5.3687693088631083E-2</v>
      </c>
      <c r="AD272" s="107">
        <v>0.14612722404062464</v>
      </c>
      <c r="AE272" s="107">
        <f>0.79*AE281+(1-0.79)*AE282</f>
        <v>7.4939999999999979E-2</v>
      </c>
      <c r="AF272" s="107">
        <f t="shared" ref="AF272:AG272" si="99">0.79*AF281+(1-0.79)*AF282</f>
        <v>0.102766</v>
      </c>
      <c r="AG272" s="107">
        <f t="shared" si="99"/>
        <v>6.6690000000000013E-2</v>
      </c>
      <c r="AH272" s="107">
        <f>0.79*AH281+(1-0.79)*AH282</f>
        <v>7.1489999999999998E-2</v>
      </c>
      <c r="AI272" s="107">
        <f t="shared" ref="AI272:BG272" si="100">0.79*AI281+(1-0.79)*AI282</f>
        <v>6.0010000000000001E-2</v>
      </c>
      <c r="AJ272" s="107">
        <f t="shared" si="100"/>
        <v>0.04</v>
      </c>
      <c r="AK272" s="107">
        <f t="shared" si="100"/>
        <v>0.04</v>
      </c>
      <c r="AL272" s="107">
        <f t="shared" si="100"/>
        <v>0.04</v>
      </c>
      <c r="AM272" s="107">
        <f t="shared" si="100"/>
        <v>0.04</v>
      </c>
      <c r="AN272" s="107">
        <f t="shared" si="100"/>
        <v>0.04</v>
      </c>
      <c r="AO272" s="107">
        <f t="shared" si="100"/>
        <v>0.04</v>
      </c>
      <c r="AP272" s="107">
        <f t="shared" si="100"/>
        <v>0.04</v>
      </c>
      <c r="AQ272" s="107">
        <f t="shared" si="100"/>
        <v>0.04</v>
      </c>
      <c r="AR272" s="107">
        <f t="shared" si="100"/>
        <v>0.04</v>
      </c>
      <c r="AS272" s="107">
        <f t="shared" si="100"/>
        <v>0.04</v>
      </c>
      <c r="AT272" s="107">
        <f t="shared" si="100"/>
        <v>0.04</v>
      </c>
      <c r="AU272" s="107">
        <f t="shared" si="100"/>
        <v>0.04</v>
      </c>
      <c r="AV272" s="107">
        <f t="shared" si="100"/>
        <v>0.04</v>
      </c>
      <c r="AW272" s="107">
        <f t="shared" si="100"/>
        <v>0.04</v>
      </c>
      <c r="AX272" s="107">
        <f t="shared" si="100"/>
        <v>0.04</v>
      </c>
      <c r="AY272" s="107">
        <f t="shared" si="100"/>
        <v>0.04</v>
      </c>
      <c r="AZ272" s="107">
        <f t="shared" si="100"/>
        <v>0.04</v>
      </c>
      <c r="BA272" s="107">
        <f t="shared" si="100"/>
        <v>0.04</v>
      </c>
      <c r="BB272" s="107">
        <f t="shared" si="100"/>
        <v>0.04</v>
      </c>
      <c r="BC272" s="107">
        <f t="shared" si="100"/>
        <v>0.04</v>
      </c>
      <c r="BD272" s="107">
        <f t="shared" si="100"/>
        <v>0.04</v>
      </c>
      <c r="BE272" s="107">
        <f t="shared" si="100"/>
        <v>0.04</v>
      </c>
      <c r="BF272" s="107">
        <f t="shared" si="100"/>
        <v>0.04</v>
      </c>
      <c r="BG272" s="107">
        <f t="shared" si="100"/>
        <v>0.04</v>
      </c>
    </row>
    <row r="273" spans="1:59" ht="13.75" customHeight="1">
      <c r="A273" s="141" t="s">
        <v>166</v>
      </c>
      <c r="B273" s="170" t="s">
        <v>384</v>
      </c>
      <c r="C273" s="170"/>
      <c r="D273" s="170" t="s">
        <v>168</v>
      </c>
      <c r="E273" s="173"/>
      <c r="F273" s="168" t="s">
        <v>394</v>
      </c>
      <c r="G273" s="168" t="s">
        <v>3</v>
      </c>
      <c r="H273" s="173" t="s">
        <v>387</v>
      </c>
      <c r="I273" s="168" t="s">
        <v>395</v>
      </c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7">
        <v>-1.7000000000000001E-2</v>
      </c>
      <c r="V273" s="107">
        <v>8.7999999999999995E-2</v>
      </c>
      <c r="W273" s="107">
        <v>5.1999999999999998E-2</v>
      </c>
      <c r="X273" s="107">
        <v>6.2549639155632164E-2</v>
      </c>
      <c r="Y273" s="107">
        <v>7.0000000000000007E-2</v>
      </c>
      <c r="Z273" s="107">
        <v>4.2999999999999997E-2</v>
      </c>
      <c r="AA273" s="107">
        <v>0.03</v>
      </c>
      <c r="AB273" s="107">
        <v>0.03</v>
      </c>
      <c r="AC273" s="107">
        <v>4.4083526682134666E-2</v>
      </c>
      <c r="AD273" s="107">
        <v>4.6666666666666634E-2</v>
      </c>
      <c r="AE273" s="107">
        <v>0.05</v>
      </c>
      <c r="AF273" s="107">
        <v>8.8999999999999996E-2</v>
      </c>
      <c r="AG273" s="107">
        <v>7.0000000000000007E-2</v>
      </c>
      <c r="AH273" s="107">
        <v>6.2E-2</v>
      </c>
      <c r="AI273" s="107">
        <v>5.5E-2</v>
      </c>
      <c r="AJ273" s="107">
        <f>(50%*(1+AJ242)+50%*(1+AJ5))-1</f>
        <v>4.0000000000000036E-2</v>
      </c>
      <c r="AK273" s="107">
        <f t="shared" ref="AK273:BG273" si="101">(50%*(1+AK242)+50%*(1+AK5))-1</f>
        <v>4.0000000000000036E-2</v>
      </c>
      <c r="AL273" s="107">
        <f t="shared" si="101"/>
        <v>4.0000000000000036E-2</v>
      </c>
      <c r="AM273" s="107">
        <f t="shared" si="101"/>
        <v>4.0000000000000036E-2</v>
      </c>
      <c r="AN273" s="107">
        <f t="shared" si="101"/>
        <v>4.0000000000000036E-2</v>
      </c>
      <c r="AO273" s="107">
        <f t="shared" si="101"/>
        <v>4.0000000000000036E-2</v>
      </c>
      <c r="AP273" s="107">
        <f t="shared" si="101"/>
        <v>4.0000000000000036E-2</v>
      </c>
      <c r="AQ273" s="107">
        <f t="shared" si="101"/>
        <v>4.0000000000000036E-2</v>
      </c>
      <c r="AR273" s="107">
        <f t="shared" si="101"/>
        <v>4.0000000000000036E-2</v>
      </c>
      <c r="AS273" s="107">
        <f t="shared" si="101"/>
        <v>4.0000000000000036E-2</v>
      </c>
      <c r="AT273" s="107">
        <f t="shared" si="101"/>
        <v>4.0000000000000036E-2</v>
      </c>
      <c r="AU273" s="107">
        <f t="shared" si="101"/>
        <v>4.0000000000000036E-2</v>
      </c>
      <c r="AV273" s="107">
        <f t="shared" si="101"/>
        <v>4.0000000000000036E-2</v>
      </c>
      <c r="AW273" s="107">
        <f t="shared" si="101"/>
        <v>4.0000000000000036E-2</v>
      </c>
      <c r="AX273" s="107">
        <f t="shared" si="101"/>
        <v>4.0000000000000036E-2</v>
      </c>
      <c r="AY273" s="107">
        <f t="shared" si="101"/>
        <v>4.0000000000000036E-2</v>
      </c>
      <c r="AZ273" s="107">
        <f t="shared" si="101"/>
        <v>4.0000000000000036E-2</v>
      </c>
      <c r="BA273" s="107">
        <f t="shared" si="101"/>
        <v>4.0000000000000036E-2</v>
      </c>
      <c r="BB273" s="107">
        <f t="shared" si="101"/>
        <v>4.0000000000000036E-2</v>
      </c>
      <c r="BC273" s="107">
        <f t="shared" si="101"/>
        <v>4.0000000000000036E-2</v>
      </c>
      <c r="BD273" s="107">
        <f t="shared" si="101"/>
        <v>4.0000000000000036E-2</v>
      </c>
      <c r="BE273" s="107">
        <f t="shared" si="101"/>
        <v>4.0000000000000036E-2</v>
      </c>
      <c r="BF273" s="107">
        <f t="shared" si="101"/>
        <v>4.0000000000000036E-2</v>
      </c>
      <c r="BG273" s="107">
        <f t="shared" si="101"/>
        <v>4.0000000000000036E-2</v>
      </c>
    </row>
    <row r="274" spans="1:59" ht="13.75" customHeight="1">
      <c r="A274" s="141" t="s">
        <v>166</v>
      </c>
      <c r="B274" s="170" t="s">
        <v>384</v>
      </c>
      <c r="C274" s="170"/>
      <c r="D274" s="170" t="s">
        <v>168</v>
      </c>
      <c r="E274" s="173"/>
      <c r="F274" s="168" t="s">
        <v>396</v>
      </c>
      <c r="G274" s="168" t="s">
        <v>3</v>
      </c>
      <c r="H274" s="173"/>
      <c r="I274" s="168" t="s">
        <v>397</v>
      </c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7">
        <v>-5.2352524807350864E-3</v>
      </c>
      <c r="V274" s="107">
        <v>0.18490300060414855</v>
      </c>
      <c r="W274" s="107">
        <v>6.8577741268447401E-2</v>
      </c>
      <c r="X274" s="107">
        <v>6.8837839412193347E-2</v>
      </c>
      <c r="Y274" s="107">
        <v>-3.1326497860560965E-2</v>
      </c>
      <c r="Z274" s="107">
        <v>-8.0000000000000002E-3</v>
      </c>
      <c r="AA274" s="107">
        <v>-1.4647563466444469E-3</v>
      </c>
      <c r="AB274" s="107">
        <v>6.0907979048838712E-3</v>
      </c>
      <c r="AC274" s="107">
        <f t="shared" ref="AC274:AF274" si="102">0.79*AC278+(1-0.79)*AC279</f>
        <v>-1.265333943882436E-2</v>
      </c>
      <c r="AD274" s="107">
        <f t="shared" si="102"/>
        <v>0.22629228532599871</v>
      </c>
      <c r="AE274" s="107">
        <f t="shared" si="102"/>
        <v>0.2446239332566752</v>
      </c>
      <c r="AF274" s="107">
        <f t="shared" si="102"/>
        <v>0.13818632678963572</v>
      </c>
      <c r="AG274" s="107">
        <f t="shared" ref="AG274:AX274" si="103">0.654002198531415*AG278+(1-0.654002198531415)*AG279</f>
        <v>0.12465220438100356</v>
      </c>
      <c r="AH274" s="107">
        <f t="shared" si="103"/>
        <v>5.8804729198981415E-2</v>
      </c>
      <c r="AI274" s="107">
        <f t="shared" si="103"/>
        <v>-3.8701833891081616E-2</v>
      </c>
      <c r="AJ274" s="107">
        <f t="shared" si="103"/>
        <v>0.04</v>
      </c>
      <c r="AK274" s="107">
        <f t="shared" si="103"/>
        <v>0.04</v>
      </c>
      <c r="AL274" s="107">
        <f t="shared" si="103"/>
        <v>0.04</v>
      </c>
      <c r="AM274" s="107">
        <f t="shared" si="103"/>
        <v>0.04</v>
      </c>
      <c r="AN274" s="107">
        <f t="shared" si="103"/>
        <v>0.04</v>
      </c>
      <c r="AO274" s="107">
        <f t="shared" si="103"/>
        <v>0.04</v>
      </c>
      <c r="AP274" s="107">
        <f t="shared" si="103"/>
        <v>0.04</v>
      </c>
      <c r="AQ274" s="107">
        <f t="shared" si="103"/>
        <v>0.04</v>
      </c>
      <c r="AR274" s="107">
        <f t="shared" si="103"/>
        <v>0.04</v>
      </c>
      <c r="AS274" s="107">
        <f t="shared" si="103"/>
        <v>0.04</v>
      </c>
      <c r="AT274" s="107">
        <f t="shared" si="103"/>
        <v>0.04</v>
      </c>
      <c r="AU274" s="107">
        <f t="shared" si="103"/>
        <v>0.04</v>
      </c>
      <c r="AV274" s="107">
        <f t="shared" si="103"/>
        <v>0.04</v>
      </c>
      <c r="AW274" s="107">
        <f t="shared" si="103"/>
        <v>0.04</v>
      </c>
      <c r="AX274" s="107">
        <f t="shared" si="103"/>
        <v>0.04</v>
      </c>
      <c r="AY274" s="107">
        <f t="shared" ref="AY274:BG274" si="104">0.79*AY278+(1-0.79)*AY279</f>
        <v>0.04</v>
      </c>
      <c r="AZ274" s="107">
        <f t="shared" si="104"/>
        <v>0.04</v>
      </c>
      <c r="BA274" s="107">
        <f t="shared" si="104"/>
        <v>0.04</v>
      </c>
      <c r="BB274" s="107">
        <f t="shared" si="104"/>
        <v>0.04</v>
      </c>
      <c r="BC274" s="107">
        <f t="shared" si="104"/>
        <v>0.04</v>
      </c>
      <c r="BD274" s="107">
        <f t="shared" si="104"/>
        <v>0.04</v>
      </c>
      <c r="BE274" s="107">
        <f t="shared" si="104"/>
        <v>0.04</v>
      </c>
      <c r="BF274" s="107">
        <f t="shared" si="104"/>
        <v>0.04</v>
      </c>
      <c r="BG274" s="107">
        <f t="shared" si="104"/>
        <v>0.04</v>
      </c>
    </row>
    <row r="275" spans="1:59" ht="13.75" customHeight="1">
      <c r="A275" s="141" t="s">
        <v>166</v>
      </c>
      <c r="B275" s="170" t="s">
        <v>384</v>
      </c>
      <c r="C275" s="170"/>
      <c r="D275" s="170" t="s">
        <v>370</v>
      </c>
      <c r="E275" s="173"/>
      <c r="F275" s="168" t="s">
        <v>398</v>
      </c>
      <c r="G275" s="168" t="s">
        <v>3</v>
      </c>
      <c r="H275" s="173"/>
      <c r="I275" s="168" t="s">
        <v>399</v>
      </c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7">
        <v>2.5999999999999999E-2</v>
      </c>
      <c r="V275" s="107">
        <v>8.3000000000000004E-2</v>
      </c>
      <c r="W275" s="107">
        <v>4.9000000000000002E-2</v>
      </c>
      <c r="X275" s="107">
        <v>3.7999999999999999E-2</v>
      </c>
      <c r="Y275" s="107">
        <v>7.4999999999999997E-2</v>
      </c>
      <c r="Z275" s="107">
        <v>5.5E-2</v>
      </c>
      <c r="AA275" s="107">
        <v>5.5E-2</v>
      </c>
      <c r="AB275" s="107">
        <v>3.0000000000000027E-2</v>
      </c>
      <c r="AC275" s="107">
        <v>3.0000000000000027E-2</v>
      </c>
      <c r="AD275" s="107">
        <v>3.0000000000000027E-2</v>
      </c>
      <c r="AE275" s="107">
        <v>4.2000000000000003E-2</v>
      </c>
      <c r="AF275" s="107">
        <v>0.10190546219510432</v>
      </c>
      <c r="AG275" s="107">
        <v>0.03</v>
      </c>
      <c r="AH275" s="107">
        <v>5.5E-2</v>
      </c>
      <c r="AI275" s="107">
        <f t="shared" ref="AI275:BG275" si="105">AI3</f>
        <v>4.0391390824965789E-2</v>
      </c>
      <c r="AJ275" s="107">
        <f t="shared" si="105"/>
        <v>0.04</v>
      </c>
      <c r="AK275" s="107">
        <f t="shared" si="105"/>
        <v>0.04</v>
      </c>
      <c r="AL275" s="107">
        <f t="shared" si="105"/>
        <v>0.04</v>
      </c>
      <c r="AM275" s="107">
        <f t="shared" si="105"/>
        <v>0.04</v>
      </c>
      <c r="AN275" s="107">
        <f t="shared" si="105"/>
        <v>0.04</v>
      </c>
      <c r="AO275" s="107">
        <f t="shared" si="105"/>
        <v>0.04</v>
      </c>
      <c r="AP275" s="107">
        <f t="shared" si="105"/>
        <v>0.04</v>
      </c>
      <c r="AQ275" s="107">
        <f t="shared" si="105"/>
        <v>0.04</v>
      </c>
      <c r="AR275" s="107">
        <f t="shared" si="105"/>
        <v>0.04</v>
      </c>
      <c r="AS275" s="107">
        <f t="shared" si="105"/>
        <v>0.04</v>
      </c>
      <c r="AT275" s="107">
        <f t="shared" si="105"/>
        <v>0.04</v>
      </c>
      <c r="AU275" s="107">
        <f t="shared" si="105"/>
        <v>0.04</v>
      </c>
      <c r="AV275" s="107">
        <f t="shared" si="105"/>
        <v>0.04</v>
      </c>
      <c r="AW275" s="107">
        <f t="shared" si="105"/>
        <v>0.04</v>
      </c>
      <c r="AX275" s="107">
        <f t="shared" si="105"/>
        <v>0.04</v>
      </c>
      <c r="AY275" s="107">
        <f t="shared" si="105"/>
        <v>0.04</v>
      </c>
      <c r="AZ275" s="107">
        <f t="shared" si="105"/>
        <v>0.04</v>
      </c>
      <c r="BA275" s="107">
        <f t="shared" si="105"/>
        <v>0.04</v>
      </c>
      <c r="BB275" s="107">
        <f t="shared" si="105"/>
        <v>0.04</v>
      </c>
      <c r="BC275" s="107">
        <f t="shared" si="105"/>
        <v>0.04</v>
      </c>
      <c r="BD275" s="107">
        <f t="shared" si="105"/>
        <v>0.04</v>
      </c>
      <c r="BE275" s="107">
        <f t="shared" si="105"/>
        <v>0.04</v>
      </c>
      <c r="BF275" s="107">
        <f t="shared" si="105"/>
        <v>0.04</v>
      </c>
      <c r="BG275" s="107">
        <f t="shared" si="105"/>
        <v>0.04</v>
      </c>
    </row>
    <row r="276" spans="1:59" ht="13.75" customHeight="1">
      <c r="A276" s="141" t="s">
        <v>166</v>
      </c>
      <c r="B276" s="170" t="s">
        <v>384</v>
      </c>
      <c r="C276" s="170"/>
      <c r="D276" s="170"/>
      <c r="E276" s="168"/>
      <c r="F276" s="168" t="s">
        <v>400</v>
      </c>
      <c r="G276" s="168" t="s">
        <v>219</v>
      </c>
      <c r="H276" s="168"/>
      <c r="I276" s="168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X276" s="110"/>
      <c r="Y276" s="110"/>
      <c r="Z276" s="110"/>
      <c r="AA276" s="110"/>
      <c r="AB276" s="110"/>
      <c r="AC276" s="110"/>
      <c r="AG276" s="116"/>
      <c r="AH276" s="116"/>
      <c r="AI276" s="116"/>
      <c r="AJ276" s="116"/>
      <c r="AK276" s="116"/>
      <c r="AL276" s="116"/>
      <c r="AM276" s="116"/>
      <c r="AN276" s="116"/>
      <c r="AO276" s="116"/>
      <c r="AP276" s="116"/>
      <c r="AQ276" s="116"/>
      <c r="AR276" s="116"/>
      <c r="AS276" s="116"/>
      <c r="AT276" s="116"/>
      <c r="AU276" s="116"/>
      <c r="AV276" s="116"/>
      <c r="AW276" s="116"/>
      <c r="AX276" s="116"/>
      <c r="AY276" s="116"/>
      <c r="AZ276" s="116"/>
      <c r="BA276" s="116"/>
      <c r="BB276" s="116"/>
      <c r="BC276" s="116"/>
      <c r="BD276" s="116"/>
      <c r="BE276" s="116"/>
      <c r="BF276" s="116"/>
      <c r="BG276" s="116"/>
    </row>
    <row r="277" spans="1:59" ht="13.75" customHeight="1">
      <c r="A277" s="141" t="s">
        <v>166</v>
      </c>
      <c r="B277" s="170" t="s">
        <v>384</v>
      </c>
      <c r="C277" s="170"/>
      <c r="D277" s="170"/>
      <c r="E277" s="168"/>
      <c r="F277" s="168" t="s">
        <v>401</v>
      </c>
      <c r="G277" s="109" t="s">
        <v>402</v>
      </c>
      <c r="H277" s="168"/>
      <c r="I277" s="168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X277" s="110"/>
      <c r="Y277" s="110"/>
      <c r="Z277" s="110"/>
      <c r="AA277" s="110"/>
      <c r="AB277" s="110"/>
      <c r="AC277" s="110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  <c r="AX277" s="116"/>
      <c r="AY277" s="116"/>
      <c r="AZ277" s="116"/>
      <c r="BA277" s="116"/>
      <c r="BB277" s="116"/>
      <c r="BC277" s="116"/>
      <c r="BD277" s="116"/>
      <c r="BE277" s="116"/>
      <c r="BF277" s="116"/>
      <c r="BG277" s="116"/>
    </row>
    <row r="278" spans="1:59" ht="13.75" customHeight="1">
      <c r="A278" s="141" t="s">
        <v>166</v>
      </c>
      <c r="B278" s="170" t="s">
        <v>384</v>
      </c>
      <c r="C278" s="170"/>
      <c r="D278" s="170" t="s">
        <v>168</v>
      </c>
      <c r="E278" s="168"/>
      <c r="F278" s="168" t="s">
        <v>403</v>
      </c>
      <c r="G278" s="168" t="s">
        <v>3</v>
      </c>
      <c r="H278" s="168"/>
      <c r="I278" s="168" t="s">
        <v>404</v>
      </c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X278" s="107">
        <v>-8.9907334512494108E-2</v>
      </c>
      <c r="Y278" s="107">
        <v>-7.5158910121978062E-2</v>
      </c>
      <c r="Z278" s="107">
        <v>5.0000000000000001E-3</v>
      </c>
      <c r="AA278" s="107">
        <v>3.9646668079993397E-3</v>
      </c>
      <c r="AB278" s="107">
        <v>3.6513668429540846E-2</v>
      </c>
      <c r="AC278" s="107">
        <v>-4.2767156600441725E-3</v>
      </c>
      <c r="AD278" s="107">
        <v>0.22272701615451362</v>
      </c>
      <c r="AE278" s="107">
        <v>0.26066925864846024</v>
      </c>
      <c r="AF278" s="107">
        <v>0.14070611272980349</v>
      </c>
      <c r="AG278" s="107">
        <v>0.13174453919428286</v>
      </c>
      <c r="AH278" s="107">
        <v>4.9464381634048094E-2</v>
      </c>
      <c r="AI278" s="107">
        <v>-3.1497227255698479E-2</v>
      </c>
      <c r="AJ278" s="107">
        <f t="shared" ref="AJ278:AX278" si="106">AJ5</f>
        <v>0.04</v>
      </c>
      <c r="AK278" s="107">
        <f t="shared" si="106"/>
        <v>0.04</v>
      </c>
      <c r="AL278" s="107">
        <f t="shared" si="106"/>
        <v>0.04</v>
      </c>
      <c r="AM278" s="107">
        <f t="shared" si="106"/>
        <v>0.04</v>
      </c>
      <c r="AN278" s="107">
        <f t="shared" si="106"/>
        <v>0.04</v>
      </c>
      <c r="AO278" s="107">
        <f t="shared" si="106"/>
        <v>0.04</v>
      </c>
      <c r="AP278" s="107">
        <f t="shared" si="106"/>
        <v>0.04</v>
      </c>
      <c r="AQ278" s="107">
        <f t="shared" si="106"/>
        <v>0.04</v>
      </c>
      <c r="AR278" s="107">
        <f t="shared" si="106"/>
        <v>0.04</v>
      </c>
      <c r="AS278" s="107">
        <f t="shared" si="106"/>
        <v>0.04</v>
      </c>
      <c r="AT278" s="107">
        <f t="shared" si="106"/>
        <v>0.04</v>
      </c>
      <c r="AU278" s="107">
        <f t="shared" si="106"/>
        <v>0.04</v>
      </c>
      <c r="AV278" s="107">
        <f t="shared" si="106"/>
        <v>0.04</v>
      </c>
      <c r="AW278" s="107">
        <f t="shared" si="106"/>
        <v>0.04</v>
      </c>
      <c r="AX278" s="107">
        <f t="shared" si="106"/>
        <v>0.04</v>
      </c>
      <c r="AY278" s="107">
        <f t="shared" ref="AY278:BG278" si="107">AY3</f>
        <v>0.04</v>
      </c>
      <c r="AZ278" s="107">
        <f t="shared" si="107"/>
        <v>0.04</v>
      </c>
      <c r="BA278" s="107">
        <f t="shared" si="107"/>
        <v>0.04</v>
      </c>
      <c r="BB278" s="107">
        <f t="shared" si="107"/>
        <v>0.04</v>
      </c>
      <c r="BC278" s="107">
        <f t="shared" si="107"/>
        <v>0.04</v>
      </c>
      <c r="BD278" s="107">
        <f t="shared" si="107"/>
        <v>0.04</v>
      </c>
      <c r="BE278" s="107">
        <f t="shared" si="107"/>
        <v>0.04</v>
      </c>
      <c r="BF278" s="107">
        <f t="shared" si="107"/>
        <v>0.04</v>
      </c>
      <c r="BG278" s="107">
        <f t="shared" si="107"/>
        <v>0.04</v>
      </c>
    </row>
    <row r="279" spans="1:59" ht="13.75" customHeight="1">
      <c r="A279" s="141" t="s">
        <v>166</v>
      </c>
      <c r="B279" s="170" t="s">
        <v>384</v>
      </c>
      <c r="C279" s="170"/>
      <c r="D279" s="170" t="s">
        <v>168</v>
      </c>
      <c r="E279" s="168"/>
      <c r="F279" s="168" t="s">
        <v>405</v>
      </c>
      <c r="G279" s="168" t="s">
        <v>3</v>
      </c>
      <c r="H279" s="168"/>
      <c r="I279" s="168" t="s">
        <v>404</v>
      </c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X279" s="107">
        <v>0.74933493123264094</v>
      </c>
      <c r="Y279" s="107">
        <v>7.1905055194522172E-2</v>
      </c>
      <c r="Z279" s="107">
        <v>-3.9E-2</v>
      </c>
      <c r="AA279" s="107">
        <v>4.641396119079455E-2</v>
      </c>
      <c r="AB279" s="107">
        <v>6.7068068989095231E-2</v>
      </c>
      <c r="AC279" s="107">
        <v>-4.4165400320902215E-2</v>
      </c>
      <c r="AD279" s="107">
        <v>0.23970448839968084</v>
      </c>
      <c r="AE279" s="107">
        <v>0.1842629472590076</v>
      </c>
      <c r="AF279" s="107">
        <v>0.12870713206233786</v>
      </c>
      <c r="AG279" s="107">
        <v>0.11124633145083496</v>
      </c>
      <c r="AH279" s="107">
        <v>7.6459777342599677E-2</v>
      </c>
      <c r="AI279" s="107">
        <v>-5.2319922095964033E-2</v>
      </c>
      <c r="AJ279" s="107">
        <f t="shared" ref="AJ279:AX279" si="108">AJ5</f>
        <v>0.04</v>
      </c>
      <c r="AK279" s="107">
        <f t="shared" si="108"/>
        <v>0.04</v>
      </c>
      <c r="AL279" s="107">
        <f t="shared" si="108"/>
        <v>0.04</v>
      </c>
      <c r="AM279" s="107">
        <f t="shared" si="108"/>
        <v>0.04</v>
      </c>
      <c r="AN279" s="107">
        <f t="shared" si="108"/>
        <v>0.04</v>
      </c>
      <c r="AO279" s="107">
        <f t="shared" si="108"/>
        <v>0.04</v>
      </c>
      <c r="AP279" s="107">
        <f t="shared" si="108"/>
        <v>0.04</v>
      </c>
      <c r="AQ279" s="107">
        <f t="shared" si="108"/>
        <v>0.04</v>
      </c>
      <c r="AR279" s="107">
        <f t="shared" si="108"/>
        <v>0.04</v>
      </c>
      <c r="AS279" s="107">
        <f t="shared" si="108"/>
        <v>0.04</v>
      </c>
      <c r="AT279" s="107">
        <f t="shared" si="108"/>
        <v>0.04</v>
      </c>
      <c r="AU279" s="107">
        <f t="shared" si="108"/>
        <v>0.04</v>
      </c>
      <c r="AV279" s="107">
        <f t="shared" si="108"/>
        <v>0.04</v>
      </c>
      <c r="AW279" s="107">
        <f t="shared" si="108"/>
        <v>0.04</v>
      </c>
      <c r="AX279" s="107">
        <f t="shared" si="108"/>
        <v>0.04</v>
      </c>
      <c r="AY279" s="107">
        <f t="shared" ref="AY279:BG279" si="109">AY3</f>
        <v>0.04</v>
      </c>
      <c r="AZ279" s="107">
        <f t="shared" si="109"/>
        <v>0.04</v>
      </c>
      <c r="BA279" s="107">
        <f t="shared" si="109"/>
        <v>0.04</v>
      </c>
      <c r="BB279" s="107">
        <f t="shared" si="109"/>
        <v>0.04</v>
      </c>
      <c r="BC279" s="107">
        <f t="shared" si="109"/>
        <v>0.04</v>
      </c>
      <c r="BD279" s="107">
        <f t="shared" si="109"/>
        <v>0.04</v>
      </c>
      <c r="BE279" s="107">
        <f t="shared" si="109"/>
        <v>0.04</v>
      </c>
      <c r="BF279" s="107">
        <f t="shared" si="109"/>
        <v>0.04</v>
      </c>
      <c r="BG279" s="107">
        <f t="shared" si="109"/>
        <v>0.04</v>
      </c>
    </row>
    <row r="280" spans="1:59" ht="13.75" customHeight="1">
      <c r="A280" s="141" t="s">
        <v>166</v>
      </c>
      <c r="B280" s="170" t="s">
        <v>384</v>
      </c>
      <c r="C280" s="170"/>
      <c r="D280" s="170" t="s">
        <v>168</v>
      </c>
      <c r="E280" s="168"/>
      <c r="F280" s="168" t="s">
        <v>406</v>
      </c>
      <c r="G280" s="168" t="s">
        <v>3</v>
      </c>
      <c r="H280" s="168" t="s">
        <v>407</v>
      </c>
      <c r="I280" s="168" t="s">
        <v>408</v>
      </c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X280" s="107">
        <v>-4.0000000000000001E-3</v>
      </c>
      <c r="Y280" s="107">
        <v>1.7000000000000001E-2</v>
      </c>
      <c r="Z280" s="107">
        <v>5.0000000000000001E-3</v>
      </c>
      <c r="AA280" s="107">
        <v>1.6E-2</v>
      </c>
      <c r="AB280" s="107">
        <v>-1E-3</v>
      </c>
      <c r="AC280" s="107">
        <v>-2.3E-2</v>
      </c>
      <c r="AD280" s="107">
        <v>5.3999999999999999E-2</v>
      </c>
      <c r="AE280" s="107">
        <v>1.4999999999999999E-2</v>
      </c>
      <c r="AF280" s="107">
        <v>0.01</v>
      </c>
      <c r="AG280" s="107">
        <v>2.1000000000000001E-2</v>
      </c>
      <c r="AH280" s="107">
        <v>1.3510823587689125E-2</v>
      </c>
      <c r="AI280" s="107">
        <v>1.3559807948278789E-2</v>
      </c>
      <c r="AJ280" s="107">
        <f t="shared" ref="AJ280:BG280" si="110">0.4823*AJ2-0.003</f>
        <v>6.646E-3</v>
      </c>
      <c r="AK280" s="107">
        <f t="shared" si="110"/>
        <v>6.646E-3</v>
      </c>
      <c r="AL280" s="107">
        <f t="shared" si="110"/>
        <v>6.646E-3</v>
      </c>
      <c r="AM280" s="107">
        <f t="shared" si="110"/>
        <v>6.646E-3</v>
      </c>
      <c r="AN280" s="107">
        <f t="shared" si="110"/>
        <v>6.646E-3</v>
      </c>
      <c r="AO280" s="107">
        <f t="shared" si="110"/>
        <v>6.646E-3</v>
      </c>
      <c r="AP280" s="107">
        <f t="shared" si="110"/>
        <v>6.646E-3</v>
      </c>
      <c r="AQ280" s="107">
        <f t="shared" si="110"/>
        <v>6.646E-3</v>
      </c>
      <c r="AR280" s="107">
        <f t="shared" si="110"/>
        <v>6.646E-3</v>
      </c>
      <c r="AS280" s="107">
        <f t="shared" si="110"/>
        <v>6.646E-3</v>
      </c>
      <c r="AT280" s="107">
        <f t="shared" si="110"/>
        <v>6.646E-3</v>
      </c>
      <c r="AU280" s="107">
        <f t="shared" si="110"/>
        <v>6.646E-3</v>
      </c>
      <c r="AV280" s="107">
        <f t="shared" si="110"/>
        <v>6.646E-3</v>
      </c>
      <c r="AW280" s="107">
        <f t="shared" si="110"/>
        <v>6.646E-3</v>
      </c>
      <c r="AX280" s="107">
        <f t="shared" si="110"/>
        <v>6.646E-3</v>
      </c>
      <c r="AY280" s="107">
        <f t="shared" si="110"/>
        <v>6.646E-3</v>
      </c>
      <c r="AZ280" s="107">
        <f t="shared" si="110"/>
        <v>6.646E-3</v>
      </c>
      <c r="BA280" s="107">
        <f t="shared" si="110"/>
        <v>6.646E-3</v>
      </c>
      <c r="BB280" s="107">
        <f t="shared" si="110"/>
        <v>6.646E-3</v>
      </c>
      <c r="BC280" s="107">
        <f t="shared" si="110"/>
        <v>6.646E-3</v>
      </c>
      <c r="BD280" s="107">
        <f t="shared" si="110"/>
        <v>6.646E-3</v>
      </c>
      <c r="BE280" s="107">
        <f t="shared" si="110"/>
        <v>6.646E-3</v>
      </c>
      <c r="BF280" s="107">
        <f t="shared" si="110"/>
        <v>6.646E-3</v>
      </c>
      <c r="BG280" s="107">
        <f t="shared" si="110"/>
        <v>6.646E-3</v>
      </c>
    </row>
    <row r="281" spans="1:59" ht="13.75" customHeight="1">
      <c r="A281" s="141" t="s">
        <v>166</v>
      </c>
      <c r="B281" s="170" t="s">
        <v>384</v>
      </c>
      <c r="C281" s="170"/>
      <c r="D281" s="170" t="s">
        <v>168</v>
      </c>
      <c r="E281" s="168"/>
      <c r="F281" s="168" t="s">
        <v>409</v>
      </c>
      <c r="G281" s="168" t="s">
        <v>3</v>
      </c>
      <c r="H281" s="168"/>
      <c r="I281" s="168" t="s">
        <v>410</v>
      </c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X281" s="107">
        <v>-1.2093974257885831E-2</v>
      </c>
      <c r="Y281" s="107">
        <v>4.267967941529216E-2</v>
      </c>
      <c r="Z281" s="107">
        <v>4.9139709037637758E-5</v>
      </c>
      <c r="AA281" s="107">
        <v>3.576433753584074E-2</v>
      </c>
      <c r="AB281" s="107">
        <v>3.2730681648099891E-2</v>
      </c>
      <c r="AC281" s="107">
        <v>-5.9838521525394817E-2</v>
      </c>
      <c r="AD281" s="107">
        <v>0.16034331952154934</v>
      </c>
      <c r="AE281" s="107">
        <v>0.03</v>
      </c>
      <c r="AF281" s="107">
        <v>0.106</v>
      </c>
      <c r="AG281" s="107">
        <v>6.9000000000000006E-2</v>
      </c>
      <c r="AH281" s="107">
        <v>7.8E-2</v>
      </c>
      <c r="AI281" s="107">
        <v>6.4000000000000001E-2</v>
      </c>
      <c r="AJ281" s="107">
        <f>AJ242</f>
        <v>0.04</v>
      </c>
      <c r="AK281" s="107">
        <f t="shared" ref="AK281:BG281" si="111">AK242</f>
        <v>0.04</v>
      </c>
      <c r="AL281" s="107">
        <f t="shared" si="111"/>
        <v>0.04</v>
      </c>
      <c r="AM281" s="107">
        <f t="shared" si="111"/>
        <v>0.04</v>
      </c>
      <c r="AN281" s="107">
        <f t="shared" si="111"/>
        <v>0.04</v>
      </c>
      <c r="AO281" s="107">
        <f t="shared" si="111"/>
        <v>0.04</v>
      </c>
      <c r="AP281" s="107">
        <f t="shared" si="111"/>
        <v>0.04</v>
      </c>
      <c r="AQ281" s="107">
        <f t="shared" si="111"/>
        <v>0.04</v>
      </c>
      <c r="AR281" s="107">
        <f t="shared" si="111"/>
        <v>0.04</v>
      </c>
      <c r="AS281" s="107">
        <f t="shared" si="111"/>
        <v>0.04</v>
      </c>
      <c r="AT281" s="107">
        <f t="shared" si="111"/>
        <v>0.04</v>
      </c>
      <c r="AU281" s="107">
        <f t="shared" si="111"/>
        <v>0.04</v>
      </c>
      <c r="AV281" s="107">
        <f t="shared" si="111"/>
        <v>0.04</v>
      </c>
      <c r="AW281" s="107">
        <f t="shared" si="111"/>
        <v>0.04</v>
      </c>
      <c r="AX281" s="107">
        <f t="shared" si="111"/>
        <v>0.04</v>
      </c>
      <c r="AY281" s="107">
        <f t="shared" si="111"/>
        <v>0.04</v>
      </c>
      <c r="AZ281" s="107">
        <f t="shared" si="111"/>
        <v>0.04</v>
      </c>
      <c r="BA281" s="107">
        <f t="shared" si="111"/>
        <v>0.04</v>
      </c>
      <c r="BB281" s="107">
        <f t="shared" si="111"/>
        <v>0.04</v>
      </c>
      <c r="BC281" s="107">
        <f t="shared" si="111"/>
        <v>0.04</v>
      </c>
      <c r="BD281" s="107">
        <f t="shared" si="111"/>
        <v>0.04</v>
      </c>
      <c r="BE281" s="107">
        <f t="shared" si="111"/>
        <v>0.04</v>
      </c>
      <c r="BF281" s="107">
        <f t="shared" si="111"/>
        <v>0.04</v>
      </c>
      <c r="BG281" s="107">
        <f t="shared" si="111"/>
        <v>0.04</v>
      </c>
    </row>
    <row r="282" spans="1:59" ht="13.75" customHeight="1">
      <c r="A282" s="141" t="s">
        <v>166</v>
      </c>
      <c r="B282" s="170" t="s">
        <v>384</v>
      </c>
      <c r="C282" s="170"/>
      <c r="D282" s="170" t="s">
        <v>168</v>
      </c>
      <c r="E282" s="168"/>
      <c r="F282" s="168" t="s">
        <v>411</v>
      </c>
      <c r="G282" s="168" t="s">
        <v>3</v>
      </c>
      <c r="H282" s="168"/>
      <c r="I282" s="168" t="s">
        <v>412</v>
      </c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X282" s="107">
        <v>0.16249878597645373</v>
      </c>
      <c r="Y282" s="107">
        <v>-5.862435883193795E-2</v>
      </c>
      <c r="Z282" s="107">
        <v>6.0982983670252455E-3</v>
      </c>
      <c r="AA282" s="107">
        <v>3.3343640736278379E-2</v>
      </c>
      <c r="AB282" s="107">
        <v>1.7842083490067218E-3</v>
      </c>
      <c r="AC282" s="107">
        <v>-2.019905966827118E-2</v>
      </c>
      <c r="AD282" s="107">
        <v>7.1046017107086357E-2</v>
      </c>
      <c r="AE282" s="107">
        <v>0.24399999999999999</v>
      </c>
      <c r="AF282" s="123">
        <v>9.06E-2</v>
      </c>
      <c r="AG282" s="107">
        <v>5.8000000000000003E-2</v>
      </c>
      <c r="AH282" s="107">
        <v>4.7E-2</v>
      </c>
      <c r="AI282" s="107">
        <v>4.4999999999999998E-2</v>
      </c>
      <c r="AJ282" s="107">
        <f>AJ5</f>
        <v>0.04</v>
      </c>
      <c r="AK282" s="107">
        <f t="shared" ref="AK282:AX282" si="112">AK5</f>
        <v>0.04</v>
      </c>
      <c r="AL282" s="107">
        <f t="shared" si="112"/>
        <v>0.04</v>
      </c>
      <c r="AM282" s="107">
        <f t="shared" si="112"/>
        <v>0.04</v>
      </c>
      <c r="AN282" s="107">
        <f t="shared" si="112"/>
        <v>0.04</v>
      </c>
      <c r="AO282" s="107">
        <f>AO5</f>
        <v>0.04</v>
      </c>
      <c r="AP282" s="107">
        <f t="shared" si="112"/>
        <v>0.04</v>
      </c>
      <c r="AQ282" s="107">
        <f t="shared" si="112"/>
        <v>0.04</v>
      </c>
      <c r="AR282" s="107">
        <f t="shared" si="112"/>
        <v>0.04</v>
      </c>
      <c r="AS282" s="107">
        <f t="shared" si="112"/>
        <v>0.04</v>
      </c>
      <c r="AT282" s="107">
        <f t="shared" si="112"/>
        <v>0.04</v>
      </c>
      <c r="AU282" s="107">
        <f t="shared" si="112"/>
        <v>0.04</v>
      </c>
      <c r="AV282" s="107">
        <f t="shared" si="112"/>
        <v>0.04</v>
      </c>
      <c r="AW282" s="107">
        <f t="shared" si="112"/>
        <v>0.04</v>
      </c>
      <c r="AX282" s="107">
        <f t="shared" si="112"/>
        <v>0.04</v>
      </c>
      <c r="AY282" s="107">
        <f t="shared" ref="AY282:BG282" si="113">AY3</f>
        <v>0.04</v>
      </c>
      <c r="AZ282" s="107">
        <f t="shared" si="113"/>
        <v>0.04</v>
      </c>
      <c r="BA282" s="107">
        <f t="shared" si="113"/>
        <v>0.04</v>
      </c>
      <c r="BB282" s="107">
        <f t="shared" si="113"/>
        <v>0.04</v>
      </c>
      <c r="BC282" s="107">
        <f t="shared" si="113"/>
        <v>0.04</v>
      </c>
      <c r="BD282" s="107">
        <f t="shared" si="113"/>
        <v>0.04</v>
      </c>
      <c r="BE282" s="107">
        <f t="shared" si="113"/>
        <v>0.04</v>
      </c>
      <c r="BF282" s="107">
        <f t="shared" si="113"/>
        <v>0.04</v>
      </c>
      <c r="BG282" s="107">
        <f t="shared" si="113"/>
        <v>0.04</v>
      </c>
    </row>
    <row r="283" spans="1:59" ht="13.75" customHeight="1" outlineLevel="1">
      <c r="B283" s="170"/>
      <c r="C283" s="170"/>
      <c r="D283" s="170"/>
      <c r="E283" s="168"/>
      <c r="F283" s="168"/>
      <c r="G283" s="168"/>
      <c r="H283" s="168"/>
      <c r="I283" s="168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X283" s="109"/>
      <c r="Y283" s="109"/>
      <c r="Z283" s="109"/>
      <c r="AG283" s="116"/>
      <c r="AH283" s="116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</row>
    <row r="284" spans="1:59" ht="13.75" customHeight="1" outlineLevel="1">
      <c r="B284" s="170"/>
      <c r="C284" s="170"/>
      <c r="D284" s="170"/>
      <c r="E284" s="168"/>
      <c r="F284" s="168"/>
      <c r="G284" s="168"/>
      <c r="H284" s="168"/>
      <c r="I284" s="168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X284" s="109"/>
      <c r="Y284" s="109"/>
      <c r="Z284" s="109"/>
      <c r="AG284" s="116"/>
      <c r="AH284" s="116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</row>
    <row r="285" spans="1:59" ht="13.75" customHeight="1" outlineLevel="1">
      <c r="B285" s="170"/>
      <c r="C285" s="170"/>
      <c r="D285" s="170"/>
      <c r="E285" s="168"/>
      <c r="F285" s="168"/>
      <c r="G285" s="168"/>
      <c r="H285" s="168"/>
      <c r="I285" s="168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X285" s="109"/>
      <c r="Y285" s="109"/>
      <c r="Z285" s="109"/>
      <c r="AG285" s="116"/>
      <c r="AH285" s="116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</row>
    <row r="286" spans="1:59" ht="13.75" customHeight="1" outlineLevel="1">
      <c r="B286" s="170"/>
      <c r="C286" s="170"/>
      <c r="D286" s="170"/>
      <c r="E286" s="168"/>
      <c r="F286" s="168"/>
      <c r="G286" s="168"/>
      <c r="H286" s="168"/>
      <c r="I286" s="168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X286" s="109"/>
      <c r="Y286" s="109"/>
      <c r="Z286" s="109"/>
      <c r="AG286" s="116"/>
      <c r="AH286" s="116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</row>
    <row r="287" spans="1:59" ht="13.75" customHeight="1" outlineLevel="1">
      <c r="B287" s="170"/>
      <c r="C287" s="170"/>
      <c r="D287" s="170"/>
      <c r="E287" s="168"/>
      <c r="F287" s="168"/>
      <c r="G287" s="168"/>
      <c r="H287" s="168"/>
      <c r="I287" s="168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X287" s="109"/>
      <c r="Y287" s="109"/>
      <c r="Z287" s="109"/>
      <c r="AG287" s="116"/>
      <c r="AH287" s="116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</row>
    <row r="288" spans="1:59" ht="13.75" customHeight="1" outlineLevel="1">
      <c r="B288" s="170"/>
      <c r="C288" s="170"/>
      <c r="D288" s="170"/>
      <c r="E288" s="168"/>
      <c r="F288" s="168"/>
      <c r="G288" s="168"/>
      <c r="H288" s="168"/>
      <c r="I288" s="168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X288" s="109"/>
      <c r="Y288" s="109"/>
      <c r="Z288" s="109"/>
      <c r="AG288" s="116"/>
      <c r="AH288" s="116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</row>
    <row r="289" spans="1:61" ht="13.75" customHeight="1" outlineLevel="1">
      <c r="B289" s="170"/>
      <c r="C289" s="170"/>
      <c r="D289" s="170"/>
      <c r="E289" s="168"/>
      <c r="F289" s="168"/>
      <c r="G289" s="168"/>
      <c r="H289" s="168"/>
      <c r="I289" s="168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X289" s="109"/>
      <c r="Y289" s="109"/>
      <c r="Z289" s="109"/>
      <c r="AG289" s="116"/>
      <c r="AH289" s="116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</row>
    <row r="290" spans="1:61" ht="13.75" customHeight="1" outlineLevel="1">
      <c r="B290" s="170"/>
      <c r="C290" s="170"/>
      <c r="D290" s="170"/>
      <c r="E290" s="168"/>
      <c r="F290" s="168"/>
      <c r="G290" s="168"/>
      <c r="H290" s="168"/>
      <c r="I290" s="168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X290" s="109"/>
      <c r="Y290" s="109"/>
      <c r="Z290" s="109"/>
      <c r="AG290" s="116"/>
      <c r="AH290" s="116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</row>
    <row r="291" spans="1:61" ht="13.75" customHeight="1" outlineLevel="1">
      <c r="B291" s="170"/>
      <c r="C291" s="170"/>
      <c r="D291" s="170"/>
      <c r="E291" s="168"/>
      <c r="F291" s="168"/>
      <c r="G291" s="168"/>
      <c r="H291" s="168"/>
      <c r="I291" s="168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X291" s="109"/>
      <c r="Y291" s="109"/>
      <c r="Z291" s="109"/>
      <c r="AG291" s="116"/>
      <c r="AH291" s="116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</row>
    <row r="292" spans="1:61" ht="13.75" customHeight="1" outlineLevel="1">
      <c r="B292" s="170"/>
      <c r="C292" s="170"/>
      <c r="D292" s="170"/>
      <c r="E292" s="168"/>
      <c r="F292" s="168"/>
      <c r="G292" s="168"/>
      <c r="H292" s="168"/>
      <c r="I292" s="168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X292" s="109"/>
      <c r="Y292" s="109"/>
      <c r="Z292" s="109"/>
      <c r="AG292" s="116"/>
      <c r="AH292" s="116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</row>
    <row r="293" spans="1:61" ht="13.75" customHeight="1" outlineLevel="1">
      <c r="B293" s="170"/>
      <c r="C293" s="170"/>
      <c r="D293" s="170"/>
      <c r="E293" s="168"/>
      <c r="F293" s="168"/>
      <c r="G293" s="168"/>
      <c r="H293" s="168"/>
      <c r="I293" s="168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X293" s="109"/>
      <c r="Y293" s="109"/>
      <c r="Z293" s="109"/>
      <c r="AG293" s="116"/>
      <c r="AH293" s="116"/>
      <c r="AN293" s="107"/>
      <c r="AO293" s="107"/>
      <c r="AP293" s="107"/>
      <c r="AQ293" s="107"/>
      <c r="AR293" s="107"/>
      <c r="AS293" s="107"/>
      <c r="AT293" s="107"/>
      <c r="AU293" s="107"/>
      <c r="AV293" s="107"/>
      <c r="AW293" s="107"/>
      <c r="AX293" s="107"/>
      <c r="AY293" s="107"/>
      <c r="AZ293" s="107"/>
      <c r="BA293" s="107"/>
      <c r="BB293" s="107"/>
      <c r="BC293" s="107"/>
      <c r="BD293" s="107"/>
      <c r="BE293" s="107"/>
      <c r="BF293" s="107"/>
      <c r="BG293" s="107"/>
    </row>
    <row r="294" spans="1:61" ht="13.75" customHeight="1" outlineLevel="1">
      <c r="B294" s="170"/>
      <c r="C294" s="170"/>
      <c r="D294" s="170"/>
      <c r="E294" s="168"/>
      <c r="F294" s="168"/>
      <c r="G294" s="168"/>
      <c r="H294" s="168"/>
      <c r="I294" s="168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X294" s="109"/>
      <c r="Y294" s="109"/>
      <c r="Z294" s="109"/>
      <c r="AG294" s="116"/>
      <c r="AH294" s="116"/>
      <c r="AN294" s="107"/>
      <c r="AO294" s="107"/>
      <c r="AP294" s="107"/>
      <c r="AQ294" s="107"/>
      <c r="AR294" s="107"/>
      <c r="AS294" s="107"/>
      <c r="AT294" s="107"/>
      <c r="AU294" s="107"/>
      <c r="AV294" s="107"/>
      <c r="AW294" s="107"/>
      <c r="AX294" s="107"/>
      <c r="AY294" s="107"/>
      <c r="AZ294" s="107"/>
      <c r="BA294" s="107"/>
      <c r="BB294" s="107"/>
      <c r="BC294" s="107"/>
      <c r="BD294" s="107"/>
      <c r="BE294" s="107"/>
      <c r="BF294" s="107"/>
      <c r="BG294" s="107"/>
    </row>
    <row r="295" spans="1:61" ht="13.75" customHeight="1" outlineLevel="1">
      <c r="B295" s="170"/>
      <c r="C295" s="170"/>
      <c r="D295" s="170"/>
      <c r="E295" s="168"/>
      <c r="F295" s="168"/>
      <c r="G295" s="168"/>
      <c r="H295" s="168"/>
      <c r="I295" s="168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X295" s="109"/>
      <c r="Y295" s="109"/>
      <c r="Z295" s="109"/>
      <c r="AG295" s="116"/>
      <c r="AH295" s="116"/>
      <c r="AN295" s="107"/>
      <c r="AO295" s="107"/>
      <c r="AP295" s="107"/>
      <c r="AQ295" s="107"/>
      <c r="AR295" s="107"/>
      <c r="AS295" s="107"/>
      <c r="AT295" s="107"/>
      <c r="AU295" s="107"/>
      <c r="AV295" s="107"/>
      <c r="AW295" s="107"/>
      <c r="AX295" s="107"/>
      <c r="AY295" s="107"/>
      <c r="AZ295" s="107"/>
      <c r="BA295" s="107"/>
      <c r="BB295" s="107"/>
      <c r="BC295" s="107"/>
      <c r="BD295" s="107"/>
      <c r="BE295" s="107"/>
      <c r="BF295" s="107"/>
      <c r="BG295" s="107"/>
    </row>
    <row r="296" spans="1:61" ht="13.75" customHeight="1" outlineLevel="1">
      <c r="B296" s="170"/>
      <c r="C296" s="170"/>
      <c r="D296" s="170"/>
      <c r="E296" s="168"/>
      <c r="F296" s="168"/>
      <c r="G296" s="168"/>
      <c r="H296" s="168"/>
      <c r="I296" s="168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X296" s="109"/>
      <c r="Y296" s="109"/>
      <c r="Z296" s="109"/>
      <c r="AG296" s="116"/>
      <c r="AH296" s="116"/>
      <c r="AN296" s="107"/>
      <c r="AO296" s="107"/>
      <c r="AP296" s="107"/>
      <c r="AQ296" s="107"/>
      <c r="AR296" s="107"/>
      <c r="AS296" s="107"/>
      <c r="AT296" s="107"/>
      <c r="AU296" s="107"/>
      <c r="AV296" s="107"/>
      <c r="AW296" s="107"/>
      <c r="AX296" s="107"/>
      <c r="AY296" s="107"/>
      <c r="AZ296" s="107"/>
      <c r="BA296" s="107"/>
      <c r="BB296" s="107"/>
      <c r="BC296" s="107"/>
      <c r="BD296" s="107"/>
      <c r="BE296" s="107"/>
      <c r="BF296" s="107"/>
      <c r="BG296" s="107"/>
    </row>
    <row r="297" spans="1:61" ht="13.75" customHeight="1" outlineLevel="1">
      <c r="B297" s="170"/>
      <c r="C297" s="170"/>
      <c r="D297" s="170"/>
      <c r="E297" s="168"/>
      <c r="F297" s="168"/>
      <c r="G297" s="168"/>
      <c r="H297" s="168"/>
      <c r="I297" s="168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X297" s="109"/>
      <c r="Z297" s="109"/>
      <c r="AG297" s="116"/>
      <c r="AH297" s="116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</row>
    <row r="298" spans="1:61" ht="13.75" customHeight="1" outlineLevel="1">
      <c r="B298" s="170"/>
      <c r="C298" s="170"/>
      <c r="D298" s="170"/>
      <c r="E298" s="168"/>
      <c r="F298" s="168"/>
      <c r="G298" s="168"/>
      <c r="H298" s="168"/>
      <c r="I298" s="168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X298" s="109"/>
      <c r="Y298" s="109"/>
      <c r="Z298" s="109"/>
      <c r="AG298" s="116"/>
      <c r="AH298" s="116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</row>
    <row r="299" spans="1:61" ht="13.75" customHeight="1" outlineLevel="1">
      <c r="B299" s="170"/>
      <c r="C299" s="170"/>
      <c r="D299" s="170"/>
      <c r="E299" s="168"/>
      <c r="F299" s="168"/>
      <c r="G299" s="168"/>
      <c r="H299" s="168"/>
      <c r="I299" s="168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X299" s="109"/>
      <c r="Y299" s="109"/>
      <c r="Z299" s="109"/>
      <c r="AG299" s="116"/>
      <c r="AH299" s="116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I299" s="161" t="s">
        <v>709</v>
      </c>
    </row>
    <row r="300" spans="1:61" ht="13.75" customHeight="1" outlineLevel="1">
      <c r="B300" s="170"/>
      <c r="C300" s="170"/>
      <c r="D300" s="170"/>
      <c r="E300" s="168"/>
      <c r="F300" s="168"/>
      <c r="G300" s="168"/>
      <c r="H300" s="168"/>
      <c r="I300" s="168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X300" s="109"/>
      <c r="Y300" s="109"/>
      <c r="Z300" s="109"/>
      <c r="AG300" s="116"/>
      <c r="AH300" s="116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</row>
    <row r="301" spans="1:61" ht="13.75" customHeight="1" outlineLevel="1">
      <c r="B301" s="170"/>
      <c r="C301" s="170"/>
      <c r="D301" s="170"/>
      <c r="E301" s="168"/>
      <c r="F301" s="168"/>
      <c r="G301" s="168"/>
      <c r="H301" s="168"/>
      <c r="I301" s="168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X301" s="109"/>
      <c r="Y301" s="109"/>
      <c r="Z301" s="109"/>
      <c r="AG301" s="116"/>
      <c r="AH301" s="116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</row>
    <row r="302" spans="1:61" ht="13.75" customHeight="1" outlineLevel="1">
      <c r="B302" s="170"/>
      <c r="C302" s="170"/>
      <c r="D302" s="170"/>
      <c r="E302" s="168"/>
      <c r="F302" s="168"/>
      <c r="G302" s="168"/>
      <c r="H302" s="168"/>
      <c r="I302" s="168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X302" s="109"/>
      <c r="Y302" s="109"/>
      <c r="Z302" s="109"/>
      <c r="AG302" s="116"/>
      <c r="AH302" s="116"/>
      <c r="AN302" s="109"/>
      <c r="AO302" s="109"/>
      <c r="AP302" s="109"/>
      <c r="AQ302" s="109"/>
      <c r="AR302" s="109"/>
      <c r="AS302" s="109"/>
      <c r="AT302" s="109"/>
      <c r="AU302" s="109"/>
      <c r="AV302" s="109"/>
      <c r="AW302" s="109"/>
      <c r="AX302" s="109"/>
      <c r="AY302" s="109"/>
      <c r="AZ302" s="109"/>
      <c r="BA302" s="109"/>
      <c r="BB302" s="109"/>
      <c r="BC302" s="109"/>
      <c r="BD302" s="109"/>
      <c r="BE302" s="109"/>
      <c r="BF302" s="109"/>
      <c r="BG302" s="109"/>
    </row>
    <row r="303" spans="1:61" ht="13.75" customHeight="1">
      <c r="A303" s="141" t="s">
        <v>166</v>
      </c>
      <c r="B303" s="170" t="s">
        <v>413</v>
      </c>
      <c r="C303" s="170" t="s">
        <v>414</v>
      </c>
      <c r="D303" s="170" t="s">
        <v>168</v>
      </c>
      <c r="E303" s="168"/>
      <c r="F303" s="168" t="s">
        <v>415</v>
      </c>
      <c r="G303" s="168" t="s">
        <v>3</v>
      </c>
      <c r="H303" s="168"/>
      <c r="I303" s="168" t="s">
        <v>416</v>
      </c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X303" s="107">
        <v>3.3747481507627963E-2</v>
      </c>
      <c r="Y303" s="107">
        <v>-6.367098137471483E-2</v>
      </c>
      <c r="Z303" s="107">
        <v>0.20417103016517757</v>
      </c>
      <c r="AA303" s="107">
        <v>0.31192947621629585</v>
      </c>
      <c r="AB303" s="107">
        <v>7.073236948519801E-3</v>
      </c>
      <c r="AC303" s="107">
        <v>-0.24210144151463664</v>
      </c>
      <c r="AD303" s="107">
        <v>0.36774758093487891</v>
      </c>
      <c r="AE303" s="107">
        <v>0.42998681998709798</v>
      </c>
      <c r="AF303" s="107">
        <f>( (AF221*AF14)/(AE221*AE14) - 1 )*0.6145078+0.0279878</f>
        <v>3.2390024413411142E-2</v>
      </c>
      <c r="AG303" s="107">
        <f t="shared" ref="AG303:AY303" si="114">( (AG221*AG14)/(AF221*AF14) - 1 )*0.6145078+0.0279878</f>
        <v>5.2773751405108246E-2</v>
      </c>
      <c r="AH303" s="107">
        <f t="shared" si="114"/>
        <v>1.2018230937339766E-3</v>
      </c>
      <c r="AI303" s="107">
        <f t="shared" si="114"/>
        <v>6.1004051063321442E-3</v>
      </c>
      <c r="AJ303" s="107">
        <f t="shared" si="114"/>
        <v>3.0122959387618834E-2</v>
      </c>
      <c r="AK303" s="107">
        <f t="shared" si="114"/>
        <v>4.2613624486622634E-2</v>
      </c>
      <c r="AL303" s="107">
        <f t="shared" si="114"/>
        <v>4.492262321059045E-2</v>
      </c>
      <c r="AM303" s="107">
        <f t="shared" si="114"/>
        <v>4.5711553470295971E-2</v>
      </c>
      <c r="AN303" s="107">
        <f t="shared" si="114"/>
        <v>4.3909034035537559E-2</v>
      </c>
      <c r="AO303" s="107">
        <f t="shared" si="114"/>
        <v>4.4018004054937818E-2</v>
      </c>
      <c r="AP303" s="107">
        <f t="shared" si="114"/>
        <v>4.4595434083877922E-2</v>
      </c>
      <c r="AQ303" s="107">
        <f t="shared" si="114"/>
        <v>4.4822394007061415E-2</v>
      </c>
      <c r="AR303" s="107">
        <f t="shared" si="114"/>
        <v>4.5222297054391299E-2</v>
      </c>
      <c r="AS303" s="107">
        <f t="shared" si="114"/>
        <v>4.4718064375785349E-2</v>
      </c>
      <c r="AT303" s="107">
        <f t="shared" si="114"/>
        <v>4.5076335346124714E-2</v>
      </c>
      <c r="AU303" s="107">
        <f t="shared" si="114"/>
        <v>4.5780262493462745E-2</v>
      </c>
      <c r="AV303" s="107">
        <f t="shared" si="114"/>
        <v>4.5798468554851271E-2</v>
      </c>
      <c r="AW303" s="107">
        <f t="shared" si="114"/>
        <v>4.6001672937690807E-2</v>
      </c>
      <c r="AX303" s="107">
        <f t="shared" si="114"/>
        <v>4.6424295844509897E-2</v>
      </c>
      <c r="AY303" s="107">
        <f t="shared" si="114"/>
        <v>4.635341210329888E-2</v>
      </c>
      <c r="AZ303" s="107">
        <f>AY303</f>
        <v>4.635341210329888E-2</v>
      </c>
      <c r="BA303" s="107">
        <f>AZ303</f>
        <v>4.635341210329888E-2</v>
      </c>
      <c r="BB303" s="107">
        <f>BA303</f>
        <v>4.635341210329888E-2</v>
      </c>
      <c r="BC303" s="107">
        <f t="shared" ref="BC303:BG303" si="115">BB303</f>
        <v>4.635341210329888E-2</v>
      </c>
      <c r="BD303" s="107">
        <f t="shared" si="115"/>
        <v>4.635341210329888E-2</v>
      </c>
      <c r="BE303" s="107">
        <f t="shared" si="115"/>
        <v>4.635341210329888E-2</v>
      </c>
      <c r="BF303" s="107">
        <f t="shared" si="115"/>
        <v>4.635341210329888E-2</v>
      </c>
      <c r="BG303" s="107">
        <f t="shared" si="115"/>
        <v>4.635341210329888E-2</v>
      </c>
    </row>
    <row r="304" spans="1:61" ht="13.75" customHeight="1">
      <c r="A304" s="141" t="s">
        <v>166</v>
      </c>
      <c r="B304" s="170" t="s">
        <v>413</v>
      </c>
      <c r="C304" s="170" t="s">
        <v>417</v>
      </c>
      <c r="D304" s="170" t="s">
        <v>370</v>
      </c>
      <c r="E304" s="168"/>
      <c r="F304" s="168" t="s">
        <v>418</v>
      </c>
      <c r="G304" s="168" t="s">
        <v>3</v>
      </c>
      <c r="H304" s="168"/>
      <c r="I304" s="168" t="s">
        <v>419</v>
      </c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X304" s="107">
        <v>0.1</v>
      </c>
      <c r="Y304" s="107">
        <v>0.09</v>
      </c>
      <c r="Z304" s="107">
        <v>0.06</v>
      </c>
      <c r="AA304" s="107">
        <v>5.3999999999999999E-2</v>
      </c>
      <c r="AB304" s="107">
        <v>3.5000000000000003E-2</v>
      </c>
      <c r="AC304" s="107">
        <v>3.5000000000000003E-2</v>
      </c>
      <c r="AD304" s="107">
        <v>3.6999999999999998E-2</v>
      </c>
      <c r="AE304" s="107">
        <f>(1+5.8%)*5/12+(1+5.8%)*(1+11%)*7/12-1</f>
        <v>0.1258883333333336</v>
      </c>
      <c r="AF304" s="107">
        <v>0.13364986687548908</v>
      </c>
      <c r="AG304" s="107">
        <f>7.1%+1%</f>
        <v>8.0999999999999989E-2</v>
      </c>
      <c r="AH304" s="107">
        <f>4.6%+1%</f>
        <v>5.6000000000000001E-2</v>
      </c>
      <c r="AI304" s="107">
        <f>AVERAGE(AH3:AK3)</f>
        <v>4.0211870852705042E-2</v>
      </c>
      <c r="AJ304" s="107">
        <f t="shared" ref="AJ304:BB304" si="116">AVERAGE(AI3:AL3)</f>
        <v>4.0097847706241453E-2</v>
      </c>
      <c r="AK304" s="107">
        <f t="shared" si="116"/>
        <v>0.04</v>
      </c>
      <c r="AL304" s="107">
        <f t="shared" si="116"/>
        <v>0.04</v>
      </c>
      <c r="AM304" s="107">
        <f t="shared" si="116"/>
        <v>0.04</v>
      </c>
      <c r="AN304" s="107">
        <f t="shared" si="116"/>
        <v>0.04</v>
      </c>
      <c r="AO304" s="107">
        <f t="shared" si="116"/>
        <v>0.04</v>
      </c>
      <c r="AP304" s="107">
        <f t="shared" si="116"/>
        <v>0.04</v>
      </c>
      <c r="AQ304" s="107">
        <f t="shared" si="116"/>
        <v>0.04</v>
      </c>
      <c r="AR304" s="107">
        <f t="shared" si="116"/>
        <v>0.04</v>
      </c>
      <c r="AS304" s="107">
        <f t="shared" si="116"/>
        <v>0.04</v>
      </c>
      <c r="AT304" s="107">
        <f t="shared" si="116"/>
        <v>0.04</v>
      </c>
      <c r="AU304" s="107">
        <f t="shared" si="116"/>
        <v>0.04</v>
      </c>
      <c r="AV304" s="107">
        <f t="shared" si="116"/>
        <v>0.04</v>
      </c>
      <c r="AW304" s="107">
        <f t="shared" si="116"/>
        <v>0.04</v>
      </c>
      <c r="AX304" s="107">
        <f t="shared" si="116"/>
        <v>0.04</v>
      </c>
      <c r="AY304" s="107">
        <f t="shared" si="116"/>
        <v>0.04</v>
      </c>
      <c r="AZ304" s="107">
        <f t="shared" si="116"/>
        <v>0.04</v>
      </c>
      <c r="BA304" s="107">
        <f t="shared" si="116"/>
        <v>0.04</v>
      </c>
      <c r="BB304" s="107">
        <f t="shared" si="116"/>
        <v>0.04</v>
      </c>
      <c r="BC304" s="107">
        <f t="shared" ref="BC304:BG304" si="117">AVERAGE(BB3:BE3)-0.1%</f>
        <v>3.9E-2</v>
      </c>
      <c r="BD304" s="107">
        <f t="shared" si="117"/>
        <v>3.9E-2</v>
      </c>
      <c r="BE304" s="107">
        <f t="shared" si="117"/>
        <v>3.9E-2</v>
      </c>
      <c r="BF304" s="107">
        <f t="shared" si="117"/>
        <v>3.9E-2</v>
      </c>
      <c r="BG304" s="107">
        <f t="shared" si="117"/>
        <v>3.9E-2</v>
      </c>
    </row>
    <row r="305" spans="1:59" ht="13.75" customHeight="1">
      <c r="A305" s="141" t="s">
        <v>166</v>
      </c>
      <c r="B305" s="170" t="s">
        <v>413</v>
      </c>
      <c r="C305" s="170" t="s">
        <v>414</v>
      </c>
      <c r="D305" s="170" t="s">
        <v>377</v>
      </c>
      <c r="E305" s="168"/>
      <c r="F305" s="168" t="s">
        <v>420</v>
      </c>
      <c r="G305" s="168" t="s">
        <v>3</v>
      </c>
      <c r="H305" s="168"/>
      <c r="I305" s="168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X305" s="107">
        <v>0.18641641353332994</v>
      </c>
      <c r="Y305" s="107">
        <v>4.6254984157586332E-2</v>
      </c>
      <c r="Z305" s="107">
        <v>-4.3319361742664042E-2</v>
      </c>
      <c r="AA305" s="107">
        <v>0.22210136598235053</v>
      </c>
      <c r="AB305" s="107">
        <v>-2.6833832095734866E-2</v>
      </c>
      <c r="AC305" s="107">
        <v>1.9203122093317537E-2</v>
      </c>
      <c r="AD305" s="107">
        <v>0.28121996294532159</v>
      </c>
      <c r="AE305" s="107">
        <v>0.12</v>
      </c>
      <c r="AF305" s="107">
        <v>0.25</v>
      </c>
      <c r="AG305" s="107">
        <f>+AG3+4%</f>
        <v>7.7677413520435418E-2</v>
      </c>
      <c r="AH305" s="107">
        <f>+AH3+3%</f>
        <v>7.0456092585854363E-2</v>
      </c>
      <c r="AI305" s="107">
        <f>+AI3+2%</f>
        <v>6.0391390824965793E-2</v>
      </c>
      <c r="AJ305" s="107">
        <f>+AJ3</f>
        <v>0.04</v>
      </c>
      <c r="AK305" s="107">
        <f t="shared" ref="AK305:BG305" si="118">(1+( 30%* (1+(  (AK194/AK35) / (AJ194/AJ35) -1) ) +70% * (1+AK29)-1 ) ) * (AK15/AJ15) -1</f>
        <v>3.0014513593475067E-2</v>
      </c>
      <c r="AL305" s="107">
        <f t="shared" si="118"/>
        <v>3.0014513593475067E-2</v>
      </c>
      <c r="AM305" s="107">
        <f t="shared" si="118"/>
        <v>3.0014513593475067E-2</v>
      </c>
      <c r="AN305" s="107">
        <f t="shared" si="118"/>
        <v>3.0014513593475067E-2</v>
      </c>
      <c r="AO305" s="107">
        <f t="shared" si="118"/>
        <v>3.0014513593474845E-2</v>
      </c>
      <c r="AP305" s="107">
        <f t="shared" si="118"/>
        <v>3.0014513593475067E-2</v>
      </c>
      <c r="AQ305" s="107">
        <f t="shared" si="118"/>
        <v>3.0014513593475067E-2</v>
      </c>
      <c r="AR305" s="107">
        <f t="shared" si="118"/>
        <v>3.0014513593475067E-2</v>
      </c>
      <c r="AS305" s="107">
        <f t="shared" si="118"/>
        <v>3.0014513593475067E-2</v>
      </c>
      <c r="AT305" s="107">
        <f t="shared" si="118"/>
        <v>3.0014513593475067E-2</v>
      </c>
      <c r="AU305" s="107">
        <f t="shared" si="118"/>
        <v>3.0014513593475067E-2</v>
      </c>
      <c r="AV305" s="107">
        <f t="shared" si="118"/>
        <v>3.0014513593475067E-2</v>
      </c>
      <c r="AW305" s="107">
        <f t="shared" si="118"/>
        <v>3.0014513593475067E-2</v>
      </c>
      <c r="AX305" s="107">
        <f t="shared" si="118"/>
        <v>3.0014513593475067E-2</v>
      </c>
      <c r="AY305" s="107">
        <f t="shared" si="118"/>
        <v>3.0618420278929248E-2</v>
      </c>
      <c r="AZ305" s="107">
        <f t="shared" si="118"/>
        <v>3.0618420278929248E-2</v>
      </c>
      <c r="BA305" s="107">
        <f t="shared" si="118"/>
        <v>3.0618420278929248E-2</v>
      </c>
      <c r="BB305" s="107">
        <f t="shared" si="118"/>
        <v>3.0618420278929248E-2</v>
      </c>
      <c r="BC305" s="107">
        <f t="shared" si="118"/>
        <v>4.0822563053968031E-2</v>
      </c>
      <c r="BD305" s="107">
        <f t="shared" si="118"/>
        <v>4.0822563053968031E-2</v>
      </c>
      <c r="BE305" s="107">
        <f t="shared" si="118"/>
        <v>4.0822563053968031E-2</v>
      </c>
      <c r="BF305" s="107">
        <f t="shared" si="118"/>
        <v>4.0822563053968031E-2</v>
      </c>
      <c r="BG305" s="107">
        <f t="shared" si="118"/>
        <v>4.0822563053968031E-2</v>
      </c>
    </row>
    <row r="306" spans="1:59" ht="13.75" customHeight="1">
      <c r="A306" s="141" t="s">
        <v>166</v>
      </c>
      <c r="B306" s="170" t="s">
        <v>413</v>
      </c>
      <c r="C306" s="170" t="s">
        <v>414</v>
      </c>
      <c r="D306" s="170" t="s">
        <v>377</v>
      </c>
      <c r="E306" s="168"/>
      <c r="F306" s="168" t="s">
        <v>421</v>
      </c>
      <c r="G306" s="168" t="s">
        <v>3</v>
      </c>
      <c r="H306" s="168"/>
      <c r="I306" s="168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N306" s="109"/>
      <c r="AO306" s="109"/>
      <c r="AP306" s="109"/>
      <c r="AQ306" s="109"/>
      <c r="AR306" s="109"/>
      <c r="AS306" s="109"/>
      <c r="AT306" s="109"/>
      <c r="AU306" s="109"/>
      <c r="AV306" s="109"/>
      <c r="AW306" s="109"/>
      <c r="AX306" s="109"/>
      <c r="AY306" s="109"/>
      <c r="AZ306" s="109"/>
      <c r="BA306" s="109"/>
      <c r="BB306" s="109"/>
      <c r="BC306" s="109"/>
      <c r="BD306" s="109"/>
      <c r="BE306" s="109"/>
      <c r="BF306" s="109"/>
      <c r="BG306" s="109"/>
    </row>
    <row r="307" spans="1:59" ht="13.75" customHeight="1">
      <c r="A307" s="141" t="s">
        <v>166</v>
      </c>
      <c r="B307" s="170" t="s">
        <v>413</v>
      </c>
      <c r="C307" s="170" t="s">
        <v>414</v>
      </c>
      <c r="D307" s="170" t="s">
        <v>377</v>
      </c>
      <c r="E307" s="168"/>
      <c r="F307" s="168" t="s">
        <v>422</v>
      </c>
      <c r="G307" s="168" t="s">
        <v>3</v>
      </c>
      <c r="H307" s="168"/>
      <c r="I307" s="168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N307" s="109"/>
      <c r="AO307" s="109"/>
      <c r="AP307" s="109"/>
      <c r="AQ307" s="109"/>
      <c r="AR307" s="109"/>
      <c r="AS307" s="109"/>
      <c r="AT307" s="109"/>
      <c r="AU307" s="109"/>
      <c r="AV307" s="109"/>
      <c r="AW307" s="109"/>
      <c r="AX307" s="109"/>
      <c r="AY307" s="109"/>
      <c r="AZ307" s="109"/>
      <c r="BA307" s="109"/>
      <c r="BB307" s="109"/>
      <c r="BC307" s="109"/>
      <c r="BD307" s="109"/>
      <c r="BE307" s="109"/>
      <c r="BF307" s="109"/>
      <c r="BG307" s="109"/>
    </row>
    <row r="308" spans="1:59" ht="13.75" customHeight="1">
      <c r="A308" s="141" t="s">
        <v>166</v>
      </c>
      <c r="B308" s="170" t="s">
        <v>413</v>
      </c>
      <c r="C308" s="170" t="s">
        <v>414</v>
      </c>
      <c r="D308" s="170" t="s">
        <v>377</v>
      </c>
      <c r="E308" s="168"/>
      <c r="F308" s="168" t="s">
        <v>423</v>
      </c>
      <c r="G308" s="168" t="s">
        <v>3</v>
      </c>
      <c r="H308" s="168"/>
      <c r="I308" s="168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N308" s="109"/>
      <c r="AO308" s="109"/>
      <c r="AP308" s="109"/>
      <c r="AQ308" s="109"/>
      <c r="AR308" s="109"/>
      <c r="AS308" s="109"/>
      <c r="AT308" s="109"/>
      <c r="AU308" s="109"/>
      <c r="AV308" s="109"/>
      <c r="AW308" s="109"/>
      <c r="AX308" s="109"/>
      <c r="AY308" s="109"/>
      <c r="AZ308" s="109"/>
      <c r="BA308" s="109"/>
      <c r="BB308" s="109"/>
      <c r="BC308" s="109"/>
      <c r="BD308" s="109"/>
      <c r="BE308" s="109"/>
      <c r="BF308" s="109"/>
      <c r="BG308" s="109"/>
    </row>
    <row r="309" spans="1:59" ht="13.75" customHeight="1">
      <c r="A309" s="141" t="s">
        <v>166</v>
      </c>
      <c r="B309" s="170" t="s">
        <v>413</v>
      </c>
      <c r="C309" s="170" t="s">
        <v>414</v>
      </c>
      <c r="D309" s="170" t="s">
        <v>377</v>
      </c>
      <c r="E309" s="168"/>
      <c r="F309" s="168" t="s">
        <v>424</v>
      </c>
      <c r="G309" s="168" t="s">
        <v>3</v>
      </c>
      <c r="H309" s="168"/>
      <c r="I309" s="168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X309" s="107">
        <v>0.2075009965900525</v>
      </c>
      <c r="Y309" s="107">
        <v>3.2790867282390446E-2</v>
      </c>
      <c r="Z309" s="107">
        <v>-1.7093962834656695E-2</v>
      </c>
      <c r="AA309" s="107">
        <v>0.16711057079615532</v>
      </c>
      <c r="AB309" s="107">
        <v>-2.1613365283477126E-3</v>
      </c>
      <c r="AC309" s="107">
        <v>-1.9033351429433409E-2</v>
      </c>
      <c r="AD309" s="107">
        <v>0.24615027126061184</v>
      </c>
      <c r="AE309" s="107">
        <v>0.04</v>
      </c>
      <c r="AF309" s="107">
        <v>0.13</v>
      </c>
      <c r="AG309" s="107">
        <f>+AG3+1%</f>
        <v>4.7677413520435412E-2</v>
      </c>
      <c r="AH309" s="107">
        <f t="shared" ref="AH309:AI309" si="119">+AH3+1%</f>
        <v>5.0456092585854366E-2</v>
      </c>
      <c r="AI309" s="107">
        <f t="shared" si="119"/>
        <v>5.0391390824965791E-2</v>
      </c>
      <c r="AJ309" s="107">
        <f>+AJ3</f>
        <v>0.04</v>
      </c>
      <c r="AK309" s="107">
        <f t="shared" ref="AK309:BG309" si="120">30%* (1+( (AK194*AK14) / (AJ194*AJ14) - 1 ) ) + 36%*(AK14/AJ14) + 34%*(1+AK3)-1</f>
        <v>2.5865844546299144E-2</v>
      </c>
      <c r="AL309" s="107">
        <f t="shared" si="120"/>
        <v>2.5865844546299144E-2</v>
      </c>
      <c r="AM309" s="107">
        <f t="shared" si="120"/>
        <v>2.5865844546299144E-2</v>
      </c>
      <c r="AN309" s="107">
        <f t="shared" si="120"/>
        <v>2.5865844546299144E-2</v>
      </c>
      <c r="AO309" s="107">
        <f t="shared" si="120"/>
        <v>2.5865844546299144E-2</v>
      </c>
      <c r="AP309" s="107">
        <f t="shared" si="120"/>
        <v>2.5865844546299144E-2</v>
      </c>
      <c r="AQ309" s="107">
        <f t="shared" si="120"/>
        <v>2.5865844546299144E-2</v>
      </c>
      <c r="AR309" s="107">
        <f t="shared" si="120"/>
        <v>2.5865844546299144E-2</v>
      </c>
      <c r="AS309" s="107">
        <f t="shared" si="120"/>
        <v>2.5865844546299144E-2</v>
      </c>
      <c r="AT309" s="107">
        <f t="shared" si="120"/>
        <v>2.5865844546299144E-2</v>
      </c>
      <c r="AU309" s="107">
        <f t="shared" si="120"/>
        <v>2.5865844546299144E-2</v>
      </c>
      <c r="AV309" s="107">
        <f t="shared" si="120"/>
        <v>2.5865844546299144E-2</v>
      </c>
      <c r="AW309" s="107">
        <f t="shared" si="120"/>
        <v>2.5865844546299144E-2</v>
      </c>
      <c r="AX309" s="107">
        <f t="shared" si="120"/>
        <v>2.5865844546299144E-2</v>
      </c>
      <c r="AY309" s="107">
        <f t="shared" si="120"/>
        <v>2.6260000000000172E-2</v>
      </c>
      <c r="AZ309" s="107">
        <f t="shared" si="120"/>
        <v>2.6260000000000172E-2</v>
      </c>
      <c r="BA309" s="107">
        <f t="shared" si="120"/>
        <v>2.6260000000000172E-2</v>
      </c>
      <c r="BB309" s="107">
        <f t="shared" si="120"/>
        <v>2.6260000000000172E-2</v>
      </c>
      <c r="BC309" s="107">
        <f t="shared" si="120"/>
        <v>3.2919999999999838E-2</v>
      </c>
      <c r="BD309" s="107">
        <f t="shared" si="120"/>
        <v>3.2919999999999838E-2</v>
      </c>
      <c r="BE309" s="107">
        <f t="shared" si="120"/>
        <v>3.292000000000006E-2</v>
      </c>
      <c r="BF309" s="107">
        <f t="shared" si="120"/>
        <v>3.2919999999999838E-2</v>
      </c>
      <c r="BG309" s="107">
        <f t="shared" si="120"/>
        <v>3.292000000000006E-2</v>
      </c>
    </row>
    <row r="310" spans="1:59" ht="13.75" customHeight="1">
      <c r="A310" s="141" t="s">
        <v>166</v>
      </c>
      <c r="B310" s="170" t="s">
        <v>413</v>
      </c>
      <c r="C310" s="170" t="s">
        <v>414</v>
      </c>
      <c r="D310" s="170" t="s">
        <v>377</v>
      </c>
      <c r="E310" s="168"/>
      <c r="F310" s="168" t="s">
        <v>425</v>
      </c>
      <c r="G310" s="168" t="s">
        <v>3</v>
      </c>
      <c r="H310" s="168"/>
      <c r="I310" s="168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N310" s="109"/>
      <c r="AO310" s="109"/>
      <c r="AP310" s="109"/>
      <c r="AQ310" s="109"/>
      <c r="AR310" s="109"/>
      <c r="AS310" s="109"/>
      <c r="AT310" s="109"/>
      <c r="AU310" s="109"/>
      <c r="AV310" s="109"/>
      <c r="AW310" s="109"/>
      <c r="AX310" s="109"/>
      <c r="AY310" s="109"/>
      <c r="AZ310" s="109"/>
      <c r="BA310" s="109"/>
      <c r="BB310" s="109"/>
      <c r="BC310" s="109"/>
      <c r="BD310" s="109"/>
      <c r="BE310" s="109"/>
      <c r="BF310" s="109"/>
      <c r="BG310" s="109"/>
    </row>
    <row r="311" spans="1:59" ht="13.75" customHeight="1">
      <c r="A311" s="141" t="s">
        <v>166</v>
      </c>
      <c r="B311" s="170" t="s">
        <v>413</v>
      </c>
      <c r="C311" s="170" t="s">
        <v>414</v>
      </c>
      <c r="D311" s="170" t="s">
        <v>377</v>
      </c>
      <c r="E311" s="168"/>
      <c r="F311" s="168" t="s">
        <v>426</v>
      </c>
      <c r="G311" s="168" t="s">
        <v>3</v>
      </c>
      <c r="H311" s="168"/>
      <c r="I311" s="168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N311" s="109"/>
      <c r="AO311" s="109"/>
      <c r="AP311" s="109"/>
      <c r="AQ311" s="109"/>
      <c r="AR311" s="109"/>
      <c r="AS311" s="109"/>
      <c r="AT311" s="109"/>
      <c r="AU311" s="109"/>
      <c r="AV311" s="109"/>
      <c r="AW311" s="109"/>
      <c r="AX311" s="109"/>
      <c r="AY311" s="109"/>
      <c r="AZ311" s="109"/>
      <c r="BA311" s="109"/>
      <c r="BB311" s="109"/>
      <c r="BC311" s="109"/>
      <c r="BD311" s="109"/>
      <c r="BE311" s="109"/>
      <c r="BF311" s="109"/>
      <c r="BG311" s="109"/>
    </row>
    <row r="312" spans="1:59" ht="13.75" customHeight="1">
      <c r="A312" s="141" t="s">
        <v>166</v>
      </c>
      <c r="B312" s="170" t="s">
        <v>413</v>
      </c>
      <c r="C312" s="170" t="s">
        <v>414</v>
      </c>
      <c r="D312" s="170" t="s">
        <v>377</v>
      </c>
      <c r="E312" s="168"/>
      <c r="F312" s="168" t="s">
        <v>427</v>
      </c>
      <c r="G312" s="168" t="s">
        <v>3</v>
      </c>
      <c r="H312" s="168"/>
      <c r="I312" s="168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N312" s="109"/>
      <c r="AO312" s="109"/>
      <c r="AP312" s="109"/>
      <c r="AQ312" s="109"/>
      <c r="AR312" s="109"/>
      <c r="AS312" s="109"/>
      <c r="AT312" s="109"/>
      <c r="AU312" s="109"/>
      <c r="AV312" s="109"/>
      <c r="AW312" s="109"/>
      <c r="AX312" s="109"/>
      <c r="AY312" s="109"/>
      <c r="AZ312" s="109"/>
      <c r="BA312" s="109"/>
      <c r="BB312" s="109"/>
      <c r="BC312" s="109"/>
      <c r="BD312" s="109"/>
      <c r="BE312" s="109"/>
      <c r="BF312" s="109"/>
      <c r="BG312" s="109"/>
    </row>
    <row r="313" spans="1:59" ht="13.75" customHeight="1">
      <c r="A313" s="141" t="s">
        <v>166</v>
      </c>
      <c r="B313" s="170" t="s">
        <v>413</v>
      </c>
      <c r="C313" s="170" t="s">
        <v>417</v>
      </c>
      <c r="D313" s="170" t="s">
        <v>168</v>
      </c>
      <c r="E313" s="168"/>
      <c r="F313" s="168" t="s">
        <v>428</v>
      </c>
      <c r="G313" s="168" t="s">
        <v>3</v>
      </c>
      <c r="H313" s="168"/>
      <c r="I313" s="168" t="s">
        <v>429</v>
      </c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X313" s="107">
        <v>2E-3</v>
      </c>
      <c r="Y313" s="107">
        <v>1.6E-2</v>
      </c>
      <c r="Z313" s="107">
        <v>6.3600000000000004E-2</v>
      </c>
      <c r="AA313" s="107">
        <v>4.4999999999999998E-2</v>
      </c>
      <c r="AB313" s="107">
        <v>1.5635285232225016E-3</v>
      </c>
      <c r="AC313" s="107">
        <v>-2.1681466958828333E-2</v>
      </c>
      <c r="AD313" s="107">
        <v>3.6999999999999998E-2</v>
      </c>
      <c r="AE313" s="107">
        <v>-9.4718496628043436E-4</v>
      </c>
      <c r="AF313" s="107">
        <f>AF547/6</f>
        <v>5.8345665123014784E-3</v>
      </c>
      <c r="AG313" s="107">
        <f t="shared" ref="AG313:BG313" si="121">AG547</f>
        <v>3.5316879499625364E-2</v>
      </c>
      <c r="AH313" s="107">
        <f>AH547+0.5%</f>
        <v>2.7208731823438036E-2</v>
      </c>
      <c r="AI313" s="107">
        <f>AI547+0.5%</f>
        <v>2.1662040409843E-2</v>
      </c>
      <c r="AJ313" s="107">
        <f t="shared" si="121"/>
        <v>0.02</v>
      </c>
      <c r="AK313" s="107">
        <f t="shared" si="121"/>
        <v>0.02</v>
      </c>
      <c r="AL313" s="107">
        <f t="shared" si="121"/>
        <v>0.02</v>
      </c>
      <c r="AM313" s="107">
        <f t="shared" si="121"/>
        <v>0.02</v>
      </c>
      <c r="AN313" s="107">
        <f t="shared" si="121"/>
        <v>0.02</v>
      </c>
      <c r="AO313" s="107">
        <f t="shared" si="121"/>
        <v>0.02</v>
      </c>
      <c r="AP313" s="107">
        <f t="shared" si="121"/>
        <v>0.02</v>
      </c>
      <c r="AQ313" s="107">
        <f t="shared" si="121"/>
        <v>0.02</v>
      </c>
      <c r="AR313" s="107">
        <f t="shared" si="121"/>
        <v>0.02</v>
      </c>
      <c r="AS313" s="107">
        <f t="shared" si="121"/>
        <v>0.02</v>
      </c>
      <c r="AT313" s="107">
        <f t="shared" si="121"/>
        <v>0.02</v>
      </c>
      <c r="AU313" s="107">
        <f t="shared" si="121"/>
        <v>0.02</v>
      </c>
      <c r="AV313" s="107">
        <f t="shared" si="121"/>
        <v>0.02</v>
      </c>
      <c r="AW313" s="107">
        <f t="shared" si="121"/>
        <v>0.02</v>
      </c>
      <c r="AX313" s="107">
        <f t="shared" si="121"/>
        <v>0.02</v>
      </c>
      <c r="AY313" s="107">
        <f t="shared" si="121"/>
        <v>0.02</v>
      </c>
      <c r="AZ313" s="107">
        <f t="shared" si="121"/>
        <v>0.02</v>
      </c>
      <c r="BA313" s="107">
        <f t="shared" si="121"/>
        <v>0.02</v>
      </c>
      <c r="BB313" s="107">
        <f t="shared" si="121"/>
        <v>0.02</v>
      </c>
      <c r="BC313" s="107">
        <f t="shared" si="121"/>
        <v>0.02</v>
      </c>
      <c r="BD313" s="107">
        <f t="shared" si="121"/>
        <v>0.02</v>
      </c>
      <c r="BE313" s="107">
        <f t="shared" si="121"/>
        <v>0.02</v>
      </c>
      <c r="BF313" s="107">
        <f t="shared" si="121"/>
        <v>0.02</v>
      </c>
      <c r="BG313" s="107">
        <f t="shared" si="121"/>
        <v>0.02</v>
      </c>
    </row>
    <row r="314" spans="1:59" ht="13.75" customHeight="1">
      <c r="A314" s="141" t="s">
        <v>166</v>
      </c>
      <c r="B314" s="170" t="s">
        <v>413</v>
      </c>
      <c r="C314" s="170" t="s">
        <v>430</v>
      </c>
      <c r="D314" s="170" t="s">
        <v>168</v>
      </c>
      <c r="E314" s="168"/>
      <c r="F314" s="168" t="s">
        <v>431</v>
      </c>
      <c r="G314" s="168" t="s">
        <v>432</v>
      </c>
      <c r="H314" s="168"/>
      <c r="I314" s="168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X314" s="133">
        <v>202.1</v>
      </c>
      <c r="Y314" s="133">
        <v>228</v>
      </c>
      <c r="Z314" s="133">
        <v>253.2</v>
      </c>
      <c r="AA314" s="133">
        <v>255.4</v>
      </c>
      <c r="AB314" s="133">
        <v>276.10000000000002</v>
      </c>
      <c r="AC314" s="133">
        <v>235.1</v>
      </c>
      <c r="AD314" s="133">
        <v>238.1</v>
      </c>
      <c r="AE314" s="133">
        <v>256.01420000000002</v>
      </c>
      <c r="AF314" s="133">
        <v>277.64873941763108</v>
      </c>
      <c r="AG314" s="133">
        <v>308.26141181707686</v>
      </c>
      <c r="AH314" s="133">
        <v>318.84928439386601</v>
      </c>
      <c r="AI314" s="133">
        <v>317.97218732860108</v>
      </c>
      <c r="AJ314" s="133">
        <v>313.57111796457508</v>
      </c>
      <c r="AK314" s="133">
        <v>309.21045083768161</v>
      </c>
      <c r="AL314" s="133">
        <v>304.88931377711964</v>
      </c>
      <c r="AM314" s="133">
        <v>300.60681836192919</v>
      </c>
      <c r="AN314" s="133">
        <v>296.1856202531726</v>
      </c>
      <c r="AO314" s="133">
        <v>291.79448012982948</v>
      </c>
      <c r="AP314" s="133">
        <v>287.43195626425023</v>
      </c>
      <c r="AQ314" s="133">
        <v>283.09653871839834</v>
      </c>
      <c r="AR314" s="133">
        <v>278.78664200753462</v>
      </c>
      <c r="AS314" s="133">
        <v>274.50059687930042</v>
      </c>
      <c r="AT314" s="133">
        <v>270.23664108011053</v>
      </c>
      <c r="AU314" s="133">
        <v>265.9929089591347</v>
      </c>
      <c r="AV314" s="133">
        <v>261.76741973431996</v>
      </c>
      <c r="AW314" s="133">
        <v>257.55806421395471</v>
      </c>
      <c r="AX314" s="133">
        <v>253.36258973004772</v>
      </c>
      <c r="AY314" s="133">
        <v>249.17858299484209</v>
      </c>
      <c r="AZ314" s="133">
        <v>245.00345053728253</v>
      </c>
      <c r="BA314" s="133">
        <v>240.83439630989776</v>
      </c>
      <c r="BB314" s="133">
        <v>236.66839597541178</v>
      </c>
      <c r="BC314" s="133">
        <v>232.50216728269857</v>
      </c>
      <c r="BD314" s="133">
        <v>228.33213581861369</v>
      </c>
      <c r="BE314" s="133">
        <v>224.15439526951803</v>
      </c>
      <c r="BF314" s="133">
        <v>219.96466113579743</v>
      </c>
      <c r="BG314" s="133">
        <v>215.75821660370474</v>
      </c>
    </row>
    <row r="315" spans="1:59" ht="13.75" customHeight="1">
      <c r="A315" s="141" t="s">
        <v>166</v>
      </c>
      <c r="B315" s="170" t="s">
        <v>413</v>
      </c>
      <c r="C315" s="170" t="s">
        <v>430</v>
      </c>
      <c r="D315" s="170" t="s">
        <v>168</v>
      </c>
      <c r="E315" s="168"/>
      <c r="F315" s="168" t="s">
        <v>433</v>
      </c>
      <c r="G315" s="168" t="s">
        <v>432</v>
      </c>
      <c r="H315" s="168"/>
      <c r="I315" s="168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X315" s="133">
        <v>146</v>
      </c>
      <c r="Y315" s="133">
        <v>140.69999999999999</v>
      </c>
      <c r="Z315" s="133">
        <v>141.6</v>
      </c>
      <c r="AA315" s="133">
        <v>145.1</v>
      </c>
      <c r="AB315" s="133">
        <v>149.9</v>
      </c>
      <c r="AC315" s="133">
        <v>142.6</v>
      </c>
      <c r="AD315" s="133">
        <v>146.69999999999999</v>
      </c>
      <c r="AE315" s="133">
        <v>138.6764</v>
      </c>
      <c r="AF315" s="133">
        <v>140.85633712393465</v>
      </c>
      <c r="AG315" s="133">
        <v>135.8666464291228</v>
      </c>
      <c r="AH315" s="133">
        <v>134.08961113783002</v>
      </c>
      <c r="AI315" s="133">
        <v>132.33009248711119</v>
      </c>
      <c r="AJ315" s="133">
        <v>131.16327658477894</v>
      </c>
      <c r="AK315" s="133">
        <v>130.00229476195835</v>
      </c>
      <c r="AL315" s="133">
        <v>128.84711784825188</v>
      </c>
      <c r="AM315" s="133">
        <v>127.69771681911391</v>
      </c>
      <c r="AN315" s="133">
        <v>126.55406279512167</v>
      </c>
      <c r="AO315" s="133">
        <v>125.41612704124938</v>
      </c>
      <c r="AP315" s="133">
        <v>124.28388096614643</v>
      </c>
      <c r="AQ315" s="133">
        <v>123.15729612141902</v>
      </c>
      <c r="AR315" s="133">
        <v>122.03634420091521</v>
      </c>
      <c r="AS315" s="133">
        <v>120.92099704001393</v>
      </c>
      <c r="AT315" s="133">
        <v>119.81122661491713</v>
      </c>
      <c r="AU315" s="133">
        <v>118.70700504194585</v>
      </c>
      <c r="AV315" s="133">
        <v>117.60830457683943</v>
      </c>
      <c r="AW315" s="133">
        <v>116.51509761405856</v>
      </c>
      <c r="AX315" s="133">
        <v>115.42735668609154</v>
      </c>
      <c r="AY315" s="133">
        <v>114.34505446276435</v>
      </c>
      <c r="AZ315" s="133">
        <v>113.26816375055384</v>
      </c>
      <c r="BA315" s="133">
        <v>112.1966574919044</v>
      </c>
      <c r="BB315" s="133">
        <v>111.13050876454818</v>
      </c>
      <c r="BC315" s="133">
        <v>110.06969078082875</v>
      </c>
      <c r="BD315" s="133">
        <v>109.0141768870279</v>
      </c>
      <c r="BE315" s="133">
        <v>107.96394056269608</v>
      </c>
      <c r="BF315" s="133">
        <v>106.91895541998591</v>
      </c>
      <c r="BG315" s="133">
        <v>105.87919520298928</v>
      </c>
    </row>
    <row r="316" spans="1:59" ht="13.75" customHeight="1">
      <c r="A316" s="141" t="s">
        <v>166</v>
      </c>
      <c r="B316" s="170" t="s">
        <v>413</v>
      </c>
      <c r="C316" s="170" t="s">
        <v>430</v>
      </c>
      <c r="D316" s="170" t="s">
        <v>168</v>
      </c>
      <c r="E316" s="168"/>
      <c r="F316" s="168" t="s">
        <v>434</v>
      </c>
      <c r="G316" s="168" t="s">
        <v>432</v>
      </c>
      <c r="H316" s="168"/>
      <c r="I316" s="168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X316" s="133">
        <v>123.2</v>
      </c>
      <c r="Y316" s="133">
        <v>136.30000000000001</v>
      </c>
      <c r="Z316" s="133">
        <v>154.6</v>
      </c>
      <c r="AA316" s="133">
        <v>161.4</v>
      </c>
      <c r="AB316" s="133">
        <v>176</v>
      </c>
      <c r="AC316" s="133">
        <v>188.6</v>
      </c>
      <c r="AD316" s="133">
        <v>202.7</v>
      </c>
      <c r="AE316" s="133">
        <v>206.51589999999999</v>
      </c>
      <c r="AF316" s="133">
        <v>204.71418046070886</v>
      </c>
      <c r="AG316" s="133">
        <v>214.12852535663029</v>
      </c>
      <c r="AH316" s="133">
        <v>221.23664678199373</v>
      </c>
      <c r="AI316" s="133">
        <v>233.50577991914201</v>
      </c>
      <c r="AJ316" s="133">
        <v>233.25443165900367</v>
      </c>
      <c r="AK316" s="133">
        <v>233.28824771196355</v>
      </c>
      <c r="AL316" s="133">
        <v>232.67259802854235</v>
      </c>
      <c r="AM316" s="133">
        <v>232.70029467773719</v>
      </c>
      <c r="AN316" s="133">
        <v>232.68944016327876</v>
      </c>
      <c r="AO316" s="133">
        <v>232.67868754309123</v>
      </c>
      <c r="AP316" s="133">
        <v>232.66803685814546</v>
      </c>
      <c r="AQ316" s="133">
        <v>232.65748815102262</v>
      </c>
      <c r="AR316" s="133">
        <v>232.63820049386479</v>
      </c>
      <c r="AS316" s="133">
        <v>232.61897069967844</v>
      </c>
      <c r="AT316" s="133">
        <v>232.59979859487464</v>
      </c>
      <c r="AU316" s="133">
        <v>232.5806840063853</v>
      </c>
      <c r="AV316" s="133">
        <v>232.56162676166139</v>
      </c>
      <c r="AW316" s="133">
        <v>232.54262668867162</v>
      </c>
      <c r="AX316" s="133">
        <v>232.52368361590084</v>
      </c>
      <c r="AY316" s="133">
        <v>232.50479737234838</v>
      </c>
      <c r="AZ316" s="133">
        <v>232.48594527901639</v>
      </c>
      <c r="BA316" s="133">
        <v>232.46712727415414</v>
      </c>
      <c r="BB316" s="133">
        <v>232.44834329612274</v>
      </c>
      <c r="BC316" s="133">
        <v>232.42959328339464</v>
      </c>
      <c r="BD316" s="133">
        <v>232.41087717455355</v>
      </c>
      <c r="BE316" s="133">
        <v>232.39219490829427</v>
      </c>
      <c r="BF316" s="133">
        <v>232.37354642342248</v>
      </c>
      <c r="BG316" s="133">
        <v>232.35493165885441</v>
      </c>
    </row>
    <row r="317" spans="1:59" ht="13.75" customHeight="1">
      <c r="A317" s="141" t="s">
        <v>166</v>
      </c>
      <c r="B317" s="170" t="s">
        <v>413</v>
      </c>
      <c r="C317" s="170" t="s">
        <v>430</v>
      </c>
      <c r="D317" s="170" t="s">
        <v>168</v>
      </c>
      <c r="E317" s="168"/>
      <c r="F317" s="168" t="s">
        <v>435</v>
      </c>
      <c r="G317" s="168" t="s">
        <v>432</v>
      </c>
      <c r="H317" s="168"/>
      <c r="I317" s="168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X317" s="133">
        <v>26.2</v>
      </c>
      <c r="Y317" s="133">
        <v>28.2</v>
      </c>
      <c r="Z317" s="133">
        <v>28.3</v>
      </c>
      <c r="AA317" s="133">
        <v>30.4</v>
      </c>
      <c r="AB317" s="133">
        <v>26.7</v>
      </c>
      <c r="AC317" s="133">
        <v>26.9</v>
      </c>
      <c r="AD317" s="133">
        <v>29</v>
      </c>
      <c r="AE317" s="133">
        <v>24.466900000000003</v>
      </c>
      <c r="AF317" s="133">
        <v>24.891596713320009</v>
      </c>
      <c r="AG317" s="133">
        <v>26.568207851490911</v>
      </c>
      <c r="AH317" s="133">
        <v>27.352969087035639</v>
      </c>
      <c r="AI317" s="133">
        <v>28.161273159646708</v>
      </c>
      <c r="AJ317" s="133">
        <v>29.110703566687114</v>
      </c>
      <c r="AK317" s="133">
        <v>29.926663467380422</v>
      </c>
      <c r="AL317" s="133">
        <v>30.267812832487675</v>
      </c>
      <c r="AM317" s="133">
        <v>30.56639596081255</v>
      </c>
      <c r="AN317" s="133">
        <v>30.693497311670342</v>
      </c>
      <c r="AO317" s="133">
        <v>30.82123416928242</v>
      </c>
      <c r="AP317" s="133">
        <v>30.949609711182561</v>
      </c>
      <c r="AQ317" s="133">
        <v>31.078627130792199</v>
      </c>
      <c r="AR317" s="133">
        <v>31.078627130792199</v>
      </c>
      <c r="AS317" s="133">
        <v>31.078627130792199</v>
      </c>
      <c r="AT317" s="133">
        <v>31.078627130792199</v>
      </c>
      <c r="AU317" s="133">
        <v>31.078627130792199</v>
      </c>
      <c r="AV317" s="133">
        <v>31.078627130792199</v>
      </c>
      <c r="AW317" s="133">
        <v>31.078627130792199</v>
      </c>
      <c r="AX317" s="133">
        <v>31.078627130792199</v>
      </c>
      <c r="AY317" s="133">
        <v>31.078627130792199</v>
      </c>
      <c r="AZ317" s="133">
        <v>31.078627130792199</v>
      </c>
      <c r="BA317" s="133">
        <v>31.078627130792199</v>
      </c>
      <c r="BB317" s="133">
        <v>31.078627130792199</v>
      </c>
      <c r="BC317" s="133">
        <v>31.078627130792199</v>
      </c>
      <c r="BD317" s="133">
        <v>31.078627130792199</v>
      </c>
      <c r="BE317" s="133">
        <v>31.078627130792199</v>
      </c>
      <c r="BF317" s="133">
        <v>31.078627130792199</v>
      </c>
      <c r="BG317" s="133">
        <v>31.078627130792199</v>
      </c>
    </row>
    <row r="318" spans="1:59" ht="13.75" customHeight="1">
      <c r="A318" s="141" t="s">
        <v>166</v>
      </c>
      <c r="B318" s="170" t="s">
        <v>413</v>
      </c>
      <c r="C318" s="170" t="s">
        <v>430</v>
      </c>
      <c r="D318" s="170" t="s">
        <v>168</v>
      </c>
      <c r="E318" s="168"/>
      <c r="F318" s="168" t="s">
        <v>436</v>
      </c>
      <c r="G318" s="168" t="s">
        <v>437</v>
      </c>
      <c r="H318" s="168"/>
      <c r="I318" s="168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20">
        <v>5273093</v>
      </c>
      <c r="X318" s="128">
        <v>3942884</v>
      </c>
      <c r="Y318" s="128">
        <v>3989275</v>
      </c>
      <c r="Z318" s="128">
        <v>4615042</v>
      </c>
      <c r="AA318" s="128">
        <v>5080861</v>
      </c>
      <c r="AB318" s="128">
        <v>5314942</v>
      </c>
      <c r="AC318" s="128">
        <v>5304930</v>
      </c>
      <c r="AD318" s="128">
        <v>5631509</v>
      </c>
      <c r="AE318" s="128">
        <v>4314289</v>
      </c>
      <c r="AF318" s="128">
        <v>4961432.3499999987</v>
      </c>
      <c r="AG318" s="128">
        <v>5905183.0687499987</v>
      </c>
      <c r="AH318" s="128">
        <v>6407123.6295937486</v>
      </c>
      <c r="AI318" s="128">
        <v>6855622.2836653125</v>
      </c>
      <c r="AJ318" s="128">
        <v>7266959.6206852319</v>
      </c>
      <c r="AK318" s="128">
        <v>7666642.3998229196</v>
      </c>
      <c r="AL318" s="128">
        <v>8049974.5198140666</v>
      </c>
      <c r="AM318" s="128">
        <v>8452473.2458047718</v>
      </c>
      <c r="AN318" s="128">
        <f>+AM318*(1+5%)</f>
        <v>8875096.9080950115</v>
      </c>
      <c r="AO318" s="128">
        <f t="shared" ref="AO318:BG318" si="122">+AN318*(1+5%)</f>
        <v>9318851.7534997631</v>
      </c>
      <c r="AP318" s="128">
        <f t="shared" si="122"/>
        <v>9784794.3411747515</v>
      </c>
      <c r="AQ318" s="128">
        <f t="shared" si="122"/>
        <v>10274034.05823349</v>
      </c>
      <c r="AR318" s="128">
        <f t="shared" si="122"/>
        <v>10787735.761145165</v>
      </c>
      <c r="AS318" s="128">
        <f t="shared" si="122"/>
        <v>11327122.549202424</v>
      </c>
      <c r="AT318" s="128">
        <f t="shared" si="122"/>
        <v>11893478.676662546</v>
      </c>
      <c r="AU318" s="128">
        <f t="shared" si="122"/>
        <v>12488152.610495673</v>
      </c>
      <c r="AV318" s="128">
        <f t="shared" si="122"/>
        <v>13112560.241020458</v>
      </c>
      <c r="AW318" s="128">
        <f t="shared" si="122"/>
        <v>13768188.253071481</v>
      </c>
      <c r="AX318" s="128">
        <f t="shared" si="122"/>
        <v>14456597.665725056</v>
      </c>
      <c r="AY318" s="128">
        <f t="shared" si="122"/>
        <v>15179427.549011309</v>
      </c>
      <c r="AZ318" s="128">
        <f t="shared" si="122"/>
        <v>15938398.926461875</v>
      </c>
      <c r="BA318" s="128">
        <f t="shared" si="122"/>
        <v>16735318.87278497</v>
      </c>
      <c r="BB318" s="128">
        <f t="shared" si="122"/>
        <v>17572084.816424221</v>
      </c>
      <c r="BC318" s="128">
        <f t="shared" si="122"/>
        <v>18450689.057245433</v>
      </c>
      <c r="BD318" s="128">
        <f t="shared" si="122"/>
        <v>19373223.510107707</v>
      </c>
      <c r="BE318" s="128">
        <f t="shared" si="122"/>
        <v>20341884.685613092</v>
      </c>
      <c r="BF318" s="128">
        <f t="shared" si="122"/>
        <v>21358978.919893749</v>
      </c>
      <c r="BG318" s="128">
        <f t="shared" si="122"/>
        <v>22426927.865888439</v>
      </c>
    </row>
    <row r="319" spans="1:59" ht="13.75" customHeight="1">
      <c r="A319" s="141" t="s">
        <v>166</v>
      </c>
      <c r="B319" s="170" t="s">
        <v>413</v>
      </c>
      <c r="C319" s="170" t="s">
        <v>430</v>
      </c>
      <c r="D319" s="170" t="s">
        <v>168</v>
      </c>
      <c r="E319" s="168"/>
      <c r="F319" s="168" t="s">
        <v>438</v>
      </c>
      <c r="G319" s="168" t="s">
        <v>3</v>
      </c>
      <c r="H319" s="168"/>
      <c r="I319" s="168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X319" s="107">
        <v>8.5498877125441242E-2</v>
      </c>
      <c r="Y319" s="107">
        <v>6.6794739175410234E-2</v>
      </c>
      <c r="Z319" s="107">
        <v>8.9901648427759939E-2</v>
      </c>
      <c r="AA319" s="107">
        <v>3.7747839349262957E-2</v>
      </c>
      <c r="AB319" s="107">
        <v>2.9148805878750794E-2</v>
      </c>
      <c r="AC319" s="107">
        <v>-2.320599785790789E-2</v>
      </c>
      <c r="AD319" s="107">
        <v>1.7543859649122862E-2</v>
      </c>
      <c r="AE319" s="155">
        <v>7.2303456434856805E-3</v>
      </c>
      <c r="AF319" s="155">
        <v>8.3956466950710684E-2</v>
      </c>
      <c r="AG319" s="155">
        <v>2.0840471417203243E-2</v>
      </c>
      <c r="AH319" s="155">
        <v>2.8230496771956215E-2</v>
      </c>
      <c r="AI319" s="155">
        <v>2.6215458669505365E-2</v>
      </c>
      <c r="AJ319" s="155">
        <v>9.3640121960787415E-3</v>
      </c>
      <c r="AK319" s="155">
        <v>1.0890413356205331E-2</v>
      </c>
      <c r="AL319" s="155">
        <v>4.942211288826881E-3</v>
      </c>
      <c r="AM319" s="155">
        <v>7.9579321980594031E-3</v>
      </c>
      <c r="AN319" s="155">
        <v>6.5787089326490023E-3</v>
      </c>
      <c r="AO319" s="155">
        <v>6.5078242053846491E-3</v>
      </c>
      <c r="AP319" s="155">
        <v>6.9246882200895143E-3</v>
      </c>
      <c r="AQ319" s="155">
        <v>6.4618336282642463E-3</v>
      </c>
      <c r="AR319" s="155">
        <v>6.7495826201446896E-3</v>
      </c>
      <c r="AS319" s="155">
        <v>7.1738816477968648E-3</v>
      </c>
      <c r="AT319" s="155">
        <v>7.6067110031816654E-3</v>
      </c>
      <c r="AU319" s="155">
        <v>8.047937203260247E-3</v>
      </c>
      <c r="AV319" s="155">
        <v>8.4973999943003253E-3</v>
      </c>
      <c r="AW319" s="155">
        <v>8.9549111910407486E-3</v>
      </c>
      <c r="AX319" s="155">
        <v>8.4144395020058216E-3</v>
      </c>
      <c r="AY319" s="155">
        <v>8.9437189197338895E-3</v>
      </c>
      <c r="AZ319" s="155">
        <v>9.4284719498911596E-3</v>
      </c>
      <c r="BA319" s="155">
        <v>9.9215783689585724E-3</v>
      </c>
      <c r="BB319" s="155">
        <v>1.042270538997303E-2</v>
      </c>
      <c r="BC319" s="155">
        <v>1.0931479834626057E-2</v>
      </c>
      <c r="BD319" s="155">
        <v>1.1447486479367441E-2</v>
      </c>
      <c r="BE319" s="155">
        <v>1.1970266279614838E-2</v>
      </c>
      <c r="BF319" s="155">
        <v>1.2499314410710838E-2</v>
      </c>
      <c r="BG319" s="155">
        <v>1.3034078044531938E-2</v>
      </c>
    </row>
    <row r="320" spans="1:59" ht="13.75" customHeight="1">
      <c r="A320" s="141" t="s">
        <v>166</v>
      </c>
      <c r="B320" s="170" t="s">
        <v>413</v>
      </c>
      <c r="C320" s="170" t="s">
        <v>414</v>
      </c>
      <c r="D320" s="170" t="s">
        <v>168</v>
      </c>
      <c r="E320" s="168"/>
      <c r="F320" s="168" t="s">
        <v>439</v>
      </c>
      <c r="G320" s="168" t="s">
        <v>3</v>
      </c>
      <c r="H320" s="168"/>
      <c r="I320" s="168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X320" s="107">
        <v>-4.0349339024561059E-2</v>
      </c>
      <c r="Y320" s="107">
        <v>-4.2060227229930192E-2</v>
      </c>
      <c r="Z320" s="107">
        <v>0.2056361280388681</v>
      </c>
      <c r="AA320" s="107">
        <v>0.11029572183023761</v>
      </c>
      <c r="AB320" s="107">
        <v>7.2747588646600692E-2</v>
      </c>
      <c r="AC320" s="107">
        <v>-0.50243841349415264</v>
      </c>
      <c r="AD320" s="107">
        <v>0.59464380596900557</v>
      </c>
      <c r="AE320" s="107">
        <v>-7.6427055101379482E-2</v>
      </c>
      <c r="AF320" s="107">
        <v>0.12657407407407417</v>
      </c>
      <c r="AG320" s="107">
        <v>6.8975382372241434E-2</v>
      </c>
      <c r="AH320" s="107">
        <v>5.6638402397741539E-2</v>
      </c>
      <c r="AI320" s="107">
        <v>4.8852861738778008E-2</v>
      </c>
      <c r="AJ320" s="107">
        <v>4.59305127797629E-2</v>
      </c>
      <c r="AK320" s="107">
        <v>4.5150542473091138E-2</v>
      </c>
      <c r="AL320" s="107">
        <v>4.1424693351040709E-2</v>
      </c>
      <c r="AM320" s="107">
        <v>3.9776945578029688E-2</v>
      </c>
      <c r="AN320" s="107">
        <v>0.04</v>
      </c>
      <c r="AO320" s="107">
        <f t="shared" ref="AO320:AZ320" si="123">AN320</f>
        <v>0.04</v>
      </c>
      <c r="AP320" s="107">
        <f t="shared" si="123"/>
        <v>0.04</v>
      </c>
      <c r="AQ320" s="107">
        <f t="shared" si="123"/>
        <v>0.04</v>
      </c>
      <c r="AR320" s="107">
        <f t="shared" si="123"/>
        <v>0.04</v>
      </c>
      <c r="AS320" s="107">
        <f t="shared" si="123"/>
        <v>0.04</v>
      </c>
      <c r="AT320" s="107">
        <f t="shared" si="123"/>
        <v>0.04</v>
      </c>
      <c r="AU320" s="107">
        <f t="shared" si="123"/>
        <v>0.04</v>
      </c>
      <c r="AV320" s="107">
        <f t="shared" si="123"/>
        <v>0.04</v>
      </c>
      <c r="AW320" s="107">
        <f t="shared" si="123"/>
        <v>0.04</v>
      </c>
      <c r="AX320" s="107">
        <f t="shared" si="123"/>
        <v>0.04</v>
      </c>
      <c r="AY320" s="107">
        <f t="shared" si="123"/>
        <v>0.04</v>
      </c>
      <c r="AZ320" s="107">
        <f t="shared" si="123"/>
        <v>0.04</v>
      </c>
      <c r="BA320" s="107">
        <f>AZ320</f>
        <v>0.04</v>
      </c>
      <c r="BB320" s="107">
        <f>BA320</f>
        <v>0.04</v>
      </c>
      <c r="BC320" s="107">
        <f t="shared" ref="BC320:BG320" si="124">BB320</f>
        <v>0.04</v>
      </c>
      <c r="BD320" s="107">
        <f t="shared" si="124"/>
        <v>0.04</v>
      </c>
      <c r="BE320" s="107">
        <f t="shared" si="124"/>
        <v>0.04</v>
      </c>
      <c r="BF320" s="107">
        <f t="shared" si="124"/>
        <v>0.04</v>
      </c>
      <c r="BG320" s="107">
        <f t="shared" si="124"/>
        <v>0.04</v>
      </c>
    </row>
    <row r="321" spans="1:59" ht="13.75" customHeight="1">
      <c r="A321" s="141" t="s">
        <v>166</v>
      </c>
      <c r="B321" s="170" t="s">
        <v>413</v>
      </c>
      <c r="C321" s="170" t="s">
        <v>417</v>
      </c>
      <c r="D321" s="170" t="s">
        <v>168</v>
      </c>
      <c r="E321" s="168"/>
      <c r="F321" s="168" t="s">
        <v>440</v>
      </c>
      <c r="G321" s="168" t="s">
        <v>441</v>
      </c>
      <c r="H321" s="168"/>
      <c r="I321" s="168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X321" s="128">
        <v>450</v>
      </c>
      <c r="Y321" s="128">
        <v>697.91666666666663</v>
      </c>
      <c r="Z321" s="128">
        <v>1327.0833333333333</v>
      </c>
      <c r="AA321" s="128">
        <v>1750</v>
      </c>
      <c r="AB321" s="128">
        <v>1773.6250000000002</v>
      </c>
      <c r="AC321" s="128">
        <v>912.5</v>
      </c>
      <c r="AD321" s="128">
        <v>972.91666666666663</v>
      </c>
      <c r="AE321" s="128">
        <v>1518.75</v>
      </c>
      <c r="AF321" s="128">
        <v>1950</v>
      </c>
      <c r="AG321" s="128">
        <v>2100</v>
      </c>
      <c r="AH321" s="128">
        <v>2166.4839825679173</v>
      </c>
      <c r="AI321" s="128">
        <v>2242.9980174550037</v>
      </c>
      <c r="AJ321" s="128">
        <v>2328.7179381532042</v>
      </c>
      <c r="AK321" s="128">
        <v>2417.8666556793323</v>
      </c>
      <c r="AL321" s="128">
        <v>2510.5813219065058</v>
      </c>
      <c r="AM321" s="128">
        <v>2607.0045747827662</v>
      </c>
      <c r="AN321" s="128">
        <f t="shared" ref="AN321:AX321" si="125">AM321*(1+AN3)</f>
        <v>2711.2847577740768</v>
      </c>
      <c r="AO321" s="128">
        <f t="shared" si="125"/>
        <v>2819.73614808504</v>
      </c>
      <c r="AP321" s="128">
        <f t="shared" si="125"/>
        <v>2932.5255940084417</v>
      </c>
      <c r="AQ321" s="128">
        <f t="shared" si="125"/>
        <v>3049.8266177687792</v>
      </c>
      <c r="AR321" s="128">
        <f t="shared" si="125"/>
        <v>3171.8196824795305</v>
      </c>
      <c r="AS321" s="128">
        <f t="shared" si="125"/>
        <v>3298.6924697787117</v>
      </c>
      <c r="AT321" s="128">
        <f t="shared" si="125"/>
        <v>3430.6401685698602</v>
      </c>
      <c r="AU321" s="128">
        <f t="shared" si="125"/>
        <v>3567.8657753126549</v>
      </c>
      <c r="AV321" s="128">
        <f t="shared" si="125"/>
        <v>3710.5804063251612</v>
      </c>
      <c r="AW321" s="128">
        <f t="shared" si="125"/>
        <v>3859.0036225781678</v>
      </c>
      <c r="AX321" s="128">
        <f t="shared" si="125"/>
        <v>4013.3637674812944</v>
      </c>
      <c r="AY321" s="128">
        <f t="shared" ref="AY321:BG321" si="126">AX321*(1+AY5)</f>
        <v>4173.8983181805461</v>
      </c>
      <c r="AZ321" s="128">
        <f t="shared" si="126"/>
        <v>4340.8542509077679</v>
      </c>
      <c r="BA321" s="128">
        <f t="shared" si="126"/>
        <v>4514.4884209440788</v>
      </c>
      <c r="BB321" s="128">
        <f t="shared" si="126"/>
        <v>4695.0679577818419</v>
      </c>
      <c r="BC321" s="128">
        <f t="shared" si="126"/>
        <v>4882.8706760931154</v>
      </c>
      <c r="BD321" s="128">
        <f t="shared" si="126"/>
        <v>5078.1855031368405</v>
      </c>
      <c r="BE321" s="128">
        <f t="shared" si="126"/>
        <v>5281.3129232623141</v>
      </c>
      <c r="BF321" s="128">
        <f t="shared" si="126"/>
        <v>5492.5654401928068</v>
      </c>
      <c r="BG321" s="128">
        <f t="shared" si="126"/>
        <v>5712.2680578005193</v>
      </c>
    </row>
    <row r="322" spans="1:59" ht="13.75" customHeight="1">
      <c r="A322" s="141" t="s">
        <v>166</v>
      </c>
      <c r="B322" s="170" t="s">
        <v>413</v>
      </c>
      <c r="C322" s="170" t="s">
        <v>417</v>
      </c>
      <c r="D322" s="170" t="s">
        <v>168</v>
      </c>
      <c r="E322" s="168"/>
      <c r="F322" s="168" t="s">
        <v>442</v>
      </c>
      <c r="G322" s="168" t="s">
        <v>443</v>
      </c>
      <c r="H322" s="168"/>
      <c r="I322" s="168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X322" s="133">
        <v>16.399999999999999</v>
      </c>
      <c r="Y322" s="133">
        <v>20</v>
      </c>
      <c r="Z322" s="133">
        <v>36.9</v>
      </c>
      <c r="AA322" s="133">
        <v>42.603999999999999</v>
      </c>
      <c r="AB322" s="133">
        <v>37.820999999999998</v>
      </c>
      <c r="AC322" s="133">
        <v>22</v>
      </c>
      <c r="AD322" s="133">
        <v>20.117000000000001</v>
      </c>
      <c r="AE322" s="133">
        <v>20.23</v>
      </c>
      <c r="AF322" s="133">
        <v>15</v>
      </c>
      <c r="AG322" s="112">
        <v>22.5</v>
      </c>
      <c r="AH322" s="112">
        <v>22.5</v>
      </c>
      <c r="AI322" s="112">
        <v>22.5</v>
      </c>
      <c r="AJ322" s="112">
        <v>22.5</v>
      </c>
      <c r="AK322" s="112">
        <v>22.5</v>
      </c>
      <c r="AL322" s="112">
        <v>22.5</v>
      </c>
      <c r="AM322" s="112">
        <v>22.5</v>
      </c>
      <c r="AN322" s="133">
        <f>+AM322</f>
        <v>22.5</v>
      </c>
      <c r="AO322" s="133">
        <f t="shared" ref="AO322:AX322" si="127">+AN322</f>
        <v>22.5</v>
      </c>
      <c r="AP322" s="133">
        <f t="shared" si="127"/>
        <v>22.5</v>
      </c>
      <c r="AQ322" s="133">
        <f t="shared" si="127"/>
        <v>22.5</v>
      </c>
      <c r="AR322" s="133">
        <f t="shared" si="127"/>
        <v>22.5</v>
      </c>
      <c r="AS322" s="133">
        <f t="shared" si="127"/>
        <v>22.5</v>
      </c>
      <c r="AT322" s="133">
        <f t="shared" si="127"/>
        <v>22.5</v>
      </c>
      <c r="AU322" s="133">
        <f t="shared" si="127"/>
        <v>22.5</v>
      </c>
      <c r="AV322" s="133">
        <f t="shared" si="127"/>
        <v>22.5</v>
      </c>
      <c r="AW322" s="133">
        <f t="shared" si="127"/>
        <v>22.5</v>
      </c>
      <c r="AX322" s="133">
        <f t="shared" si="127"/>
        <v>22.5</v>
      </c>
      <c r="AY322" s="133">
        <v>20</v>
      </c>
      <c r="AZ322" s="133">
        <v>21</v>
      </c>
      <c r="BA322" s="133">
        <v>22</v>
      </c>
      <c r="BB322" s="133">
        <v>23</v>
      </c>
      <c r="BC322" s="133">
        <f>BB322*(1+((BB322-BA322)/BA322))</f>
        <v>24.045454545454543</v>
      </c>
      <c r="BD322" s="133">
        <f>BC322*(1+((BC322-BB322)/BB322))</f>
        <v>25.138429752066113</v>
      </c>
      <c r="BE322" s="133">
        <f t="shared" ref="BE322:BG322" si="128">BD322*(1+((BD322-BC322)/BC322))</f>
        <v>26.281085649887299</v>
      </c>
      <c r="BF322" s="133">
        <f t="shared" si="128"/>
        <v>27.475680452154901</v>
      </c>
      <c r="BG322" s="133">
        <f t="shared" si="128"/>
        <v>28.724575018161939</v>
      </c>
    </row>
    <row r="323" spans="1:59" ht="13.75" customHeight="1" outlineLevel="1">
      <c r="A323" s="141" t="s">
        <v>166</v>
      </c>
      <c r="B323" s="170" t="s">
        <v>413</v>
      </c>
      <c r="C323" s="170" t="s">
        <v>417</v>
      </c>
      <c r="D323" s="170" t="s">
        <v>168</v>
      </c>
      <c r="E323" s="168"/>
      <c r="F323" s="168" t="s">
        <v>444</v>
      </c>
      <c r="G323" s="168" t="s">
        <v>441</v>
      </c>
      <c r="H323" s="168"/>
      <c r="I323" s="168"/>
      <c r="J323" s="109"/>
      <c r="K323" s="109"/>
      <c r="L323" s="109"/>
      <c r="M323" s="109"/>
      <c r="N323" s="109"/>
      <c r="O323" s="109"/>
      <c r="P323" s="109"/>
      <c r="Q323" s="109"/>
      <c r="R323" s="109"/>
      <c r="S323" s="128">
        <v>971.66666666666663</v>
      </c>
      <c r="T323" s="128">
        <v>1125.8333333333333</v>
      </c>
      <c r="U323" s="128">
        <v>1280</v>
      </c>
      <c r="V323" s="128">
        <v>1083.05125</v>
      </c>
      <c r="W323" s="128">
        <v>764.74416666666673</v>
      </c>
      <c r="X323" s="128">
        <v>597.5</v>
      </c>
      <c r="Y323" s="128">
        <v>521.66666666666663</v>
      </c>
      <c r="Z323" s="128">
        <v>556.25</v>
      </c>
      <c r="AA323" s="128">
        <v>660.41666666666663</v>
      </c>
      <c r="AB323" s="128">
        <v>950</v>
      </c>
      <c r="AC323" s="128">
        <v>958.33333333333337</v>
      </c>
      <c r="AD323" s="128">
        <v>1029.1666666666667</v>
      </c>
      <c r="AE323" s="128">
        <v>1333.3333333333333</v>
      </c>
      <c r="AF323" s="128">
        <v>1500</v>
      </c>
      <c r="AG323" s="128">
        <v>1625</v>
      </c>
      <c r="AH323" s="128">
        <v>1650.3470183540185</v>
      </c>
      <c r="AI323" s="128">
        <v>1679.0487423572267</v>
      </c>
      <c r="AJ323" s="128">
        <v>1710.6297172043712</v>
      </c>
      <c r="AK323" s="128">
        <v>1742.8423115484586</v>
      </c>
      <c r="AL323" s="128">
        <v>1775.6991577794279</v>
      </c>
      <c r="AM323" s="128">
        <v>1809.2131409350166</v>
      </c>
      <c r="AN323" s="128">
        <f t="shared" ref="AN323:AX323" si="129">AM323*(1+AN$5)</f>
        <v>1881.5816665724174</v>
      </c>
      <c r="AO323" s="128">
        <f t="shared" si="129"/>
        <v>1956.8449332353141</v>
      </c>
      <c r="AP323" s="128">
        <f t="shared" si="129"/>
        <v>2035.1187305647268</v>
      </c>
      <c r="AQ323" s="128">
        <f t="shared" si="129"/>
        <v>2116.5234797873159</v>
      </c>
      <c r="AR323" s="128">
        <f t="shared" si="129"/>
        <v>2201.1844189788085</v>
      </c>
      <c r="AS323" s="128">
        <f t="shared" si="129"/>
        <v>2289.231795737961</v>
      </c>
      <c r="AT323" s="128">
        <f t="shared" si="129"/>
        <v>2380.8010675674795</v>
      </c>
      <c r="AU323" s="128">
        <f t="shared" si="129"/>
        <v>2476.0331102701789</v>
      </c>
      <c r="AV323" s="128">
        <f t="shared" si="129"/>
        <v>2575.0744346809861</v>
      </c>
      <c r="AW323" s="128">
        <f t="shared" si="129"/>
        <v>2678.0774120682258</v>
      </c>
      <c r="AX323" s="128">
        <f t="shared" si="129"/>
        <v>2785.200508550955</v>
      </c>
      <c r="AY323" s="128">
        <f t="shared" ref="AY323:BG323" si="130">AX323*(1+AY$5/2)</f>
        <v>2840.904518721974</v>
      </c>
      <c r="AZ323" s="128">
        <f t="shared" si="130"/>
        <v>2897.7226090964136</v>
      </c>
      <c r="BA323" s="128">
        <f t="shared" si="130"/>
        <v>2955.6770612783421</v>
      </c>
      <c r="BB323" s="128">
        <f t="shared" si="130"/>
        <v>3014.7906025039088</v>
      </c>
      <c r="BC323" s="128">
        <f t="shared" si="130"/>
        <v>3075.0864145539872</v>
      </c>
      <c r="BD323" s="128">
        <f t="shared" si="130"/>
        <v>3136.5881428450671</v>
      </c>
      <c r="BE323" s="128">
        <f t="shared" si="130"/>
        <v>3199.3199057019683</v>
      </c>
      <c r="BF323" s="128">
        <f t="shared" si="130"/>
        <v>3263.3063038160076</v>
      </c>
      <c r="BG323" s="128">
        <f t="shared" si="130"/>
        <v>3328.5724298923278</v>
      </c>
    </row>
    <row r="324" spans="1:59" ht="13.75" customHeight="1" outlineLevel="1">
      <c r="A324" s="141" t="s">
        <v>166</v>
      </c>
      <c r="B324" s="170" t="s">
        <v>413</v>
      </c>
      <c r="C324" s="170" t="s">
        <v>417</v>
      </c>
      <c r="D324" s="170" t="s">
        <v>168</v>
      </c>
      <c r="E324" s="168"/>
      <c r="F324" s="168" t="s">
        <v>445</v>
      </c>
      <c r="G324" s="168" t="s">
        <v>3</v>
      </c>
      <c r="H324" s="168"/>
      <c r="I324" s="168"/>
      <c r="J324" s="109"/>
      <c r="K324" s="109"/>
      <c r="L324" s="109"/>
      <c r="M324" s="109"/>
      <c r="N324" s="109"/>
      <c r="O324" s="109"/>
      <c r="P324" s="109"/>
      <c r="Q324" s="107">
        <v>0.15140845070422526</v>
      </c>
      <c r="R324" s="107">
        <v>-0.21630988786952088</v>
      </c>
      <c r="S324" s="107">
        <v>0.20031217481789798</v>
      </c>
      <c r="T324" s="107">
        <v>0.15604681404421328</v>
      </c>
      <c r="U324" s="107">
        <v>0.10348706411698538</v>
      </c>
      <c r="V324" s="107">
        <v>5.8783554196398136E-2</v>
      </c>
      <c r="W324" s="107">
        <v>3.145057766367132E-2</v>
      </c>
      <c r="X324" s="107">
        <v>-7.9340385812072145E-2</v>
      </c>
      <c r="Y324" s="107">
        <v>0.10273741128759717</v>
      </c>
      <c r="Z324" s="107">
        <v>0.19000919399325777</v>
      </c>
      <c r="AA324" s="107">
        <v>0.14318825650270406</v>
      </c>
      <c r="AB324" s="107">
        <v>0.1236765037170533</v>
      </c>
      <c r="AC324" s="107">
        <v>0.16511026463512435</v>
      </c>
      <c r="AD324" s="107">
        <v>0.11890590666549672</v>
      </c>
      <c r="AE324" s="107">
        <v>4.3896127899454296E-3</v>
      </c>
      <c r="AF324" s="107">
        <v>0.12462253300823467</v>
      </c>
      <c r="AG324" s="107">
        <v>9.2385063301633305E-2</v>
      </c>
      <c r="AH324" s="107">
        <v>8.2647422790408695E-2</v>
      </c>
      <c r="AI324" s="107">
        <v>6.876651447932268E-2</v>
      </c>
      <c r="AJ324" s="107">
        <v>6.5642284339342591E-2</v>
      </c>
      <c r="AK324" s="107">
        <v>6.3690629293862697E-2</v>
      </c>
      <c r="AL324" s="107">
        <v>6.2964363602310378E-2</v>
      </c>
      <c r="AM324" s="107">
        <v>6.186970450745731E-2</v>
      </c>
      <c r="AN324" s="107">
        <v>4.4999999999999998E-2</v>
      </c>
      <c r="AO324" s="107">
        <f t="shared" ref="AO324:BG324" si="131">+AN324</f>
        <v>4.4999999999999998E-2</v>
      </c>
      <c r="AP324" s="107">
        <f t="shared" si="131"/>
        <v>4.4999999999999998E-2</v>
      </c>
      <c r="AQ324" s="107">
        <f t="shared" si="131"/>
        <v>4.4999999999999998E-2</v>
      </c>
      <c r="AR324" s="107">
        <f t="shared" si="131"/>
        <v>4.4999999999999998E-2</v>
      </c>
      <c r="AS324" s="107">
        <f t="shared" si="131"/>
        <v>4.4999999999999998E-2</v>
      </c>
      <c r="AT324" s="107">
        <f t="shared" si="131"/>
        <v>4.4999999999999998E-2</v>
      </c>
      <c r="AU324" s="107">
        <f t="shared" si="131"/>
        <v>4.4999999999999998E-2</v>
      </c>
      <c r="AV324" s="107">
        <f t="shared" si="131"/>
        <v>4.4999999999999998E-2</v>
      </c>
      <c r="AW324" s="107">
        <f t="shared" si="131"/>
        <v>4.4999999999999998E-2</v>
      </c>
      <c r="AX324" s="107">
        <f t="shared" si="131"/>
        <v>4.4999999999999998E-2</v>
      </c>
      <c r="AY324" s="107">
        <f t="shared" si="131"/>
        <v>4.4999999999999998E-2</v>
      </c>
      <c r="AZ324" s="107">
        <f t="shared" si="131"/>
        <v>4.4999999999999998E-2</v>
      </c>
      <c r="BA324" s="107">
        <f t="shared" si="131"/>
        <v>4.4999999999999998E-2</v>
      </c>
      <c r="BB324" s="107">
        <f t="shared" si="131"/>
        <v>4.4999999999999998E-2</v>
      </c>
      <c r="BC324" s="107">
        <f t="shared" si="131"/>
        <v>4.4999999999999998E-2</v>
      </c>
      <c r="BD324" s="107">
        <f t="shared" si="131"/>
        <v>4.4999999999999998E-2</v>
      </c>
      <c r="BE324" s="107">
        <f t="shared" si="131"/>
        <v>4.4999999999999998E-2</v>
      </c>
      <c r="BF324" s="107">
        <f t="shared" si="131"/>
        <v>4.4999999999999998E-2</v>
      </c>
      <c r="BG324" s="107">
        <f t="shared" si="131"/>
        <v>4.4999999999999998E-2</v>
      </c>
    </row>
    <row r="325" spans="1:59" ht="13.75" customHeight="1" outlineLevel="1">
      <c r="A325" s="141" t="s">
        <v>166</v>
      </c>
      <c r="B325" s="170" t="s">
        <v>413</v>
      </c>
      <c r="C325" s="170" t="s">
        <v>414</v>
      </c>
      <c r="D325" s="170" t="s">
        <v>168</v>
      </c>
      <c r="E325" s="168"/>
      <c r="F325" s="168" t="s">
        <v>446</v>
      </c>
      <c r="G325" s="168" t="s">
        <v>3</v>
      </c>
      <c r="H325" s="168"/>
      <c r="I325" s="168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X325" s="107">
        <v>-0.16492083993052098</v>
      </c>
      <c r="Y325" s="107">
        <v>-0.15255721133965194</v>
      </c>
      <c r="Z325" s="107">
        <v>0.32269592095810884</v>
      </c>
      <c r="AA325" s="107">
        <v>0.12076818601514416</v>
      </c>
      <c r="AB325" s="107">
        <v>8.3105885775112354E-2</v>
      </c>
      <c r="AC325" s="107">
        <v>-0.76922335179826584</v>
      </c>
      <c r="AD325" s="156">
        <v>0.71350011313218742</v>
      </c>
      <c r="AE325" s="107">
        <v>2.9343036924097454E-2</v>
      </c>
      <c r="AF325" s="107">
        <v>0.19471947194719497</v>
      </c>
      <c r="AG325" s="107">
        <v>0.1020408163265305</v>
      </c>
      <c r="AH325" s="107">
        <v>7.8703703703703498E-2</v>
      </c>
      <c r="AI325" s="107">
        <v>6.8669527896995763E-2</v>
      </c>
      <c r="AJ325" s="107">
        <v>6.2248995983935851E-2</v>
      </c>
      <c r="AK325" s="107">
        <v>6.2381852551985029E-2</v>
      </c>
      <c r="AL325" s="107">
        <v>5.3380782918149405E-2</v>
      </c>
      <c r="AM325" s="107">
        <v>5.0675675675675658E-2</v>
      </c>
      <c r="AN325" s="107">
        <v>0.04</v>
      </c>
      <c r="AO325" s="107">
        <f t="shared" ref="AO325:BD326" si="132">AN325</f>
        <v>0.04</v>
      </c>
      <c r="AP325" s="107">
        <f t="shared" si="132"/>
        <v>0.04</v>
      </c>
      <c r="AQ325" s="107">
        <f t="shared" si="132"/>
        <v>0.04</v>
      </c>
      <c r="AR325" s="107">
        <f t="shared" si="132"/>
        <v>0.04</v>
      </c>
      <c r="AS325" s="107">
        <f t="shared" si="132"/>
        <v>0.04</v>
      </c>
      <c r="AT325" s="107">
        <f t="shared" si="132"/>
        <v>0.04</v>
      </c>
      <c r="AU325" s="107">
        <f t="shared" si="132"/>
        <v>0.04</v>
      </c>
      <c r="AV325" s="107">
        <f t="shared" si="132"/>
        <v>0.04</v>
      </c>
      <c r="AW325" s="107">
        <f t="shared" si="132"/>
        <v>0.04</v>
      </c>
      <c r="AX325" s="107">
        <f t="shared" si="132"/>
        <v>0.04</v>
      </c>
      <c r="AY325" s="107">
        <f t="shared" si="132"/>
        <v>0.04</v>
      </c>
      <c r="AZ325" s="107">
        <f t="shared" si="132"/>
        <v>0.04</v>
      </c>
      <c r="BA325" s="107">
        <f t="shared" si="132"/>
        <v>0.04</v>
      </c>
      <c r="BB325" s="107">
        <f t="shared" si="132"/>
        <v>0.04</v>
      </c>
      <c r="BC325" s="107">
        <f t="shared" si="132"/>
        <v>0.04</v>
      </c>
      <c r="BD325" s="107">
        <f t="shared" si="132"/>
        <v>0.04</v>
      </c>
      <c r="BE325" s="107">
        <f t="shared" ref="BE325:BG326" si="133">BD325</f>
        <v>0.04</v>
      </c>
      <c r="BF325" s="107">
        <f t="shared" si="133"/>
        <v>0.04</v>
      </c>
      <c r="BG325" s="107">
        <f t="shared" si="133"/>
        <v>0.04</v>
      </c>
    </row>
    <row r="326" spans="1:59" ht="13.75" customHeight="1" outlineLevel="1">
      <c r="A326" s="141" t="s">
        <v>166</v>
      </c>
      <c r="B326" s="170" t="s">
        <v>413</v>
      </c>
      <c r="C326" s="170" t="s">
        <v>414</v>
      </c>
      <c r="D326" s="170" t="s">
        <v>168</v>
      </c>
      <c r="E326" s="168"/>
      <c r="F326" s="168" t="s">
        <v>447</v>
      </c>
      <c r="G326" s="168" t="s">
        <v>3</v>
      </c>
      <c r="H326" s="168"/>
      <c r="I326" s="168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X326" s="107">
        <v>0.13603010050821651</v>
      </c>
      <c r="Y326" s="107">
        <v>7.2944976798719585E-2</v>
      </c>
      <c r="Z326" s="107">
        <v>0.10940673262953249</v>
      </c>
      <c r="AA326" s="107">
        <v>0.10003168724899392</v>
      </c>
      <c r="AB326" s="107">
        <v>5.9772373762017939E-2</v>
      </c>
      <c r="AC326" s="107">
        <v>-0.23016862690538342</v>
      </c>
      <c r="AD326" s="156">
        <v>0.55828129455246756</v>
      </c>
      <c r="AE326" s="107">
        <v>-0.11200925540067508</v>
      </c>
      <c r="AF326" s="107">
        <v>0.10000000000000009</v>
      </c>
      <c r="AG326" s="107">
        <v>5.4775710493328633E-2</v>
      </c>
      <c r="AH326" s="107">
        <v>4.6738030610259829E-2</v>
      </c>
      <c r="AI326" s="107">
        <v>3.9689888857661559E-2</v>
      </c>
      <c r="AJ326" s="107">
        <v>3.8174737758842836E-2</v>
      </c>
      <c r="AK326" s="107">
        <v>3.6771013944388864E-2</v>
      </c>
      <c r="AL326" s="107">
        <v>3.5466861486119106E-2</v>
      </c>
      <c r="AM326" s="107">
        <v>3.4252048815175629E-2</v>
      </c>
      <c r="AN326" s="107">
        <v>0.04</v>
      </c>
      <c r="AO326" s="107">
        <f t="shared" si="132"/>
        <v>0.04</v>
      </c>
      <c r="AP326" s="107">
        <f t="shared" si="132"/>
        <v>0.04</v>
      </c>
      <c r="AQ326" s="107">
        <f t="shared" si="132"/>
        <v>0.04</v>
      </c>
      <c r="AR326" s="107">
        <f t="shared" si="132"/>
        <v>0.04</v>
      </c>
      <c r="AS326" s="107">
        <f t="shared" si="132"/>
        <v>0.04</v>
      </c>
      <c r="AT326" s="107">
        <f t="shared" si="132"/>
        <v>0.04</v>
      </c>
      <c r="AU326" s="107">
        <f t="shared" si="132"/>
        <v>0.04</v>
      </c>
      <c r="AV326" s="107">
        <f t="shared" si="132"/>
        <v>0.04</v>
      </c>
      <c r="AW326" s="107">
        <f t="shared" si="132"/>
        <v>0.04</v>
      </c>
      <c r="AX326" s="107">
        <f t="shared" si="132"/>
        <v>0.04</v>
      </c>
      <c r="AY326" s="107">
        <f t="shared" si="132"/>
        <v>0.04</v>
      </c>
      <c r="AZ326" s="107">
        <f t="shared" si="132"/>
        <v>0.04</v>
      </c>
      <c r="BA326" s="107">
        <f t="shared" si="132"/>
        <v>0.04</v>
      </c>
      <c r="BB326" s="107">
        <f t="shared" si="132"/>
        <v>0.04</v>
      </c>
      <c r="BC326" s="107">
        <f t="shared" si="132"/>
        <v>0.04</v>
      </c>
      <c r="BD326" s="107">
        <f t="shared" si="132"/>
        <v>0.04</v>
      </c>
      <c r="BE326" s="107">
        <f t="shared" si="133"/>
        <v>0.04</v>
      </c>
      <c r="BF326" s="107">
        <f t="shared" si="133"/>
        <v>0.04</v>
      </c>
      <c r="BG326" s="107">
        <f t="shared" si="133"/>
        <v>0.04</v>
      </c>
    </row>
    <row r="327" spans="1:59" ht="13.75" customHeight="1" outlineLevel="1">
      <c r="A327" s="141" t="s">
        <v>166</v>
      </c>
      <c r="B327" s="170" t="s">
        <v>413</v>
      </c>
      <c r="C327" s="170"/>
      <c r="D327" s="170"/>
      <c r="E327" s="168"/>
      <c r="F327" s="168"/>
      <c r="G327" s="168"/>
      <c r="H327" s="168"/>
      <c r="I327" s="168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AG327" s="116"/>
      <c r="AH327" s="116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</row>
    <row r="328" spans="1:59" ht="13.75" customHeight="1" outlineLevel="1">
      <c r="A328" s="141" t="s">
        <v>166</v>
      </c>
      <c r="B328" s="170" t="s">
        <v>413</v>
      </c>
      <c r="C328" s="170"/>
      <c r="D328" s="170"/>
      <c r="E328" s="168"/>
      <c r="F328" s="168"/>
      <c r="G328" s="168"/>
      <c r="H328" s="168"/>
      <c r="I328" s="168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AG328" s="120"/>
      <c r="AH328" s="120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</row>
    <row r="329" spans="1:59" ht="13.75" customHeight="1" outlineLevel="1">
      <c r="A329" s="141" t="s">
        <v>166</v>
      </c>
      <c r="B329" s="170" t="s">
        <v>413</v>
      </c>
      <c r="C329" s="170"/>
      <c r="D329" s="170"/>
      <c r="E329" s="168"/>
      <c r="F329" s="168"/>
      <c r="G329" s="168"/>
      <c r="H329" s="168"/>
      <c r="I329" s="168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AG329" s="116"/>
      <c r="AH329" s="116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</row>
    <row r="330" spans="1:59" ht="13.75" customHeight="1" outlineLevel="1">
      <c r="A330" s="141" t="s">
        <v>166</v>
      </c>
      <c r="B330" s="170" t="s">
        <v>413</v>
      </c>
      <c r="C330" s="170"/>
      <c r="D330" s="170"/>
      <c r="E330" s="168"/>
      <c r="F330" s="168"/>
      <c r="G330" s="168"/>
      <c r="H330" s="168"/>
      <c r="I330" s="168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AG330" s="116"/>
      <c r="AH330" s="116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</row>
    <row r="331" spans="1:59" ht="13.75" customHeight="1" outlineLevel="1">
      <c r="A331" s="141" t="s">
        <v>166</v>
      </c>
      <c r="B331" s="170" t="s">
        <v>413</v>
      </c>
      <c r="C331" s="170"/>
      <c r="D331" s="170"/>
      <c r="E331" s="168"/>
      <c r="F331" s="168"/>
      <c r="G331" s="168"/>
      <c r="H331" s="168"/>
      <c r="I331" s="168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AG331" s="116"/>
      <c r="AH331" s="116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</row>
    <row r="332" spans="1:59" ht="13.75" customHeight="1" outlineLevel="1">
      <c r="B332" s="170"/>
      <c r="C332" s="170"/>
      <c r="D332" s="170"/>
      <c r="E332" s="168"/>
      <c r="F332" s="168"/>
      <c r="G332" s="168"/>
      <c r="H332" s="168"/>
      <c r="I332" s="168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AG332" s="116"/>
      <c r="AH332" s="116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</row>
    <row r="333" spans="1:59" ht="13.75" customHeight="1" outlineLevel="1">
      <c r="B333" s="170"/>
      <c r="C333" s="170"/>
      <c r="D333" s="170"/>
      <c r="E333" s="168"/>
      <c r="F333" s="168"/>
      <c r="G333" s="168"/>
      <c r="H333" s="168"/>
      <c r="I333" s="168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AG333" s="116"/>
      <c r="AH333" s="116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</row>
    <row r="334" spans="1:59" ht="13.75" customHeight="1" outlineLevel="1">
      <c r="B334" s="170"/>
      <c r="C334" s="170"/>
      <c r="D334" s="170"/>
      <c r="E334" s="168"/>
      <c r="F334" s="168"/>
      <c r="G334" s="168"/>
      <c r="H334" s="168"/>
      <c r="I334" s="168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AG334" s="116"/>
      <c r="AH334" s="116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</row>
    <row r="335" spans="1:59" ht="13.75" customHeight="1" outlineLevel="1">
      <c r="B335" s="170"/>
      <c r="C335" s="170"/>
      <c r="D335" s="170"/>
      <c r="E335" s="168"/>
      <c r="F335" s="168"/>
      <c r="G335" s="168"/>
      <c r="H335" s="168"/>
      <c r="I335" s="168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AG335" s="116"/>
      <c r="AH335" s="116"/>
      <c r="AN335" s="107"/>
      <c r="AO335" s="107"/>
      <c r="AP335" s="107"/>
      <c r="AQ335" s="107"/>
      <c r="AR335" s="107"/>
      <c r="AS335" s="107"/>
      <c r="AT335" s="107"/>
      <c r="AU335" s="107"/>
      <c r="AV335" s="107"/>
      <c r="AW335" s="107"/>
      <c r="AX335" s="107"/>
      <c r="AY335" s="107"/>
      <c r="AZ335" s="107"/>
      <c r="BA335" s="107"/>
      <c r="BB335" s="107"/>
      <c r="BC335" s="107"/>
      <c r="BD335" s="107"/>
      <c r="BE335" s="107"/>
      <c r="BF335" s="107"/>
      <c r="BG335" s="107"/>
    </row>
    <row r="336" spans="1:59" ht="13.75" customHeight="1" outlineLevel="1">
      <c r="B336" s="170"/>
      <c r="C336" s="170"/>
      <c r="D336" s="170"/>
      <c r="E336" s="168"/>
      <c r="F336" s="168"/>
      <c r="G336" s="168"/>
      <c r="H336" s="168"/>
      <c r="I336" s="168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AG336" s="116"/>
      <c r="AH336" s="116"/>
      <c r="AN336" s="107"/>
      <c r="AO336" s="107"/>
      <c r="AP336" s="107"/>
      <c r="AQ336" s="107"/>
      <c r="AR336" s="107"/>
      <c r="AS336" s="107"/>
      <c r="AT336" s="107"/>
      <c r="AU336" s="107"/>
      <c r="AV336" s="107"/>
      <c r="AW336" s="107"/>
      <c r="AX336" s="107"/>
      <c r="AY336" s="107"/>
      <c r="AZ336" s="107"/>
      <c r="BA336" s="107"/>
      <c r="BB336" s="107"/>
      <c r="BC336" s="107"/>
      <c r="BD336" s="107"/>
      <c r="BE336" s="107"/>
      <c r="BF336" s="107"/>
      <c r="BG336" s="107"/>
    </row>
    <row r="337" spans="1:59" ht="13.75" customHeight="1" outlineLevel="1">
      <c r="B337" s="170"/>
      <c r="C337" s="170"/>
      <c r="D337" s="170"/>
      <c r="E337" s="168"/>
      <c r="F337" s="168"/>
      <c r="G337" s="168"/>
      <c r="H337" s="168"/>
      <c r="I337" s="168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AG337" s="116"/>
      <c r="AH337" s="116"/>
      <c r="AI337" s="161"/>
      <c r="AJ337" s="161"/>
      <c r="AK337" s="161"/>
      <c r="AL337" s="161"/>
      <c r="AM337" s="161"/>
      <c r="AN337" s="107"/>
      <c r="AO337" s="107"/>
      <c r="AP337" s="107"/>
      <c r="AQ337" s="107"/>
      <c r="AR337" s="107"/>
      <c r="AS337" s="107"/>
      <c r="AT337" s="107"/>
      <c r="AU337" s="107"/>
      <c r="AV337" s="107"/>
      <c r="AW337" s="107"/>
      <c r="AX337" s="107"/>
      <c r="AY337" s="107"/>
      <c r="AZ337" s="107"/>
      <c r="BA337" s="107"/>
      <c r="BB337" s="107"/>
      <c r="BC337" s="107"/>
      <c r="BD337" s="107"/>
      <c r="BE337" s="107"/>
      <c r="BF337" s="107"/>
      <c r="BG337" s="107"/>
    </row>
    <row r="338" spans="1:59" ht="13.75" customHeight="1">
      <c r="A338" s="141" t="s">
        <v>166</v>
      </c>
      <c r="B338" s="170" t="s">
        <v>448</v>
      </c>
      <c r="C338" s="170"/>
      <c r="D338" s="170" t="s">
        <v>168</v>
      </c>
      <c r="E338" s="168"/>
      <c r="F338" s="168" t="s">
        <v>449</v>
      </c>
      <c r="G338" s="168" t="s">
        <v>4</v>
      </c>
      <c r="H338" s="168"/>
      <c r="I338" s="168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28"/>
      <c r="V338" s="128"/>
      <c r="W338" s="128">
        <v>2212.9166666666665</v>
      </c>
      <c r="X338" s="128">
        <v>1569.8333333333333</v>
      </c>
      <c r="Y338" s="128">
        <v>1365.6666666666667</v>
      </c>
      <c r="Z338" s="128">
        <v>1880.75</v>
      </c>
      <c r="AA338" s="128">
        <v>2097</v>
      </c>
      <c r="AB338" s="128">
        <v>1535.25</v>
      </c>
      <c r="AC338" s="128">
        <v>1148.1666666666667</v>
      </c>
      <c r="AD338" s="128">
        <v>1967.9166666666667</v>
      </c>
      <c r="AE338" s="128">
        <v>2006</v>
      </c>
      <c r="AF338" s="128">
        <v>1868.6717884615482</v>
      </c>
      <c r="AG338" s="128">
        <v>2316.7809080579127</v>
      </c>
      <c r="AH338" s="128">
        <v>2175.9283676689192</v>
      </c>
      <c r="AI338" s="119">
        <v>2097.3201455612102</v>
      </c>
      <c r="AJ338" s="119">
        <v>2149.1649758935832</v>
      </c>
      <c r="AK338" s="119">
        <v>2192.148275411455</v>
      </c>
      <c r="AL338" s="119">
        <v>2235.9912409196841</v>
      </c>
      <c r="AM338" s="119">
        <v>2280.7110657380777</v>
      </c>
      <c r="AN338" s="119">
        <v>2326.325287052839</v>
      </c>
      <c r="AO338" s="119">
        <v>2372.851792793896</v>
      </c>
      <c r="AP338" s="119">
        <v>2420.3088286497741</v>
      </c>
      <c r="AQ338" s="119">
        <v>2468.7150052227698</v>
      </c>
      <c r="AR338" s="119">
        <v>2518.0893053272252</v>
      </c>
      <c r="AS338" s="119">
        <v>2568.4510914337698</v>
      </c>
      <c r="AT338" s="119">
        <v>2619.8201132624454</v>
      </c>
      <c r="AU338" s="119">
        <v>2672.2165155276944</v>
      </c>
      <c r="AV338" s="119">
        <v>2725.6608458382484</v>
      </c>
      <c r="AW338" s="119">
        <v>2780.1740627550134</v>
      </c>
      <c r="AX338" s="119">
        <v>2835.7775440101136</v>
      </c>
      <c r="AY338" s="119">
        <v>2892.4930948903161</v>
      </c>
      <c r="AZ338" s="119">
        <v>2950.3429567881226</v>
      </c>
      <c r="BA338" s="119">
        <v>3009.3498159238852</v>
      </c>
      <c r="BB338" s="119">
        <v>3069.5368122423629</v>
      </c>
      <c r="BC338" s="119">
        <f t="shared" ref="BC338:BG342" si="134">BB338*(1+((BB338-BA338)/BA338))</f>
        <v>3130.9275484872101</v>
      </c>
      <c r="BD338" s="119">
        <f t="shared" si="134"/>
        <v>3193.5460994569544</v>
      </c>
      <c r="BE338" s="119">
        <f t="shared" si="134"/>
        <v>3257.4170214460937</v>
      </c>
      <c r="BF338" s="119">
        <f t="shared" si="134"/>
        <v>3322.5653618750157</v>
      </c>
      <c r="BG338" s="119">
        <f t="shared" si="134"/>
        <v>3389.016669112516</v>
      </c>
    </row>
    <row r="339" spans="1:59" ht="13.75" customHeight="1">
      <c r="A339" s="141" t="s">
        <v>166</v>
      </c>
      <c r="B339" s="170" t="s">
        <v>448</v>
      </c>
      <c r="C339" s="170"/>
      <c r="D339" s="170" t="s">
        <v>377</v>
      </c>
      <c r="E339" s="168"/>
      <c r="F339" s="168" t="s">
        <v>450</v>
      </c>
      <c r="G339" s="168" t="s">
        <v>4</v>
      </c>
      <c r="H339" s="168"/>
      <c r="I339" s="168" t="s">
        <v>451</v>
      </c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28"/>
      <c r="V339" s="128"/>
      <c r="W339" s="128"/>
      <c r="X339" s="128"/>
      <c r="Y339" s="128"/>
      <c r="Z339" s="128"/>
      <c r="AA339" s="128">
        <v>2297</v>
      </c>
      <c r="AB339" s="128">
        <v>2531.25</v>
      </c>
      <c r="AC339" s="128">
        <v>2173.8868725902157</v>
      </c>
      <c r="AD339" s="128">
        <v>2357.7921733969361</v>
      </c>
      <c r="AE339" s="128">
        <v>2558.6089942709536</v>
      </c>
      <c r="AF339" s="128">
        <v>2687.6703168495969</v>
      </c>
      <c r="AG339" s="128">
        <v>2803.8332629840775</v>
      </c>
      <c r="AH339" s="112">
        <v>2803.8332629840775</v>
      </c>
      <c r="AI339" s="119">
        <v>2803.8332629840775</v>
      </c>
      <c r="AJ339" s="119">
        <v>2807.1164467756089</v>
      </c>
      <c r="AK339" s="119">
        <v>2810.4127633023058</v>
      </c>
      <c r="AL339" s="119">
        <v>2813.7222650951098</v>
      </c>
      <c r="AM339" s="119">
        <v>2817.0450048950852</v>
      </c>
      <c r="AN339" s="119">
        <v>2828.3131849146657</v>
      </c>
      <c r="AO339" s="119">
        <v>2839.6264376543245</v>
      </c>
      <c r="AP339" s="119">
        <v>2850.984943404942</v>
      </c>
      <c r="AQ339" s="119">
        <v>2862.3888831785616</v>
      </c>
      <c r="AR339" s="119">
        <v>2873.838438711276</v>
      </c>
      <c r="AS339" s="119">
        <v>2885.3337924661209</v>
      </c>
      <c r="AT339" s="119">
        <v>2896.8751276359853</v>
      </c>
      <c r="AU339" s="119">
        <v>2908.4626281465294</v>
      </c>
      <c r="AV339" s="119">
        <v>2920.0964786591153</v>
      </c>
      <c r="AW339" s="119">
        <v>2931.7768645737519</v>
      </c>
      <c r="AX339" s="119">
        <v>2943.5039720320469</v>
      </c>
      <c r="AY339" s="119">
        <v>2955.2779879201753</v>
      </c>
      <c r="AZ339" s="119">
        <v>2955.2779879201753</v>
      </c>
      <c r="BA339" s="119">
        <v>2955.2779879201753</v>
      </c>
      <c r="BB339" s="119">
        <v>2955.2779879201753</v>
      </c>
      <c r="BC339" s="119">
        <f t="shared" si="134"/>
        <v>2955.2779879201753</v>
      </c>
      <c r="BD339" s="119">
        <f t="shared" si="134"/>
        <v>2955.2779879201753</v>
      </c>
      <c r="BE339" s="119">
        <f t="shared" si="134"/>
        <v>2955.2779879201753</v>
      </c>
      <c r="BF339" s="119">
        <f t="shared" si="134"/>
        <v>2955.2779879201753</v>
      </c>
      <c r="BG339" s="119">
        <f t="shared" si="134"/>
        <v>2955.2779879201753</v>
      </c>
    </row>
    <row r="340" spans="1:59" ht="13.75" customHeight="1">
      <c r="A340" s="141" t="s">
        <v>166</v>
      </c>
      <c r="B340" s="170" t="s">
        <v>448</v>
      </c>
      <c r="C340" s="170"/>
      <c r="D340" s="170" t="s">
        <v>168</v>
      </c>
      <c r="E340" s="168"/>
      <c r="F340" s="168" t="s">
        <v>452</v>
      </c>
      <c r="G340" s="168" t="s">
        <v>4</v>
      </c>
      <c r="H340" s="168"/>
      <c r="I340" s="168" t="s">
        <v>453</v>
      </c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28">
        <v>400.8502125</v>
      </c>
      <c r="V340" s="186">
        <v>499.14800624999998</v>
      </c>
      <c r="W340" s="186">
        <v>388.20847499999996</v>
      </c>
      <c r="X340" s="186">
        <v>309</v>
      </c>
      <c r="Y340" s="186">
        <v>228</v>
      </c>
      <c r="Z340" s="186">
        <v>336</v>
      </c>
      <c r="AA340" s="186">
        <v>404</v>
      </c>
      <c r="AB340" s="186">
        <v>268.45</v>
      </c>
      <c r="AC340" s="186">
        <v>242.00491666666667</v>
      </c>
      <c r="AD340" s="186">
        <v>350</v>
      </c>
      <c r="AE340" s="186">
        <v>379.89514356489553</v>
      </c>
      <c r="AF340" s="192">
        <v>301.84106966147061</v>
      </c>
      <c r="AG340" s="186">
        <v>403.9038017388321</v>
      </c>
      <c r="AH340" s="188">
        <v>382.64800574527857</v>
      </c>
      <c r="AI340" s="189">
        <v>361.93877266455769</v>
      </c>
      <c r="AJ340" s="189">
        <v>363.43077127671449</v>
      </c>
      <c r="AK340" s="189">
        <v>370.69938670224877</v>
      </c>
      <c r="AL340" s="189">
        <v>378.11337443629378</v>
      </c>
      <c r="AM340" s="189">
        <v>385.67564192501965</v>
      </c>
      <c r="AN340" s="189">
        <v>393.38915476352003</v>
      </c>
      <c r="AO340" s="189">
        <v>401.25693785879042</v>
      </c>
      <c r="AP340" s="189">
        <v>409.28207661596622</v>
      </c>
      <c r="AQ340" s="189">
        <v>417.46771814828554</v>
      </c>
      <c r="AR340" s="189">
        <v>425.81707251125124</v>
      </c>
      <c r="AS340" s="189">
        <v>434.33341396147625</v>
      </c>
      <c r="AT340" s="189">
        <v>443.02008224070579</v>
      </c>
      <c r="AU340" s="189">
        <v>451.88048388551994</v>
      </c>
      <c r="AV340" s="189">
        <v>460.91809356323034</v>
      </c>
      <c r="AW340" s="189">
        <v>470.13645543449496</v>
      </c>
      <c r="AX340" s="189">
        <v>479.53918454318489</v>
      </c>
      <c r="AY340" s="189">
        <v>489.12996823404859</v>
      </c>
      <c r="AZ340" s="189">
        <v>498.91256759872959</v>
      </c>
      <c r="BA340" s="189">
        <v>508.89081895070422</v>
      </c>
      <c r="BB340" s="189">
        <v>519.06863532971829</v>
      </c>
      <c r="BC340" s="189">
        <f t="shared" si="134"/>
        <v>529.45000803631262</v>
      </c>
      <c r="BD340" s="189">
        <f t="shared" si="134"/>
        <v>540.03900819703892</v>
      </c>
      <c r="BE340" s="189">
        <f t="shared" si="134"/>
        <v>550.8397883609797</v>
      </c>
      <c r="BF340" s="189">
        <f t="shared" si="134"/>
        <v>561.8565841281993</v>
      </c>
      <c r="BG340" s="189">
        <f t="shared" si="134"/>
        <v>573.09371581076334</v>
      </c>
    </row>
    <row r="341" spans="1:59" ht="13.75" customHeight="1">
      <c r="A341" s="141" t="s">
        <v>166</v>
      </c>
      <c r="B341" s="170" t="s">
        <v>448</v>
      </c>
      <c r="C341" s="170"/>
      <c r="D341" s="170" t="s">
        <v>168</v>
      </c>
      <c r="E341" s="168"/>
      <c r="F341" s="168" t="s">
        <v>454</v>
      </c>
      <c r="G341" s="168" t="s">
        <v>291</v>
      </c>
      <c r="H341" s="168"/>
      <c r="I341" s="168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28">
        <v>34302.92</v>
      </c>
      <c r="V341" s="128">
        <v>33093.68</v>
      </c>
      <c r="W341" s="128">
        <v>35358</v>
      </c>
      <c r="X341" s="128">
        <v>50289</v>
      </c>
      <c r="Y341" s="128">
        <v>46841</v>
      </c>
      <c r="Z341" s="128">
        <v>50028.72</v>
      </c>
      <c r="AA341" s="128">
        <v>63088.539951190418</v>
      </c>
      <c r="AB341" s="128">
        <v>65199</v>
      </c>
      <c r="AC341" s="128">
        <v>60187.062225749447</v>
      </c>
      <c r="AD341" s="128">
        <v>102995.6</v>
      </c>
      <c r="AE341" s="128">
        <v>99907</v>
      </c>
      <c r="AF341" s="128">
        <v>70907.220506559956</v>
      </c>
      <c r="AG341" s="128">
        <v>96368.248870797775</v>
      </c>
      <c r="AH341" s="128">
        <v>97248.10055454247</v>
      </c>
      <c r="AI341" s="119">
        <v>98667.831245144131</v>
      </c>
      <c r="AJ341" s="119">
        <v>101190.00513909145</v>
      </c>
      <c r="AK341" s="119">
        <v>103626.66046284075</v>
      </c>
      <c r="AL341" s="119">
        <v>106121.99044678596</v>
      </c>
      <c r="AM341" s="119">
        <v>108677.40797674455</v>
      </c>
      <c r="AN341" s="119">
        <v>111294.35996082456</v>
      </c>
      <c r="AO341" s="119">
        <v>113974.3281486812</v>
      </c>
      <c r="AP341" s="119">
        <v>116718.82997050145</v>
      </c>
      <c r="AQ341" s="119">
        <v>119529.41939619112</v>
      </c>
      <c r="AR341" s="119">
        <v>122407.6878152514</v>
      </c>
      <c r="AS341" s="119">
        <v>125355.26493784266</v>
      </c>
      <c r="AT341" s="119">
        <v>128373.81971754591</v>
      </c>
      <c r="AU341" s="119">
        <v>131465.06129634444</v>
      </c>
      <c r="AV341" s="119">
        <v>134630.7399723604</v>
      </c>
      <c r="AW341" s="119">
        <v>137872.64819089486</v>
      </c>
      <c r="AX341" s="119">
        <v>141192.62155933163</v>
      </c>
      <c r="AY341" s="119">
        <v>144592.53988648034</v>
      </c>
      <c r="AZ341" s="119">
        <v>148074.3282469468</v>
      </c>
      <c r="BA341" s="119">
        <v>151639.95807113327</v>
      </c>
      <c r="BB341" s="119">
        <v>155291.44826148616</v>
      </c>
      <c r="BC341" s="119">
        <f t="shared" si="134"/>
        <v>159030.86633562276</v>
      </c>
      <c r="BD341" s="119">
        <f t="shared" si="134"/>
        <v>162860.32959698458</v>
      </c>
      <c r="BE341" s="119">
        <f t="shared" si="134"/>
        <v>166782.00633367998</v>
      </c>
      <c r="BF341" s="119">
        <f t="shared" si="134"/>
        <v>170798.11704619502</v>
      </c>
      <c r="BG341" s="119">
        <f t="shared" si="134"/>
        <v>174910.93570466741</v>
      </c>
    </row>
    <row r="342" spans="1:59" ht="13.75" customHeight="1">
      <c r="A342" s="141" t="s">
        <v>166</v>
      </c>
      <c r="B342" s="170" t="s">
        <v>448</v>
      </c>
      <c r="C342" s="170"/>
      <c r="D342" s="170" t="s">
        <v>168</v>
      </c>
      <c r="E342" s="168"/>
      <c r="F342" s="168" t="s">
        <v>455</v>
      </c>
      <c r="G342" s="168" t="s">
        <v>291</v>
      </c>
      <c r="H342" s="168"/>
      <c r="I342" s="168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28">
        <v>8486.2800000000007</v>
      </c>
      <c r="V342" s="128">
        <v>8995.5</v>
      </c>
      <c r="W342" s="128">
        <v>7818</v>
      </c>
      <c r="X342" s="128">
        <v>9984</v>
      </c>
      <c r="Y342" s="128">
        <v>11617</v>
      </c>
      <c r="Z342" s="128">
        <v>11633</v>
      </c>
      <c r="AA342" s="128">
        <v>12014.562399999999</v>
      </c>
      <c r="AB342" s="128">
        <v>12476</v>
      </c>
      <c r="AC342" s="128">
        <v>13342.761666666667</v>
      </c>
      <c r="AD342" s="128">
        <v>13024.14</v>
      </c>
      <c r="AE342" s="128">
        <v>14876</v>
      </c>
      <c r="AF342" s="128">
        <v>15908.907057186181</v>
      </c>
      <c r="AG342" s="128">
        <v>18974.498609050119</v>
      </c>
      <c r="AH342" s="128">
        <v>19742.13268154801</v>
      </c>
      <c r="AI342" s="119">
        <v>20539.544878406738</v>
      </c>
      <c r="AJ342" s="119">
        <v>21034.137119078772</v>
      </c>
      <c r="AK342" s="119">
        <v>21540.639140906191</v>
      </c>
      <c r="AL342" s="119">
        <v>22059.337731419208</v>
      </c>
      <c r="AM342" s="119">
        <v>22590.526583991781</v>
      </c>
      <c r="AN342" s="119">
        <v>23134.506464134309</v>
      </c>
      <c r="AO342" s="119">
        <v>23691.585379790657</v>
      </c>
      <c r="AP342" s="119">
        <v>24262.07875573602</v>
      </c>
      <c r="AQ342" s="119">
        <v>24846.309612174144</v>
      </c>
      <c r="AR342" s="119">
        <v>25444.608747635295</v>
      </c>
      <c r="AS342" s="119">
        <v>26057.314926278359</v>
      </c>
      <c r="AT342" s="119">
        <v>26684.775069703137</v>
      </c>
      <c r="AU342" s="119">
        <v>27327.344453381593</v>
      </c>
      <c r="AV342" s="119">
        <v>27985.386907819022</v>
      </c>
      <c r="AW342" s="119">
        <v>28659.275024559302</v>
      </c>
      <c r="AX342" s="119">
        <v>29349.390367150689</v>
      </c>
      <c r="AY342" s="119">
        <v>30056.123687191681</v>
      </c>
      <c r="AZ342" s="119">
        <v>30779.875145579263</v>
      </c>
      <c r="BA342" s="119">
        <v>31521.054539084813</v>
      </c>
      <c r="BB342" s="119">
        <v>32280.081532385975</v>
      </c>
      <c r="BC342" s="119">
        <f t="shared" si="134"/>
        <v>33057.385895685831</v>
      </c>
      <c r="BD342" s="119">
        <f t="shared" si="134"/>
        <v>33853.407748053949</v>
      </c>
      <c r="BE342" s="119">
        <f t="shared" si="134"/>
        <v>34668.597806627091</v>
      </c>
      <c r="BF342" s="119">
        <f t="shared" si="134"/>
        <v>35503.417641810673</v>
      </c>
      <c r="BG342" s="119">
        <f t="shared" si="134"/>
        <v>36358.339938625475</v>
      </c>
    </row>
    <row r="343" spans="1:59" ht="13.75" customHeight="1">
      <c r="A343" s="141" t="s">
        <v>166</v>
      </c>
      <c r="B343" s="170" t="s">
        <v>448</v>
      </c>
      <c r="C343" s="170"/>
      <c r="D343" s="170" t="s">
        <v>168</v>
      </c>
      <c r="E343" s="168"/>
      <c r="F343" s="168" t="s">
        <v>456</v>
      </c>
      <c r="G343" s="168" t="s">
        <v>291</v>
      </c>
      <c r="H343" s="168"/>
      <c r="I343" s="168" t="s">
        <v>457</v>
      </c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</row>
    <row r="344" spans="1:59" ht="13.75" customHeight="1">
      <c r="A344" s="141" t="s">
        <v>166</v>
      </c>
      <c r="B344" s="170" t="s">
        <v>448</v>
      </c>
      <c r="C344" s="170"/>
      <c r="D344" s="170" t="s">
        <v>168</v>
      </c>
      <c r="E344" s="168"/>
      <c r="F344" s="168" t="s">
        <v>458</v>
      </c>
      <c r="G344" s="168" t="s">
        <v>291</v>
      </c>
      <c r="H344" s="168"/>
      <c r="I344" s="168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28">
        <v>26328.38</v>
      </c>
      <c r="V344" s="128">
        <v>27279.35</v>
      </c>
      <c r="W344" s="128">
        <v>23080</v>
      </c>
      <c r="X344" s="128">
        <v>0</v>
      </c>
      <c r="Y344" s="128">
        <v>0</v>
      </c>
      <c r="Z344" s="128">
        <v>0</v>
      </c>
      <c r="AA344" s="128">
        <v>0</v>
      </c>
      <c r="AB344" s="128">
        <v>0</v>
      </c>
      <c r="AC344" s="128">
        <v>0</v>
      </c>
      <c r="AD344" s="128">
        <v>0</v>
      </c>
      <c r="AE344" s="128">
        <v>0</v>
      </c>
      <c r="AF344" s="128">
        <v>0</v>
      </c>
      <c r="AG344" s="128">
        <v>0</v>
      </c>
      <c r="AH344" s="128">
        <v>0</v>
      </c>
      <c r="AI344" s="128">
        <v>0</v>
      </c>
      <c r="AJ344" s="128">
        <v>0</v>
      </c>
      <c r="AK344" s="128">
        <v>0</v>
      </c>
      <c r="AL344" s="128">
        <v>0</v>
      </c>
      <c r="AM344" s="128">
        <v>0</v>
      </c>
      <c r="AN344" s="128">
        <v>0</v>
      </c>
      <c r="AO344" s="128">
        <v>0</v>
      </c>
      <c r="AP344" s="128">
        <v>0</v>
      </c>
      <c r="AQ344" s="128">
        <v>0</v>
      </c>
      <c r="AR344" s="128">
        <v>0</v>
      </c>
      <c r="AS344" s="128">
        <v>0</v>
      </c>
      <c r="AT344" s="128">
        <v>0</v>
      </c>
      <c r="AU344" s="128">
        <v>0</v>
      </c>
      <c r="AV344" s="128">
        <v>0</v>
      </c>
      <c r="AW344" s="128">
        <v>0</v>
      </c>
      <c r="AX344" s="128">
        <v>0</v>
      </c>
      <c r="AY344" s="128">
        <v>0</v>
      </c>
      <c r="AZ344" s="128">
        <v>0</v>
      </c>
      <c r="BA344" s="128">
        <v>0</v>
      </c>
      <c r="BB344" s="128">
        <v>0</v>
      </c>
      <c r="BC344" s="128">
        <f>BB344</f>
        <v>0</v>
      </c>
      <c r="BD344" s="128">
        <f t="shared" ref="BD344:BG344" si="135">BC344</f>
        <v>0</v>
      </c>
      <c r="BE344" s="128">
        <f t="shared" si="135"/>
        <v>0</v>
      </c>
      <c r="BF344" s="128">
        <f t="shared" si="135"/>
        <v>0</v>
      </c>
      <c r="BG344" s="128">
        <f t="shared" si="135"/>
        <v>0</v>
      </c>
    </row>
    <row r="345" spans="1:59" ht="13.75" customHeight="1" outlineLevel="1">
      <c r="A345" s="141" t="s">
        <v>166</v>
      </c>
      <c r="B345" s="170" t="s">
        <v>448</v>
      </c>
      <c r="C345" s="170"/>
      <c r="D345" s="170" t="s">
        <v>168</v>
      </c>
      <c r="E345" s="168"/>
      <c r="F345" s="168" t="s">
        <v>459</v>
      </c>
      <c r="G345" s="168" t="s">
        <v>4</v>
      </c>
      <c r="H345" s="168"/>
      <c r="I345" s="168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51">
        <v>1197.0833333333333</v>
      </c>
      <c r="X345" s="128">
        <v>691.25</v>
      </c>
      <c r="Y345" s="128">
        <v>642.54166666666663</v>
      </c>
      <c r="Z345" s="128">
        <v>823.70833333333337</v>
      </c>
      <c r="AA345" s="128">
        <v>828.5763888888888</v>
      </c>
      <c r="AB345" s="128">
        <v>646.58333333333337</v>
      </c>
      <c r="AC345" s="128">
        <v>494.45833333333331</v>
      </c>
      <c r="AD345" s="128">
        <v>928.27499999999998</v>
      </c>
      <c r="AE345" s="128">
        <v>1064</v>
      </c>
      <c r="AF345" s="128">
        <v>914.58619579855622</v>
      </c>
      <c r="AG345" s="128">
        <v>1065.2549753412657</v>
      </c>
      <c r="AH345" s="128">
        <v>981.67328125660742</v>
      </c>
      <c r="AI345" s="119">
        <v>935.02727576319967</v>
      </c>
      <c r="AJ345" s="119">
        <v>965.79192322177016</v>
      </c>
      <c r="AK345" s="119">
        <v>985.10776168620555</v>
      </c>
      <c r="AL345" s="119">
        <v>1004.8099169199297</v>
      </c>
      <c r="AM345" s="119">
        <v>1024.9061152583283</v>
      </c>
      <c r="AN345" s="119">
        <v>1045.4042375634949</v>
      </c>
      <c r="AO345" s="119">
        <v>1066.3123223147647</v>
      </c>
      <c r="AP345" s="119">
        <v>1087.63856876106</v>
      </c>
      <c r="AQ345" s="119">
        <v>1109.3913401362813</v>
      </c>
      <c r="AR345" s="119">
        <v>1131.5791669390069</v>
      </c>
      <c r="AS345" s="119">
        <v>1154.2107502777869</v>
      </c>
      <c r="AT345" s="119">
        <v>1177.2949652833427</v>
      </c>
      <c r="AU345" s="119">
        <v>1200.8408645890095</v>
      </c>
      <c r="AV345" s="119">
        <v>1224.8576818807896</v>
      </c>
      <c r="AW345" s="119">
        <v>1249.3548355184055</v>
      </c>
      <c r="AX345" s="119">
        <v>1274.3419322287737</v>
      </c>
      <c r="AY345" s="119">
        <v>1299.8287708733492</v>
      </c>
      <c r="AZ345" s="119">
        <v>1325.8253462908162</v>
      </c>
      <c r="BA345" s="119">
        <v>1352.3418532166327</v>
      </c>
      <c r="BB345" s="119">
        <v>1379.3886902809654</v>
      </c>
      <c r="BC345" s="119">
        <f t="shared" ref="BC345:BG346" si="136">BB345*(1+((BB345-BA345)/BA345))</f>
        <v>1406.9764640865847</v>
      </c>
      <c r="BD345" s="119">
        <f t="shared" si="136"/>
        <v>1435.1159933683164</v>
      </c>
      <c r="BE345" s="119">
        <f t="shared" si="136"/>
        <v>1463.8183132356828</v>
      </c>
      <c r="BF345" s="119">
        <f t="shared" si="136"/>
        <v>1493.0946795003965</v>
      </c>
      <c r="BG345" s="119">
        <f t="shared" si="136"/>
        <v>1522.9565730904044</v>
      </c>
    </row>
    <row r="346" spans="1:59" ht="13.75" customHeight="1" outlineLevel="1">
      <c r="A346" s="141" t="s">
        <v>166</v>
      </c>
      <c r="B346" s="170" t="s">
        <v>448</v>
      </c>
      <c r="C346" s="170"/>
      <c r="D346" s="170" t="s">
        <v>168</v>
      </c>
      <c r="E346" s="168"/>
      <c r="F346" s="168" t="s">
        <v>460</v>
      </c>
      <c r="G346" s="168" t="s">
        <v>4</v>
      </c>
      <c r="H346" s="168"/>
      <c r="I346" s="168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X346" s="116">
        <v>0</v>
      </c>
      <c r="Y346" s="128">
        <v>1095.8490566037735</v>
      </c>
      <c r="Z346" s="128">
        <v>1193.4615384615386</v>
      </c>
      <c r="AA346" s="128">
        <v>1258.2352941176471</v>
      </c>
      <c r="AB346" s="128">
        <v>898.07692307692309</v>
      </c>
      <c r="AC346" s="128">
        <v>747.88461538461536</v>
      </c>
      <c r="AD346" s="128">
        <v>1046.7924528301887</v>
      </c>
      <c r="AE346" s="128">
        <v>1018</v>
      </c>
      <c r="AF346" s="128">
        <v>915.14354903550247</v>
      </c>
      <c r="AG346" s="128">
        <v>1445.7089566083362</v>
      </c>
      <c r="AH346" s="128">
        <v>1333.014973837697</v>
      </c>
      <c r="AI346" s="119">
        <v>1258.5891909680283</v>
      </c>
      <c r="AJ346" s="119">
        <v>1283.7609747873889</v>
      </c>
      <c r="AK346" s="119">
        <v>1309.4361942831367</v>
      </c>
      <c r="AL346" s="119">
        <v>1335.6249181687995</v>
      </c>
      <c r="AM346" s="119">
        <v>1362.3374165321754</v>
      </c>
      <c r="AN346" s="119">
        <v>1389.5841648628191</v>
      </c>
      <c r="AO346" s="119">
        <v>1417.3758481600755</v>
      </c>
      <c r="AP346" s="119">
        <v>1445.7233651232771</v>
      </c>
      <c r="AQ346" s="119">
        <v>1474.6378324257425</v>
      </c>
      <c r="AR346" s="119">
        <v>1504.1305890742574</v>
      </c>
      <c r="AS346" s="119">
        <v>1534.2132008557426</v>
      </c>
      <c r="AT346" s="119">
        <v>1564.8974648728574</v>
      </c>
      <c r="AU346" s="119">
        <v>1596.1954141703145</v>
      </c>
      <c r="AV346" s="119">
        <v>1628.1193224537208</v>
      </c>
      <c r="AW346" s="119">
        <v>1660.6817089027952</v>
      </c>
      <c r="AX346" s="119">
        <v>1693.895343080851</v>
      </c>
      <c r="AY346" s="119">
        <v>1727.7732499424681</v>
      </c>
      <c r="AZ346" s="119">
        <v>1762.3287149413175</v>
      </c>
      <c r="BA346" s="119">
        <v>1797.5752892401438</v>
      </c>
      <c r="BB346" s="119">
        <v>1833.5267950249468</v>
      </c>
      <c r="BC346" s="119">
        <f t="shared" si="136"/>
        <v>1870.1973309254456</v>
      </c>
      <c r="BD346" s="119">
        <f t="shared" si="136"/>
        <v>1907.6012775439547</v>
      </c>
      <c r="BE346" s="119">
        <f t="shared" si="136"/>
        <v>1945.7533030948339</v>
      </c>
      <c r="BF346" s="119">
        <f t="shared" si="136"/>
        <v>1984.6683691567307</v>
      </c>
      <c r="BG346" s="119">
        <f t="shared" si="136"/>
        <v>2024.3617365398654</v>
      </c>
    </row>
    <row r="347" spans="1:59" ht="13.75" customHeight="1" outlineLevel="1">
      <c r="B347" s="170"/>
      <c r="C347" s="170"/>
      <c r="D347" s="170"/>
      <c r="E347" s="168"/>
      <c r="F347" s="168"/>
      <c r="G347" s="168"/>
      <c r="H347" s="168"/>
      <c r="I347" s="168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Y347" s="120"/>
      <c r="Z347" s="128"/>
      <c r="AA347" s="128"/>
      <c r="AB347" s="128"/>
      <c r="AC347" s="128"/>
      <c r="AD347" s="128"/>
      <c r="AE347" s="128"/>
      <c r="AF347" s="128"/>
      <c r="AG347" s="116"/>
      <c r="AH347" s="116"/>
      <c r="AI347" s="161"/>
      <c r="AJ347" s="161"/>
      <c r="AK347" s="161"/>
      <c r="AL347" s="161"/>
      <c r="AM347" s="161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</row>
    <row r="348" spans="1:59" ht="13.75" customHeight="1" outlineLevel="1">
      <c r="B348" s="170"/>
      <c r="C348" s="170"/>
      <c r="D348" s="170"/>
      <c r="E348" s="168"/>
      <c r="F348" s="168"/>
      <c r="G348" s="168"/>
      <c r="H348" s="168"/>
      <c r="I348" s="168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Y348" s="120"/>
      <c r="Z348" s="157"/>
      <c r="AA348" s="157"/>
      <c r="AB348" s="157"/>
      <c r="AC348" s="157"/>
      <c r="AD348" s="157"/>
      <c r="AE348" s="157"/>
      <c r="AF348" s="157"/>
      <c r="AG348" s="116"/>
      <c r="AH348" s="116"/>
      <c r="AI348" s="161"/>
      <c r="AJ348" s="161"/>
      <c r="AK348" s="161"/>
      <c r="AL348" s="161"/>
      <c r="AM348" s="161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</row>
    <row r="349" spans="1:59" ht="13.75" customHeight="1" outlineLevel="1">
      <c r="B349" s="170"/>
      <c r="C349" s="170"/>
      <c r="D349" s="170"/>
      <c r="E349" s="168"/>
      <c r="F349" s="168"/>
      <c r="G349" s="168"/>
      <c r="H349" s="168"/>
      <c r="I349" s="168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Y349" s="120"/>
      <c r="Z349" s="157"/>
      <c r="AA349" s="157"/>
      <c r="AB349" s="157"/>
      <c r="AC349" s="157"/>
      <c r="AD349" s="157"/>
      <c r="AE349" s="157"/>
      <c r="AF349" s="157"/>
      <c r="AG349" s="116"/>
      <c r="AH349" s="116"/>
      <c r="AI349" s="161"/>
      <c r="AJ349" s="161"/>
      <c r="AK349" s="161"/>
      <c r="AL349" s="161"/>
      <c r="AM349" s="161"/>
      <c r="AN349" s="107"/>
      <c r="AO349" s="107"/>
      <c r="AP349" s="107"/>
      <c r="AQ349" s="107"/>
      <c r="AR349" s="107"/>
      <c r="AS349" s="107"/>
      <c r="AT349" s="107"/>
      <c r="AU349" s="107"/>
      <c r="AV349" s="107"/>
      <c r="AW349" s="107"/>
      <c r="AX349" s="107"/>
      <c r="AY349" s="107"/>
      <c r="AZ349" s="107"/>
      <c r="BA349" s="107"/>
      <c r="BB349" s="107"/>
      <c r="BC349" s="107"/>
      <c r="BD349" s="107"/>
      <c r="BE349" s="107"/>
      <c r="BF349" s="107"/>
      <c r="BG349" s="107"/>
    </row>
    <row r="350" spans="1:59" ht="13.75" customHeight="1" outlineLevel="1">
      <c r="B350" s="170"/>
      <c r="C350" s="170"/>
      <c r="D350" s="170"/>
      <c r="E350" s="168"/>
      <c r="F350" s="168"/>
      <c r="G350" s="168"/>
      <c r="H350" s="168"/>
      <c r="I350" s="168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Y350" s="120"/>
      <c r="Z350" s="157"/>
      <c r="AA350" s="157"/>
      <c r="AB350" s="157"/>
      <c r="AC350" s="157"/>
      <c r="AD350" s="157"/>
      <c r="AE350" s="157"/>
      <c r="AF350" s="157"/>
      <c r="AG350" s="116"/>
      <c r="AH350" s="116"/>
      <c r="AI350" s="161"/>
      <c r="AJ350" s="161"/>
      <c r="AK350" s="161"/>
      <c r="AL350" s="161"/>
      <c r="AM350" s="161"/>
      <c r="AN350" s="107"/>
      <c r="AO350" s="107"/>
      <c r="AP350" s="107"/>
      <c r="AQ350" s="107"/>
      <c r="AR350" s="107"/>
      <c r="AS350" s="107"/>
      <c r="AT350" s="107"/>
      <c r="AU350" s="107"/>
      <c r="AV350" s="107"/>
      <c r="AW350" s="107"/>
      <c r="AX350" s="107"/>
      <c r="AY350" s="107"/>
      <c r="AZ350" s="107"/>
      <c r="BA350" s="107"/>
      <c r="BB350" s="107"/>
      <c r="BC350" s="107"/>
      <c r="BD350" s="107"/>
      <c r="BE350" s="107"/>
      <c r="BF350" s="107"/>
      <c r="BG350" s="107"/>
    </row>
    <row r="351" spans="1:59" ht="13.75" customHeight="1" outlineLevel="1">
      <c r="B351" s="170"/>
      <c r="C351" s="170"/>
      <c r="D351" s="170"/>
      <c r="E351" s="168"/>
      <c r="F351" s="168"/>
      <c r="G351" s="168"/>
      <c r="H351" s="168"/>
      <c r="I351" s="168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Y351" s="120"/>
      <c r="Z351" s="132"/>
      <c r="AA351" s="132"/>
      <c r="AB351" s="132"/>
      <c r="AC351" s="132"/>
      <c r="AD351" s="132"/>
      <c r="AE351" s="132"/>
      <c r="AF351" s="132"/>
      <c r="AG351" s="116"/>
      <c r="AH351" s="116"/>
      <c r="AI351" s="161"/>
      <c r="AJ351" s="161"/>
      <c r="AK351" s="161"/>
      <c r="AL351" s="161"/>
      <c r="AM351" s="161"/>
      <c r="AN351" s="107"/>
      <c r="AO351" s="107"/>
      <c r="AP351" s="107"/>
      <c r="AQ351" s="107"/>
      <c r="AR351" s="107"/>
      <c r="AS351" s="107"/>
      <c r="AT351" s="107"/>
      <c r="AU351" s="107"/>
      <c r="AV351" s="107"/>
      <c r="AW351" s="107"/>
      <c r="AX351" s="107"/>
      <c r="AY351" s="107"/>
      <c r="AZ351" s="107"/>
      <c r="BA351" s="107"/>
      <c r="BB351" s="107"/>
      <c r="BC351" s="107"/>
      <c r="BD351" s="107"/>
      <c r="BE351" s="107"/>
      <c r="BF351" s="107"/>
      <c r="BG351" s="107"/>
    </row>
    <row r="352" spans="1:59" ht="13.75" customHeight="1" outlineLevel="1">
      <c r="B352" s="170"/>
      <c r="C352" s="170"/>
      <c r="D352" s="170"/>
      <c r="E352" s="168"/>
      <c r="F352" s="168"/>
      <c r="G352" s="168"/>
      <c r="H352" s="168"/>
      <c r="I352" s="168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Y352" s="120"/>
      <c r="Z352" s="157"/>
      <c r="AA352" s="157"/>
      <c r="AB352" s="157"/>
      <c r="AC352" s="157"/>
      <c r="AD352" s="157"/>
      <c r="AE352" s="157"/>
      <c r="AF352" s="157"/>
      <c r="AG352" s="116"/>
      <c r="AH352" s="116"/>
      <c r="AI352" s="161"/>
      <c r="AJ352" s="161"/>
      <c r="AK352" s="161"/>
      <c r="AL352" s="161"/>
      <c r="AM352" s="161"/>
      <c r="AN352" s="107"/>
      <c r="AO352" s="107"/>
      <c r="AP352" s="107"/>
      <c r="AQ352" s="107"/>
      <c r="AR352" s="107"/>
      <c r="AS352" s="107"/>
      <c r="AT352" s="107"/>
      <c r="AU352" s="107"/>
      <c r="AV352" s="107"/>
      <c r="AW352" s="107"/>
      <c r="AX352" s="107"/>
      <c r="AY352" s="107"/>
      <c r="AZ352" s="107"/>
      <c r="BA352" s="107"/>
      <c r="BB352" s="107"/>
      <c r="BC352" s="107"/>
      <c r="BD352" s="107"/>
      <c r="BE352" s="107"/>
      <c r="BF352" s="107"/>
      <c r="BG352" s="107"/>
    </row>
    <row r="353" spans="2:59" ht="13.75" customHeight="1" outlineLevel="1">
      <c r="B353" s="170"/>
      <c r="C353" s="170"/>
      <c r="D353" s="170"/>
      <c r="E353" s="168"/>
      <c r="F353" s="168"/>
      <c r="G353" s="168"/>
      <c r="H353" s="168"/>
      <c r="I353" s="168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Y353" s="120"/>
      <c r="Z353" s="157"/>
      <c r="AA353" s="157"/>
      <c r="AB353" s="157"/>
      <c r="AC353" s="157"/>
      <c r="AD353" s="157"/>
      <c r="AE353" s="157"/>
      <c r="AF353" s="157"/>
      <c r="AG353" s="116"/>
      <c r="AH353" s="116"/>
      <c r="AI353" s="161"/>
      <c r="AJ353" s="161"/>
      <c r="AK353" s="161"/>
      <c r="AL353" s="161"/>
      <c r="AM353" s="161"/>
      <c r="AN353" s="107"/>
      <c r="AO353" s="107"/>
      <c r="AP353" s="107"/>
      <c r="AQ353" s="107"/>
      <c r="AR353" s="107"/>
      <c r="AS353" s="107"/>
      <c r="AT353" s="107"/>
      <c r="AU353" s="107"/>
      <c r="AV353" s="107"/>
      <c r="AW353" s="107"/>
      <c r="AX353" s="107"/>
      <c r="AY353" s="107"/>
      <c r="AZ353" s="107"/>
      <c r="BA353" s="107"/>
      <c r="BB353" s="107"/>
      <c r="BC353" s="107"/>
      <c r="BD353" s="107"/>
      <c r="BE353" s="107"/>
      <c r="BF353" s="107"/>
      <c r="BG353" s="107"/>
    </row>
    <row r="354" spans="2:59" ht="13.75" customHeight="1" outlineLevel="1">
      <c r="B354" s="170"/>
      <c r="C354" s="170"/>
      <c r="D354" s="170"/>
      <c r="E354" s="168"/>
      <c r="F354" s="168"/>
      <c r="G354" s="168"/>
      <c r="H354" s="168"/>
      <c r="I354" s="168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Z354" s="157"/>
      <c r="AA354" s="157"/>
      <c r="AB354" s="157"/>
      <c r="AC354" s="157"/>
      <c r="AD354" s="157"/>
      <c r="AE354" s="157"/>
      <c r="AF354" s="157"/>
      <c r="AG354" s="116"/>
      <c r="AH354" s="116"/>
      <c r="AI354" s="161"/>
      <c r="AJ354" s="161"/>
      <c r="AK354" s="161"/>
      <c r="AL354" s="161"/>
      <c r="AM354" s="161"/>
      <c r="AN354" s="107"/>
      <c r="AO354" s="107"/>
      <c r="AP354" s="107"/>
      <c r="AQ354" s="107"/>
      <c r="AR354" s="107"/>
      <c r="AS354" s="107"/>
      <c r="AT354" s="107"/>
      <c r="AU354" s="107"/>
      <c r="AV354" s="107"/>
      <c r="AW354" s="107"/>
      <c r="AX354" s="107"/>
      <c r="AY354" s="107"/>
      <c r="AZ354" s="107"/>
      <c r="BA354" s="107"/>
      <c r="BB354" s="107"/>
      <c r="BC354" s="107"/>
      <c r="BD354" s="107"/>
      <c r="BE354" s="107"/>
      <c r="BF354" s="107"/>
      <c r="BG354" s="107"/>
    </row>
    <row r="355" spans="2:59" ht="13.75" customHeight="1" outlineLevel="1">
      <c r="B355" s="170"/>
      <c r="C355" s="170"/>
      <c r="D355" s="170"/>
      <c r="E355" s="168"/>
      <c r="F355" s="168"/>
      <c r="G355" s="168"/>
      <c r="H355" s="168"/>
      <c r="I355" s="168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AG355" s="116"/>
      <c r="AH355" s="116"/>
      <c r="AI355" s="161"/>
      <c r="AJ355" s="161"/>
      <c r="AK355" s="161"/>
      <c r="AL355" s="161"/>
      <c r="AM355" s="161"/>
      <c r="AN355" s="107"/>
      <c r="AO355" s="107"/>
      <c r="AP355" s="107"/>
      <c r="AQ355" s="107"/>
      <c r="AR355" s="107"/>
      <c r="AS355" s="107"/>
      <c r="AT355" s="107"/>
      <c r="AU355" s="107"/>
      <c r="AV355" s="107"/>
      <c r="AW355" s="107"/>
      <c r="AX355" s="107"/>
      <c r="AY355" s="107"/>
      <c r="AZ355" s="107"/>
      <c r="BA355" s="107"/>
      <c r="BB355" s="107"/>
      <c r="BC355" s="107"/>
      <c r="BD355" s="107"/>
      <c r="BE355" s="107"/>
      <c r="BF355" s="107"/>
      <c r="BG355" s="107"/>
    </row>
    <row r="356" spans="2:59" ht="13.75" customHeight="1" outlineLevel="1">
      <c r="B356" s="170"/>
      <c r="C356" s="170"/>
      <c r="D356" s="170"/>
      <c r="E356" s="168"/>
      <c r="F356" s="168"/>
      <c r="G356" s="168"/>
      <c r="H356" s="168"/>
      <c r="I356" s="168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Z356" s="128"/>
      <c r="AA356" s="128"/>
      <c r="AB356" s="128"/>
      <c r="AC356" s="128"/>
      <c r="AD356" s="128"/>
      <c r="AE356" s="128"/>
      <c r="AF356" s="128"/>
      <c r="AG356" s="116"/>
      <c r="AH356" s="116"/>
      <c r="AI356" s="161"/>
      <c r="AJ356" s="161"/>
      <c r="AK356" s="161"/>
      <c r="AL356" s="161"/>
      <c r="AM356" s="161"/>
      <c r="AN356" s="107"/>
      <c r="AO356" s="107"/>
      <c r="AP356" s="107"/>
      <c r="AQ356" s="107"/>
      <c r="AR356" s="107"/>
      <c r="AS356" s="107"/>
      <c r="AT356" s="107"/>
      <c r="AU356" s="107"/>
      <c r="AV356" s="107"/>
      <c r="AW356" s="107"/>
      <c r="AX356" s="107"/>
      <c r="AY356" s="107"/>
      <c r="AZ356" s="107"/>
      <c r="BA356" s="107"/>
      <c r="BB356" s="107"/>
      <c r="BC356" s="107"/>
      <c r="BD356" s="107"/>
      <c r="BE356" s="107"/>
      <c r="BF356" s="107"/>
      <c r="BG356" s="107"/>
    </row>
    <row r="357" spans="2:59" ht="13.75" customHeight="1" outlineLevel="1">
      <c r="B357" s="170"/>
      <c r="C357" s="170"/>
      <c r="D357" s="170"/>
      <c r="E357" s="168"/>
      <c r="F357" s="168"/>
      <c r="G357" s="168"/>
      <c r="H357" s="168"/>
      <c r="I357" s="168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Z357" s="128"/>
      <c r="AA357" s="128"/>
      <c r="AB357" s="128"/>
      <c r="AC357" s="128"/>
      <c r="AD357" s="128"/>
      <c r="AE357" s="128"/>
      <c r="AF357" s="128"/>
      <c r="AG357" s="116"/>
      <c r="AH357" s="116"/>
      <c r="AI357" s="161"/>
      <c r="AJ357" s="161"/>
      <c r="AK357" s="161"/>
      <c r="AL357" s="161"/>
      <c r="AM357" s="161"/>
      <c r="AN357" s="107"/>
      <c r="AO357" s="107"/>
      <c r="AP357" s="107"/>
      <c r="AQ357" s="107"/>
      <c r="AR357" s="107"/>
      <c r="AS357" s="107"/>
      <c r="AT357" s="107"/>
      <c r="AU357" s="107"/>
      <c r="AV357" s="107"/>
      <c r="AW357" s="107"/>
      <c r="AX357" s="107"/>
      <c r="AY357" s="107"/>
      <c r="AZ357" s="107"/>
      <c r="BA357" s="107"/>
      <c r="BB357" s="107"/>
      <c r="BC357" s="107"/>
      <c r="BD357" s="107"/>
      <c r="BE357" s="107"/>
      <c r="BF357" s="107"/>
      <c r="BG357" s="107"/>
    </row>
    <row r="358" spans="2:59" ht="13.75" customHeight="1" outlineLevel="1">
      <c r="B358" s="170"/>
      <c r="C358" s="170"/>
      <c r="D358" s="170"/>
      <c r="E358" s="168"/>
      <c r="F358" s="168"/>
      <c r="G358" s="168"/>
      <c r="H358" s="168"/>
      <c r="I358" s="168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Z358" s="128"/>
      <c r="AA358" s="128"/>
      <c r="AB358" s="128"/>
      <c r="AC358" s="128"/>
      <c r="AD358" s="128"/>
      <c r="AE358" s="128"/>
      <c r="AF358" s="128"/>
      <c r="AG358" s="116"/>
      <c r="AH358" s="116"/>
      <c r="AI358" s="161"/>
      <c r="AJ358" s="161"/>
      <c r="AK358" s="161"/>
      <c r="AL358" s="161"/>
      <c r="AM358" s="161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</row>
    <row r="359" spans="2:59" ht="13.75" customHeight="1" outlineLevel="1">
      <c r="B359" s="170"/>
      <c r="C359" s="170"/>
      <c r="D359" s="170"/>
      <c r="E359" s="168"/>
      <c r="F359" s="168"/>
      <c r="G359" s="168"/>
      <c r="H359" s="168"/>
      <c r="I359" s="168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Z359" s="128"/>
      <c r="AA359" s="128"/>
      <c r="AB359" s="128"/>
      <c r="AC359" s="128"/>
      <c r="AD359" s="128"/>
      <c r="AE359" s="128"/>
      <c r="AF359" s="128"/>
      <c r="AG359" s="116"/>
      <c r="AH359" s="116"/>
      <c r="AI359" s="161"/>
      <c r="AJ359" s="161"/>
      <c r="AK359" s="161"/>
      <c r="AL359" s="161"/>
      <c r="AM359" s="161"/>
      <c r="AN359" s="107"/>
      <c r="AO359" s="107"/>
      <c r="AP359" s="107"/>
      <c r="AQ359" s="107"/>
      <c r="AR359" s="107"/>
      <c r="AS359" s="107"/>
      <c r="AT359" s="107"/>
      <c r="AU359" s="107"/>
      <c r="AV359" s="107"/>
      <c r="AW359" s="107"/>
      <c r="AX359" s="107"/>
      <c r="AY359" s="107"/>
      <c r="AZ359" s="107"/>
      <c r="BA359" s="107"/>
      <c r="BB359" s="107"/>
      <c r="BC359" s="107"/>
      <c r="BD359" s="107"/>
      <c r="BE359" s="107"/>
      <c r="BF359" s="107"/>
      <c r="BG359" s="107"/>
    </row>
    <row r="360" spans="2:59" ht="13.75" customHeight="1" outlineLevel="1">
      <c r="B360" s="170"/>
      <c r="C360" s="170"/>
      <c r="D360" s="170"/>
      <c r="E360" s="168"/>
      <c r="F360" s="168"/>
      <c r="G360" s="168"/>
      <c r="H360" s="168"/>
      <c r="I360" s="168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Z360" s="128"/>
      <c r="AA360" s="128"/>
      <c r="AB360" s="128"/>
      <c r="AC360" s="128"/>
      <c r="AD360" s="128"/>
      <c r="AE360" s="128"/>
      <c r="AF360" s="128"/>
      <c r="AG360" s="116"/>
      <c r="AH360" s="116"/>
      <c r="AI360" s="161"/>
      <c r="AJ360" s="161"/>
      <c r="AK360" s="161"/>
      <c r="AL360" s="161"/>
      <c r="AM360" s="161"/>
      <c r="AN360" s="107"/>
      <c r="AO360" s="107"/>
      <c r="AP360" s="107"/>
      <c r="AQ360" s="107"/>
      <c r="AR360" s="107"/>
      <c r="AS360" s="107"/>
      <c r="AT360" s="107"/>
      <c r="AU360" s="107"/>
      <c r="AV360" s="107"/>
      <c r="AW360" s="107"/>
      <c r="AX360" s="107"/>
      <c r="AY360" s="107"/>
      <c r="AZ360" s="107"/>
      <c r="BA360" s="107"/>
      <c r="BB360" s="107"/>
      <c r="BC360" s="107"/>
      <c r="BD360" s="107"/>
      <c r="BE360" s="107"/>
      <c r="BF360" s="107"/>
      <c r="BG360" s="107"/>
    </row>
    <row r="361" spans="2:59" ht="13.75" customHeight="1" outlineLevel="1">
      <c r="B361" s="170"/>
      <c r="C361" s="170"/>
      <c r="D361" s="170"/>
      <c r="E361" s="168"/>
      <c r="F361" s="168"/>
      <c r="G361" s="168"/>
      <c r="H361" s="168"/>
      <c r="I361" s="168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Z361" s="128"/>
      <c r="AA361" s="128"/>
      <c r="AB361" s="128"/>
      <c r="AC361" s="128"/>
      <c r="AD361" s="128"/>
      <c r="AE361" s="128"/>
      <c r="AF361" s="128"/>
      <c r="AG361" s="116"/>
      <c r="AH361" s="116"/>
      <c r="AI361" s="161"/>
      <c r="AJ361" s="161"/>
      <c r="AK361" s="161"/>
      <c r="AL361" s="161"/>
      <c r="AM361" s="161"/>
      <c r="AN361" s="107"/>
      <c r="AO361" s="107"/>
      <c r="AP361" s="107"/>
      <c r="AQ361" s="107"/>
      <c r="AR361" s="107"/>
      <c r="AS361" s="107"/>
      <c r="AT361" s="107"/>
      <c r="AU361" s="107"/>
      <c r="AV361" s="107"/>
      <c r="AW361" s="107"/>
      <c r="AX361" s="107"/>
      <c r="AY361" s="107"/>
      <c r="AZ361" s="107"/>
      <c r="BA361" s="107"/>
      <c r="BB361" s="107"/>
      <c r="BC361" s="107"/>
      <c r="BD361" s="107"/>
      <c r="BE361" s="107"/>
      <c r="BF361" s="107"/>
      <c r="BG361" s="107"/>
    </row>
    <row r="362" spans="2:59" ht="13.75" customHeight="1" outlineLevel="1">
      <c r="B362" s="170"/>
      <c r="C362" s="170"/>
      <c r="D362" s="170"/>
      <c r="E362" s="168"/>
      <c r="F362" s="168"/>
      <c r="G362" s="168"/>
      <c r="H362" s="168"/>
      <c r="I362" s="168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Z362" s="128"/>
      <c r="AA362" s="128"/>
      <c r="AB362" s="128"/>
      <c r="AC362" s="128"/>
      <c r="AD362" s="128"/>
      <c r="AE362" s="128"/>
      <c r="AF362" s="128"/>
      <c r="AG362" s="116"/>
      <c r="AH362" s="116"/>
      <c r="AI362" s="161"/>
      <c r="AJ362" s="161"/>
      <c r="AK362" s="161"/>
      <c r="AL362" s="161"/>
      <c r="AM362" s="161"/>
      <c r="AN362" s="107"/>
      <c r="AO362" s="107"/>
      <c r="AP362" s="107"/>
      <c r="AQ362" s="107"/>
      <c r="AR362" s="107"/>
      <c r="AS362" s="107"/>
      <c r="AT362" s="107"/>
      <c r="AU362" s="107"/>
      <c r="AV362" s="107"/>
      <c r="AW362" s="107"/>
      <c r="AX362" s="107"/>
      <c r="AY362" s="107"/>
      <c r="AZ362" s="107"/>
      <c r="BA362" s="107"/>
      <c r="BB362" s="107"/>
      <c r="BC362" s="107"/>
      <c r="BD362" s="107"/>
      <c r="BE362" s="107"/>
      <c r="BF362" s="107"/>
      <c r="BG362" s="107"/>
    </row>
    <row r="363" spans="2:59" ht="13.75" customHeight="1" outlineLevel="1">
      <c r="B363" s="170"/>
      <c r="C363" s="170"/>
      <c r="D363" s="170"/>
      <c r="E363" s="168"/>
      <c r="F363" s="168"/>
      <c r="G363" s="168"/>
      <c r="H363" s="168"/>
      <c r="I363" s="168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AG363" s="116"/>
      <c r="AH363" s="116"/>
      <c r="AI363" s="161"/>
      <c r="AJ363" s="161"/>
      <c r="AK363" s="161"/>
      <c r="AL363" s="161"/>
      <c r="AM363" s="161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G363" s="107"/>
    </row>
    <row r="364" spans="2:59" ht="13.75" customHeight="1" outlineLevel="1">
      <c r="B364" s="170"/>
      <c r="C364" s="170"/>
      <c r="D364" s="170"/>
      <c r="E364" s="168"/>
      <c r="F364" s="168"/>
      <c r="G364" s="168"/>
      <c r="H364" s="168"/>
      <c r="I364" s="168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Y364" s="109"/>
      <c r="Z364" s="109"/>
      <c r="AA364" s="109"/>
      <c r="AB364" s="109"/>
      <c r="AC364" s="109"/>
      <c r="AD364" s="109"/>
      <c r="AE364" s="109"/>
      <c r="AF364" s="109"/>
      <c r="AG364" s="116"/>
      <c r="AH364" s="116"/>
      <c r="AI364" s="161"/>
      <c r="AJ364" s="161"/>
      <c r="AK364" s="161"/>
      <c r="AL364" s="161"/>
      <c r="AM364" s="161"/>
      <c r="AN364" s="107"/>
      <c r="AO364" s="107"/>
      <c r="AP364" s="107"/>
      <c r="AQ364" s="107"/>
      <c r="AR364" s="107"/>
      <c r="AS364" s="107"/>
      <c r="AT364" s="107"/>
      <c r="AU364" s="107"/>
      <c r="AV364" s="107"/>
      <c r="AW364" s="107"/>
      <c r="AX364" s="107"/>
      <c r="AY364" s="107"/>
      <c r="AZ364" s="107"/>
      <c r="BA364" s="107"/>
      <c r="BB364" s="107"/>
      <c r="BC364" s="107"/>
      <c r="BD364" s="107"/>
      <c r="BE364" s="107"/>
      <c r="BF364" s="107"/>
      <c r="BG364" s="107"/>
    </row>
    <row r="365" spans="2:59" ht="13.75" customHeight="1" outlineLevel="1">
      <c r="B365" s="170"/>
      <c r="C365" s="170"/>
      <c r="D365" s="170"/>
      <c r="E365" s="168"/>
      <c r="F365" s="168"/>
      <c r="G365" s="168"/>
      <c r="H365" s="168"/>
      <c r="I365" s="168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Y365" s="109"/>
      <c r="Z365" s="109"/>
      <c r="AA365" s="109"/>
      <c r="AB365" s="109"/>
      <c r="AC365" s="109"/>
      <c r="AD365" s="109"/>
      <c r="AE365" s="109"/>
      <c r="AF365" s="109"/>
      <c r="AG365" s="116"/>
      <c r="AH365" s="116"/>
      <c r="AI365" s="161"/>
      <c r="AJ365" s="161"/>
      <c r="AK365" s="161"/>
      <c r="AL365" s="161"/>
      <c r="AM365" s="161"/>
      <c r="AN365" s="107"/>
      <c r="AO365" s="107"/>
      <c r="AP365" s="107"/>
      <c r="AQ365" s="107"/>
      <c r="AR365" s="107"/>
      <c r="AS365" s="107"/>
      <c r="AT365" s="107"/>
      <c r="AU365" s="107"/>
      <c r="AV365" s="107"/>
      <c r="AW365" s="107"/>
      <c r="AX365" s="107"/>
      <c r="AY365" s="107"/>
      <c r="AZ365" s="107"/>
      <c r="BA365" s="107"/>
      <c r="BB365" s="107"/>
      <c r="BC365" s="107"/>
      <c r="BD365" s="107"/>
      <c r="BE365" s="107"/>
      <c r="BF365" s="107"/>
      <c r="BG365" s="107"/>
    </row>
    <row r="366" spans="2:59" ht="13.75" customHeight="1" outlineLevel="1">
      <c r="B366" s="170"/>
      <c r="C366" s="170"/>
      <c r="D366" s="170"/>
      <c r="E366" s="168"/>
      <c r="F366" s="168"/>
      <c r="G366" s="168"/>
      <c r="H366" s="168"/>
      <c r="I366" s="168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Y366" s="109"/>
      <c r="Z366" s="109"/>
      <c r="AA366" s="109"/>
      <c r="AB366" s="109"/>
      <c r="AC366" s="109"/>
      <c r="AD366" s="109"/>
      <c r="AE366" s="109"/>
      <c r="AF366" s="109"/>
      <c r="AG366" s="116"/>
      <c r="AH366" s="116"/>
      <c r="AI366" s="161"/>
      <c r="AJ366" s="161"/>
      <c r="AK366" s="161"/>
      <c r="AL366" s="161"/>
      <c r="AM366" s="161"/>
      <c r="AN366" s="107"/>
      <c r="AO366" s="107"/>
      <c r="AP366" s="107"/>
      <c r="AQ366" s="107"/>
      <c r="AR366" s="107"/>
      <c r="AS366" s="107"/>
      <c r="AT366" s="107"/>
      <c r="AU366" s="107"/>
      <c r="AV366" s="107"/>
      <c r="AW366" s="107"/>
      <c r="AX366" s="107"/>
      <c r="AY366" s="107"/>
      <c r="AZ366" s="107"/>
      <c r="BA366" s="107"/>
      <c r="BB366" s="107"/>
      <c r="BC366" s="107"/>
      <c r="BD366" s="107"/>
      <c r="BE366" s="107"/>
      <c r="BF366" s="107"/>
      <c r="BG366" s="107"/>
    </row>
    <row r="367" spans="2:59" ht="13.75" customHeight="1" outlineLevel="1">
      <c r="B367" s="170"/>
      <c r="C367" s="170"/>
      <c r="D367" s="170"/>
      <c r="E367" s="168"/>
      <c r="F367" s="168"/>
      <c r="G367" s="168"/>
      <c r="H367" s="168"/>
      <c r="I367" s="168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Y367" s="109"/>
      <c r="Z367" s="109"/>
      <c r="AA367" s="109"/>
      <c r="AB367" s="109"/>
      <c r="AC367" s="109"/>
      <c r="AD367" s="109"/>
      <c r="AE367" s="109"/>
      <c r="AF367" s="109"/>
      <c r="AG367" s="116"/>
      <c r="AH367" s="116"/>
      <c r="AI367" s="161"/>
      <c r="AJ367" s="161"/>
      <c r="AK367" s="161"/>
      <c r="AL367" s="161"/>
      <c r="AM367" s="161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107"/>
      <c r="AZ367" s="107"/>
      <c r="BA367" s="107"/>
      <c r="BB367" s="107"/>
      <c r="BC367" s="107"/>
      <c r="BD367" s="107"/>
      <c r="BE367" s="107"/>
      <c r="BF367" s="107"/>
      <c r="BG367" s="107"/>
    </row>
    <row r="368" spans="2:59" ht="13.75" customHeight="1" outlineLevel="1">
      <c r="B368" s="170"/>
      <c r="C368" s="170"/>
      <c r="D368" s="170"/>
      <c r="E368" s="168"/>
      <c r="F368" s="168"/>
      <c r="G368" s="168"/>
      <c r="H368" s="168"/>
      <c r="I368" s="168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Y368" s="109"/>
      <c r="Z368" s="109"/>
      <c r="AA368" s="109"/>
      <c r="AB368" s="109"/>
      <c r="AC368" s="109"/>
      <c r="AD368" s="109"/>
      <c r="AE368" s="109"/>
      <c r="AF368" s="109"/>
      <c r="AG368" s="116"/>
      <c r="AH368" s="116"/>
      <c r="AI368" s="161"/>
      <c r="AJ368" s="161"/>
      <c r="AK368" s="161"/>
      <c r="AL368" s="161"/>
      <c r="AM368" s="161"/>
      <c r="AN368" s="107"/>
      <c r="AO368" s="107"/>
      <c r="AP368" s="107"/>
      <c r="AQ368" s="107"/>
      <c r="AR368" s="107"/>
      <c r="AS368" s="107"/>
      <c r="AT368" s="107"/>
      <c r="AU368" s="107"/>
      <c r="AV368" s="107"/>
      <c r="AW368" s="107"/>
      <c r="AX368" s="107"/>
      <c r="AY368" s="107"/>
      <c r="AZ368" s="107"/>
      <c r="BA368" s="107"/>
      <c r="BB368" s="107"/>
      <c r="BC368" s="107"/>
      <c r="BD368" s="107"/>
      <c r="BE368" s="107"/>
      <c r="BF368" s="107"/>
      <c r="BG368" s="107"/>
    </row>
    <row r="369" spans="1:59" ht="13.75" customHeight="1" outlineLevel="1">
      <c r="B369" s="170"/>
      <c r="C369" s="170"/>
      <c r="D369" s="170"/>
      <c r="E369" s="168"/>
      <c r="F369" s="168"/>
      <c r="G369" s="168"/>
      <c r="H369" s="168"/>
      <c r="I369" s="168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Y369" s="109"/>
      <c r="Z369" s="109"/>
      <c r="AA369" s="109"/>
      <c r="AB369" s="109"/>
      <c r="AC369" s="109"/>
      <c r="AD369" s="109"/>
      <c r="AE369" s="109"/>
      <c r="AF369" s="109"/>
      <c r="AG369" s="116"/>
      <c r="AH369" s="116"/>
      <c r="AI369" s="161"/>
      <c r="AJ369" s="161"/>
      <c r="AK369" s="161"/>
      <c r="AL369" s="161"/>
      <c r="AM369" s="161"/>
      <c r="AN369" s="107"/>
      <c r="AO369" s="107"/>
      <c r="AP369" s="107"/>
      <c r="AQ369" s="107"/>
      <c r="AR369" s="107"/>
      <c r="AS369" s="107"/>
      <c r="AT369" s="107"/>
      <c r="AU369" s="107"/>
      <c r="AV369" s="107"/>
      <c r="AW369" s="107"/>
      <c r="AX369" s="107"/>
      <c r="AY369" s="107"/>
      <c r="AZ369" s="107"/>
      <c r="BA369" s="107"/>
      <c r="BB369" s="107"/>
      <c r="BC369" s="107"/>
      <c r="BD369" s="107"/>
      <c r="BE369" s="107"/>
      <c r="BF369" s="107"/>
      <c r="BG369" s="107"/>
    </row>
    <row r="370" spans="1:59" ht="13.75" customHeight="1">
      <c r="A370" s="141" t="s">
        <v>461</v>
      </c>
      <c r="B370" s="142" t="s">
        <v>462</v>
      </c>
      <c r="F370" s="168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Y370" s="109"/>
      <c r="Z370" s="109"/>
      <c r="AA370" s="109"/>
      <c r="AB370" s="109"/>
      <c r="AC370" s="109"/>
      <c r="AD370" s="109"/>
      <c r="AE370" s="109"/>
      <c r="AF370" s="109"/>
      <c r="AG370" s="116"/>
      <c r="AH370" s="116"/>
      <c r="AI370" s="161"/>
      <c r="AJ370" s="161"/>
      <c r="AK370" s="161"/>
      <c r="AL370" s="161"/>
      <c r="AM370" s="161"/>
      <c r="AN370" s="107"/>
      <c r="AO370" s="107"/>
      <c r="AP370" s="107"/>
      <c r="AQ370" s="107"/>
      <c r="AR370" s="107"/>
      <c r="AS370" s="107"/>
      <c r="AT370" s="107"/>
      <c r="AU370" s="107"/>
      <c r="AV370" s="107"/>
      <c r="AW370" s="107"/>
      <c r="AX370" s="107"/>
      <c r="AY370" s="107"/>
      <c r="AZ370" s="107"/>
      <c r="BA370" s="107"/>
      <c r="BB370" s="107"/>
      <c r="BC370" s="107"/>
      <c r="BD370" s="107"/>
      <c r="BE370" s="107"/>
      <c r="BF370" s="107"/>
      <c r="BG370" s="107"/>
    </row>
    <row r="371" spans="1:59" ht="13.75" customHeight="1" outlineLevel="1">
      <c r="F371" s="168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Y371" s="109"/>
      <c r="Z371" s="109"/>
      <c r="AA371" s="109"/>
      <c r="AB371" s="109"/>
      <c r="AC371" s="109"/>
      <c r="AD371" s="109"/>
      <c r="AE371" s="109"/>
      <c r="AF371" s="109"/>
      <c r="AG371" s="116"/>
      <c r="AH371" s="116"/>
      <c r="AI371" s="161"/>
      <c r="AJ371" s="161"/>
      <c r="AK371" s="161"/>
      <c r="AL371" s="161"/>
      <c r="AM371" s="161"/>
      <c r="AN371" s="107"/>
      <c r="AO371" s="107"/>
      <c r="AP371" s="107"/>
      <c r="AQ371" s="107"/>
      <c r="AR371" s="107"/>
      <c r="AS371" s="107"/>
      <c r="AT371" s="107"/>
      <c r="AU371" s="107"/>
      <c r="AV371" s="107"/>
      <c r="AW371" s="107"/>
      <c r="AX371" s="107"/>
      <c r="AY371" s="107"/>
      <c r="AZ371" s="107"/>
      <c r="BA371" s="107"/>
      <c r="BB371" s="107"/>
      <c r="BC371" s="107"/>
      <c r="BD371" s="107"/>
      <c r="BE371" s="107"/>
      <c r="BF371" s="107"/>
      <c r="BG371" s="107"/>
    </row>
    <row r="372" spans="1:59" ht="13.75" customHeight="1" outlineLevel="1">
      <c r="F372" s="168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AG372" s="116"/>
      <c r="AH372" s="116"/>
      <c r="AI372" s="161"/>
      <c r="AJ372" s="161"/>
      <c r="AK372" s="161"/>
      <c r="AL372" s="161"/>
      <c r="AM372" s="161"/>
      <c r="AN372" s="107"/>
      <c r="AO372" s="107"/>
      <c r="AP372" s="107"/>
      <c r="AQ372" s="107"/>
      <c r="AR372" s="107"/>
      <c r="AS372" s="107"/>
      <c r="AT372" s="107"/>
      <c r="AU372" s="107"/>
      <c r="AV372" s="107"/>
      <c r="AW372" s="107"/>
      <c r="AX372" s="107"/>
      <c r="AY372" s="107"/>
      <c r="AZ372" s="107"/>
      <c r="BA372" s="107"/>
      <c r="BB372" s="107"/>
      <c r="BC372" s="107"/>
      <c r="BD372" s="107"/>
      <c r="BE372" s="107"/>
      <c r="BF372" s="107"/>
      <c r="BG372" s="107"/>
    </row>
    <row r="373" spans="1:59" ht="13.75" customHeight="1" outlineLevel="1">
      <c r="F373" s="168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AG373" s="116"/>
      <c r="AH373" s="116"/>
      <c r="AI373" s="161"/>
      <c r="AJ373" s="161"/>
      <c r="AK373" s="161"/>
      <c r="AL373" s="161"/>
      <c r="AM373" s="161"/>
      <c r="AN373" s="107"/>
      <c r="AO373" s="107"/>
      <c r="AP373" s="107"/>
      <c r="AQ373" s="107"/>
      <c r="AR373" s="107"/>
      <c r="AS373" s="107"/>
      <c r="AT373" s="107"/>
      <c r="AU373" s="107"/>
      <c r="AV373" s="107"/>
      <c r="AW373" s="107"/>
      <c r="AX373" s="107"/>
      <c r="AY373" s="107"/>
      <c r="AZ373" s="107"/>
      <c r="BA373" s="107"/>
      <c r="BB373" s="107"/>
      <c r="BC373" s="107"/>
      <c r="BD373" s="107"/>
      <c r="BE373" s="107"/>
      <c r="BF373" s="107"/>
      <c r="BG373" s="107"/>
    </row>
    <row r="374" spans="1:59" ht="13.75" customHeight="1" outlineLevel="1">
      <c r="F374" s="168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AG374" s="116"/>
      <c r="AH374" s="116"/>
      <c r="AI374" s="161"/>
      <c r="AJ374" s="161"/>
      <c r="AK374" s="161"/>
      <c r="AL374" s="161"/>
      <c r="AM374" s="161"/>
      <c r="AN374" s="107"/>
      <c r="AO374" s="107"/>
      <c r="AP374" s="107"/>
      <c r="AQ374" s="107"/>
      <c r="AR374" s="107"/>
      <c r="AS374" s="107"/>
      <c r="AT374" s="107"/>
      <c r="AU374" s="107"/>
      <c r="AV374" s="107"/>
      <c r="AW374" s="107"/>
      <c r="AX374" s="107"/>
      <c r="AY374" s="107"/>
      <c r="AZ374" s="107"/>
      <c r="BA374" s="107"/>
      <c r="BB374" s="107"/>
      <c r="BC374" s="107"/>
      <c r="BD374" s="107"/>
      <c r="BE374" s="107"/>
      <c r="BF374" s="107"/>
      <c r="BG374" s="107"/>
    </row>
    <row r="375" spans="1:59" ht="13.75" customHeight="1" outlineLevel="1">
      <c r="F375" s="168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AG375" s="116"/>
      <c r="AH375" s="116"/>
      <c r="AI375" s="161"/>
      <c r="AJ375" s="161"/>
      <c r="AK375" s="161"/>
      <c r="AL375" s="161"/>
      <c r="AM375" s="161"/>
      <c r="AN375" s="107"/>
      <c r="AO375" s="107"/>
      <c r="AP375" s="107"/>
      <c r="AQ375" s="107"/>
      <c r="AR375" s="107"/>
      <c r="AS375" s="107"/>
      <c r="AT375" s="107"/>
      <c r="AU375" s="107"/>
      <c r="AV375" s="107"/>
      <c r="AW375" s="107"/>
      <c r="AX375" s="107"/>
      <c r="AY375" s="107"/>
      <c r="AZ375" s="107"/>
      <c r="BA375" s="107"/>
      <c r="BB375" s="107"/>
      <c r="BC375" s="107"/>
      <c r="BD375" s="107"/>
      <c r="BE375" s="107"/>
      <c r="BF375" s="107"/>
      <c r="BG375" s="107"/>
    </row>
    <row r="376" spans="1:59" ht="13.75" customHeight="1" outlineLevel="1">
      <c r="F376" s="168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AG376" s="116"/>
      <c r="AH376" s="116"/>
      <c r="AI376" s="161"/>
      <c r="AJ376" s="161"/>
      <c r="AK376" s="161"/>
      <c r="AL376" s="161"/>
      <c r="AM376" s="161"/>
      <c r="AN376" s="107"/>
      <c r="AO376" s="107"/>
      <c r="AP376" s="107"/>
      <c r="AQ376" s="107"/>
      <c r="AR376" s="107"/>
      <c r="AS376" s="107"/>
      <c r="AT376" s="107"/>
      <c r="AU376" s="107"/>
      <c r="AV376" s="107"/>
      <c r="AW376" s="107"/>
      <c r="AX376" s="107"/>
      <c r="AY376" s="107"/>
      <c r="AZ376" s="107"/>
      <c r="BA376" s="107"/>
      <c r="BB376" s="107"/>
      <c r="BC376" s="107"/>
      <c r="BD376" s="107"/>
      <c r="BE376" s="107"/>
      <c r="BF376" s="107"/>
      <c r="BG376" s="107"/>
    </row>
    <row r="377" spans="1:59" ht="13.75" customHeight="1" outlineLevel="1">
      <c r="F377" s="168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AG377" s="116"/>
      <c r="AH377" s="116"/>
      <c r="AI377" s="161"/>
      <c r="AJ377" s="161"/>
      <c r="AK377" s="161"/>
      <c r="AL377" s="161"/>
      <c r="AM377" s="161"/>
      <c r="AN377" s="107"/>
      <c r="AO377" s="107"/>
      <c r="AP377" s="107"/>
      <c r="AQ377" s="107"/>
      <c r="AR377" s="107"/>
      <c r="AS377" s="107"/>
      <c r="AT377" s="107"/>
      <c r="AU377" s="107"/>
      <c r="AV377" s="107"/>
      <c r="AW377" s="107"/>
      <c r="AX377" s="107"/>
      <c r="AY377" s="107"/>
      <c r="AZ377" s="107"/>
      <c r="BA377" s="107"/>
      <c r="BB377" s="107"/>
      <c r="BC377" s="107"/>
      <c r="BD377" s="107"/>
      <c r="BE377" s="107"/>
      <c r="BF377" s="107"/>
      <c r="BG377" s="107"/>
    </row>
    <row r="378" spans="1:59" ht="13.75" customHeight="1" outlineLevel="1">
      <c r="F378" s="168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AG378" s="116"/>
      <c r="AH378" s="116"/>
      <c r="AI378" s="161"/>
      <c r="AJ378" s="161"/>
      <c r="AK378" s="161"/>
      <c r="AL378" s="161"/>
      <c r="AM378" s="161"/>
      <c r="AN378" s="107"/>
      <c r="AO378" s="107"/>
      <c r="AP378" s="107"/>
      <c r="AQ378" s="107"/>
      <c r="AR378" s="107"/>
      <c r="AS378" s="107"/>
      <c r="AT378" s="107"/>
      <c r="AU378" s="107"/>
      <c r="AV378" s="107"/>
      <c r="AW378" s="107"/>
      <c r="AX378" s="107"/>
      <c r="AY378" s="107"/>
      <c r="AZ378" s="107"/>
      <c r="BA378" s="107"/>
      <c r="BB378" s="107"/>
      <c r="BC378" s="107"/>
      <c r="BD378" s="107"/>
      <c r="BE378" s="107"/>
      <c r="BF378" s="107"/>
      <c r="BG378" s="107"/>
    </row>
    <row r="379" spans="1:59" ht="13.75" customHeight="1" outlineLevel="1">
      <c r="F379" s="168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AG379" s="116"/>
      <c r="AH379" s="116"/>
      <c r="AI379" s="161"/>
      <c r="AJ379" s="161"/>
      <c r="AK379" s="161"/>
      <c r="AL379" s="161"/>
      <c r="AM379" s="161"/>
      <c r="AN379" s="107"/>
      <c r="AO379" s="107"/>
      <c r="AP379" s="107"/>
      <c r="AQ379" s="107"/>
      <c r="AR379" s="107"/>
      <c r="AS379" s="107"/>
      <c r="AT379" s="107"/>
      <c r="AU379" s="107"/>
      <c r="AV379" s="107"/>
      <c r="AW379" s="107"/>
      <c r="AX379" s="107"/>
      <c r="AY379" s="107"/>
      <c r="AZ379" s="107"/>
      <c r="BA379" s="107"/>
      <c r="BB379" s="107"/>
      <c r="BC379" s="107"/>
      <c r="BD379" s="107"/>
      <c r="BE379" s="107"/>
      <c r="BF379" s="107"/>
      <c r="BG379" s="107"/>
    </row>
    <row r="380" spans="1:59" ht="13.75" customHeight="1" outlineLevel="1">
      <c r="F380" s="168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AG380" s="116"/>
      <c r="AH380" s="116"/>
      <c r="AI380" s="161"/>
      <c r="AJ380" s="161"/>
      <c r="AK380" s="161"/>
      <c r="AL380" s="161"/>
      <c r="AM380" s="161"/>
      <c r="AN380" s="107"/>
      <c r="AO380" s="107"/>
      <c r="AP380" s="107"/>
      <c r="AQ380" s="107"/>
      <c r="AR380" s="107"/>
      <c r="AS380" s="107"/>
      <c r="AT380" s="107"/>
      <c r="AU380" s="107"/>
      <c r="AV380" s="107"/>
      <c r="AW380" s="107"/>
      <c r="AX380" s="107"/>
      <c r="AY380" s="107"/>
      <c r="AZ380" s="107"/>
      <c r="BA380" s="107"/>
      <c r="BB380" s="107"/>
      <c r="BC380" s="107"/>
      <c r="BD380" s="107"/>
      <c r="BE380" s="107"/>
      <c r="BF380" s="107"/>
      <c r="BG380" s="107"/>
    </row>
    <row r="381" spans="1:59" ht="13.75" customHeight="1" outlineLevel="1">
      <c r="F381" s="168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AG381" s="116"/>
      <c r="AH381" s="116"/>
      <c r="AI381" s="161"/>
      <c r="AJ381" s="161"/>
      <c r="AK381" s="161"/>
      <c r="AL381" s="161"/>
      <c r="AM381" s="161"/>
      <c r="AN381" s="107"/>
      <c r="AO381" s="107"/>
      <c r="AP381" s="107"/>
      <c r="AQ381" s="107"/>
      <c r="AR381" s="107"/>
      <c r="AS381" s="107"/>
      <c r="AT381" s="107"/>
      <c r="AU381" s="107"/>
      <c r="AV381" s="107"/>
      <c r="AW381" s="107"/>
      <c r="AX381" s="107"/>
      <c r="AY381" s="107"/>
      <c r="AZ381" s="107"/>
      <c r="BA381" s="107"/>
      <c r="BB381" s="107"/>
      <c r="BC381" s="107"/>
      <c r="BD381" s="107"/>
      <c r="BE381" s="107"/>
      <c r="BF381" s="107"/>
      <c r="BG381" s="107"/>
    </row>
    <row r="382" spans="1:59" ht="13.75" customHeight="1" outlineLevel="1">
      <c r="F382" s="168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AG382" s="116"/>
      <c r="AH382" s="116"/>
      <c r="AI382" s="161"/>
      <c r="AJ382" s="161"/>
      <c r="AK382" s="161"/>
      <c r="AL382" s="161"/>
      <c r="AM382" s="161"/>
      <c r="AN382" s="107"/>
      <c r="AO382" s="107"/>
      <c r="AP382" s="107"/>
      <c r="AQ382" s="107"/>
      <c r="AR382" s="107"/>
      <c r="AS382" s="107"/>
      <c r="AT382" s="107"/>
      <c r="AU382" s="107"/>
      <c r="AV382" s="107"/>
      <c r="AW382" s="107"/>
      <c r="AX382" s="107"/>
      <c r="AY382" s="107"/>
      <c r="AZ382" s="107"/>
      <c r="BA382" s="107"/>
      <c r="BB382" s="107"/>
      <c r="BC382" s="107"/>
      <c r="BD382" s="107"/>
      <c r="BE382" s="107"/>
      <c r="BF382" s="107"/>
      <c r="BG382" s="107"/>
    </row>
    <row r="383" spans="1:59" ht="13.75" customHeight="1" outlineLevel="1">
      <c r="F383" s="168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AG383" s="116"/>
      <c r="AH383" s="116"/>
      <c r="AI383" s="161"/>
      <c r="AJ383" s="161"/>
      <c r="AK383" s="161"/>
      <c r="AL383" s="161"/>
      <c r="AM383" s="161"/>
      <c r="AN383" s="107"/>
      <c r="AO383" s="107"/>
      <c r="AP383" s="107"/>
      <c r="AQ383" s="107"/>
      <c r="AR383" s="107"/>
      <c r="AS383" s="107"/>
      <c r="AT383" s="107"/>
      <c r="AU383" s="107"/>
      <c r="AV383" s="107"/>
      <c r="AW383" s="107"/>
      <c r="AX383" s="107"/>
      <c r="AY383" s="107"/>
      <c r="AZ383" s="107"/>
      <c r="BA383" s="107"/>
      <c r="BB383" s="107"/>
      <c r="BC383" s="107"/>
      <c r="BD383" s="107"/>
      <c r="BE383" s="107"/>
      <c r="BF383" s="107"/>
      <c r="BG383" s="107"/>
    </row>
    <row r="384" spans="1:59" ht="13.75" customHeight="1" outlineLevel="1">
      <c r="F384" s="168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AG384" s="116"/>
      <c r="AH384" s="116"/>
      <c r="AI384" s="161"/>
      <c r="AJ384" s="161"/>
      <c r="AK384" s="161"/>
      <c r="AL384" s="161"/>
      <c r="AM384" s="161"/>
    </row>
    <row r="385" spans="1:39" ht="13.75" customHeight="1" outlineLevel="1">
      <c r="F385" s="168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16"/>
      <c r="AH385" s="116"/>
      <c r="AI385" s="161"/>
      <c r="AJ385" s="161"/>
      <c r="AK385" s="161"/>
      <c r="AL385" s="161"/>
      <c r="AM385" s="161"/>
    </row>
    <row r="386" spans="1:39" ht="13.75" customHeight="1" outlineLevel="1">
      <c r="F386" s="168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16"/>
      <c r="AH386" s="116"/>
      <c r="AI386" s="161"/>
      <c r="AJ386" s="161"/>
      <c r="AK386" s="161"/>
      <c r="AL386" s="161"/>
      <c r="AM386" s="161"/>
    </row>
    <row r="387" spans="1:39" ht="13.75" customHeight="1" outlineLevel="1">
      <c r="F387" s="168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16"/>
      <c r="AH387" s="116"/>
      <c r="AI387" s="161"/>
      <c r="AJ387" s="161"/>
      <c r="AK387" s="161"/>
      <c r="AL387" s="161"/>
      <c r="AM387" s="161"/>
    </row>
    <row r="388" spans="1:39" ht="13.75" customHeight="1" outlineLevel="1">
      <c r="F388" s="168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16"/>
      <c r="AH388" s="116"/>
      <c r="AI388" s="161"/>
      <c r="AJ388" s="161"/>
      <c r="AK388" s="161"/>
      <c r="AL388" s="161"/>
      <c r="AM388" s="161"/>
    </row>
    <row r="389" spans="1:39" ht="13.75" customHeight="1" outlineLevel="1">
      <c r="F389" s="168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16"/>
      <c r="AH389" s="116"/>
      <c r="AI389" s="161"/>
      <c r="AJ389" s="161"/>
      <c r="AK389" s="161"/>
      <c r="AL389" s="161"/>
      <c r="AM389" s="161"/>
    </row>
    <row r="390" spans="1:39" ht="13.75" customHeight="1" outlineLevel="1">
      <c r="F390" s="168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16"/>
      <c r="AH390" s="116"/>
      <c r="AI390" s="161"/>
      <c r="AJ390" s="161"/>
      <c r="AK390" s="161"/>
      <c r="AL390" s="161"/>
      <c r="AM390" s="161"/>
    </row>
    <row r="391" spans="1:39" ht="13.75" customHeight="1" outlineLevel="1">
      <c r="F391" s="168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16"/>
      <c r="AH391" s="116"/>
      <c r="AI391" s="161"/>
      <c r="AJ391" s="161"/>
      <c r="AK391" s="161"/>
      <c r="AL391" s="161"/>
      <c r="AM391" s="161"/>
    </row>
    <row r="392" spans="1:39" ht="13.75" customHeight="1" outlineLevel="1">
      <c r="F392" s="168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16"/>
      <c r="AH392" s="116"/>
      <c r="AI392" s="161"/>
      <c r="AJ392" s="161"/>
      <c r="AK392" s="161"/>
      <c r="AL392" s="161"/>
      <c r="AM392" s="161"/>
    </row>
    <row r="393" spans="1:39" ht="13.75" customHeight="1" outlineLevel="1">
      <c r="F393" s="168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16"/>
      <c r="AH393" s="116"/>
      <c r="AI393" s="161"/>
      <c r="AJ393" s="161"/>
      <c r="AK393" s="161"/>
      <c r="AL393" s="161"/>
      <c r="AM393" s="161"/>
    </row>
    <row r="394" spans="1:39" ht="13.75" customHeight="1" outlineLevel="1">
      <c r="F394" s="168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16"/>
      <c r="AH394" s="116"/>
      <c r="AI394" s="161"/>
      <c r="AJ394" s="161"/>
      <c r="AK394" s="161"/>
      <c r="AL394" s="161"/>
      <c r="AM394" s="161"/>
    </row>
    <row r="395" spans="1:39" ht="13.75" customHeight="1" outlineLevel="1">
      <c r="F395" s="168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16"/>
      <c r="AH395" s="116"/>
      <c r="AI395" s="161"/>
      <c r="AJ395" s="161"/>
      <c r="AK395" s="161"/>
      <c r="AL395" s="161"/>
      <c r="AM395" s="161"/>
    </row>
    <row r="396" spans="1:39" ht="13.75" customHeight="1">
      <c r="A396" s="141" t="s">
        <v>166</v>
      </c>
      <c r="B396" s="142" t="s">
        <v>463</v>
      </c>
      <c r="F396" s="168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16"/>
      <c r="AH396" s="116"/>
      <c r="AI396" s="161"/>
      <c r="AJ396" s="161"/>
      <c r="AK396" s="161"/>
      <c r="AL396" s="161"/>
      <c r="AM396" s="161"/>
    </row>
    <row r="397" spans="1:39" ht="13.75" customHeight="1" outlineLevel="1">
      <c r="F397" s="168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16"/>
      <c r="AH397" s="116"/>
      <c r="AI397" s="161"/>
      <c r="AJ397" s="161"/>
      <c r="AK397" s="161"/>
      <c r="AL397" s="161"/>
      <c r="AM397" s="161"/>
    </row>
    <row r="398" spans="1:39" ht="13.75" customHeight="1" outlineLevel="1">
      <c r="F398" s="168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16"/>
      <c r="AH398" s="116"/>
      <c r="AI398" s="161"/>
      <c r="AJ398" s="161"/>
      <c r="AK398" s="161"/>
      <c r="AL398" s="161"/>
      <c r="AM398" s="161"/>
    </row>
    <row r="399" spans="1:39" ht="13.75" customHeight="1" outlineLevel="1">
      <c r="F399" s="168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16"/>
      <c r="AH399" s="116"/>
      <c r="AI399" s="161"/>
      <c r="AJ399" s="161"/>
      <c r="AK399" s="161"/>
      <c r="AL399" s="161"/>
      <c r="AM399" s="161"/>
    </row>
    <row r="400" spans="1:39" ht="13.75" customHeight="1" outlineLevel="1">
      <c r="F400" s="168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16"/>
      <c r="AH400" s="116"/>
      <c r="AI400" s="161"/>
      <c r="AJ400" s="161"/>
      <c r="AK400" s="161"/>
      <c r="AL400" s="161"/>
      <c r="AM400" s="161"/>
    </row>
    <row r="401" spans="6:39" ht="13.75" customHeight="1" outlineLevel="1">
      <c r="F401" s="168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16"/>
      <c r="AH401" s="116"/>
      <c r="AI401" s="161"/>
      <c r="AJ401" s="161"/>
      <c r="AK401" s="161"/>
      <c r="AL401" s="161"/>
      <c r="AM401" s="161"/>
    </row>
    <row r="402" spans="6:39" ht="13.75" customHeight="1" outlineLevel="1">
      <c r="F402" s="168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16"/>
      <c r="AH402" s="116"/>
      <c r="AI402" s="161"/>
      <c r="AJ402" s="161"/>
      <c r="AK402" s="161"/>
      <c r="AL402" s="161"/>
      <c r="AM402" s="161"/>
    </row>
    <row r="403" spans="6:39" ht="13.75" customHeight="1" outlineLevel="1">
      <c r="F403" s="168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16"/>
      <c r="AH403" s="116"/>
      <c r="AI403" s="161"/>
      <c r="AJ403" s="161"/>
      <c r="AK403" s="161"/>
      <c r="AL403" s="161"/>
      <c r="AM403" s="161"/>
    </row>
    <row r="404" spans="6:39" ht="13.75" customHeight="1" outlineLevel="1">
      <c r="F404" s="168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16"/>
      <c r="AH404" s="116"/>
      <c r="AI404" s="161"/>
      <c r="AJ404" s="161"/>
      <c r="AK404" s="161"/>
      <c r="AL404" s="161"/>
      <c r="AM404" s="161"/>
    </row>
    <row r="405" spans="6:39" ht="13.75" customHeight="1" outlineLevel="1">
      <c r="F405" s="168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16"/>
      <c r="AH405" s="116"/>
      <c r="AI405" s="161"/>
      <c r="AJ405" s="161"/>
      <c r="AK405" s="161"/>
      <c r="AL405" s="161"/>
      <c r="AM405" s="161"/>
    </row>
    <row r="406" spans="6:39" ht="13.75" customHeight="1" outlineLevel="1">
      <c r="F406" s="168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16"/>
      <c r="AH406" s="116"/>
      <c r="AI406" s="161"/>
      <c r="AJ406" s="161"/>
      <c r="AK406" s="161"/>
      <c r="AL406" s="161"/>
      <c r="AM406" s="161"/>
    </row>
    <row r="407" spans="6:39" ht="13.75" customHeight="1" outlineLevel="1">
      <c r="F407" s="168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16"/>
      <c r="AH407" s="116"/>
      <c r="AI407" s="161"/>
      <c r="AJ407" s="161"/>
      <c r="AK407" s="161"/>
      <c r="AL407" s="161"/>
      <c r="AM407" s="161"/>
    </row>
    <row r="408" spans="6:39" ht="13.75" customHeight="1" outlineLevel="1">
      <c r="F408" s="168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16"/>
      <c r="AH408" s="116"/>
      <c r="AI408" s="161"/>
      <c r="AJ408" s="161"/>
      <c r="AK408" s="161"/>
      <c r="AL408" s="161"/>
      <c r="AM408" s="161"/>
    </row>
    <row r="409" spans="6:39" ht="13.75" customHeight="1" outlineLevel="1">
      <c r="F409" s="168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16"/>
      <c r="AH409" s="116"/>
      <c r="AI409" s="161"/>
      <c r="AJ409" s="161"/>
      <c r="AK409" s="161"/>
      <c r="AL409" s="161"/>
      <c r="AM409" s="161"/>
    </row>
    <row r="410" spans="6:39" ht="13.75" customHeight="1" outlineLevel="1">
      <c r="F410" s="168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16"/>
      <c r="AH410" s="116"/>
      <c r="AI410" s="161"/>
      <c r="AJ410" s="161"/>
      <c r="AK410" s="161"/>
      <c r="AL410" s="161"/>
      <c r="AM410" s="161"/>
    </row>
    <row r="411" spans="6:39" ht="13.75" customHeight="1" outlineLevel="1">
      <c r="F411" s="168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16"/>
      <c r="AH411" s="116"/>
      <c r="AI411" s="161"/>
      <c r="AJ411" s="161"/>
      <c r="AK411" s="161"/>
      <c r="AL411" s="161"/>
      <c r="AM411" s="161"/>
    </row>
    <row r="412" spans="6:39" ht="13.75" customHeight="1" outlineLevel="1">
      <c r="F412" s="168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16"/>
      <c r="AH412" s="116"/>
      <c r="AI412" s="161"/>
      <c r="AJ412" s="161"/>
      <c r="AK412" s="161"/>
      <c r="AL412" s="161"/>
      <c r="AM412" s="161"/>
    </row>
    <row r="413" spans="6:39" ht="13.75" customHeight="1" outlineLevel="1">
      <c r="F413" s="168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16"/>
      <c r="AH413" s="116"/>
      <c r="AI413" s="161"/>
      <c r="AJ413" s="161"/>
      <c r="AK413" s="161"/>
      <c r="AL413" s="161"/>
      <c r="AM413" s="161"/>
    </row>
    <row r="414" spans="6:39" ht="13.75" customHeight="1" outlineLevel="1">
      <c r="F414" s="168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16"/>
      <c r="AH414" s="116"/>
      <c r="AI414" s="161"/>
      <c r="AJ414" s="161"/>
      <c r="AK414" s="161"/>
      <c r="AL414" s="161"/>
      <c r="AM414" s="161"/>
    </row>
    <row r="415" spans="6:39" ht="13.75" customHeight="1" outlineLevel="1">
      <c r="F415" s="168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16"/>
      <c r="AH415" s="116"/>
      <c r="AI415" s="161"/>
      <c r="AJ415" s="161"/>
      <c r="AK415" s="161"/>
      <c r="AL415" s="161"/>
      <c r="AM415" s="161"/>
    </row>
    <row r="416" spans="6:39" ht="13.75" customHeight="1" outlineLevel="1">
      <c r="F416" s="168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16"/>
      <c r="AH416" s="116"/>
      <c r="AI416" s="161"/>
      <c r="AJ416" s="161"/>
      <c r="AK416" s="161"/>
      <c r="AL416" s="161"/>
      <c r="AM416" s="161"/>
    </row>
    <row r="417" spans="1:59" ht="13.75" customHeight="1" outlineLevel="1">
      <c r="F417" s="168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AG417" s="116"/>
      <c r="AH417" s="116"/>
    </row>
    <row r="418" spans="1:59" ht="13.75" customHeight="1" outlineLevel="1">
      <c r="F418" s="168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AG418" s="116"/>
      <c r="AH418" s="116"/>
    </row>
    <row r="419" spans="1:59" ht="13.75" customHeight="1" outlineLevel="1">
      <c r="F419" s="168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AG419" s="116"/>
      <c r="AH419" s="116"/>
    </row>
    <row r="420" spans="1:59" ht="13.75" customHeight="1" outlineLevel="1">
      <c r="F420" s="168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AG420" s="116"/>
      <c r="AH420" s="116"/>
    </row>
    <row r="421" spans="1:59" ht="13.75" customHeight="1" outlineLevel="1">
      <c r="F421" s="168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AB421" s="124"/>
      <c r="AG421" s="116"/>
      <c r="AH421" s="116"/>
    </row>
    <row r="422" spans="1:59" ht="13.75" customHeight="1">
      <c r="A422" s="141" t="s">
        <v>166</v>
      </c>
      <c r="B422" s="142" t="s">
        <v>464</v>
      </c>
      <c r="D422" s="142" t="s">
        <v>168</v>
      </c>
      <c r="F422" s="168" t="s">
        <v>465</v>
      </c>
      <c r="G422" s="109" t="s">
        <v>443</v>
      </c>
      <c r="I422" s="109" t="s">
        <v>466</v>
      </c>
      <c r="J422" s="109"/>
      <c r="K422" s="109"/>
      <c r="L422" s="109"/>
      <c r="M422" s="109"/>
      <c r="N422" s="133">
        <v>1400</v>
      </c>
      <c r="O422" s="133">
        <v>1800</v>
      </c>
      <c r="P422" s="133">
        <v>2400</v>
      </c>
      <c r="Q422" s="133">
        <v>2740</v>
      </c>
      <c r="R422" s="133">
        <v>1370</v>
      </c>
      <c r="S422" s="133">
        <v>1780</v>
      </c>
      <c r="T422" s="133">
        <v>2480</v>
      </c>
      <c r="U422" s="133">
        <v>2760</v>
      </c>
      <c r="V422" s="133">
        <v>2610</v>
      </c>
      <c r="W422" s="133">
        <v>2340</v>
      </c>
      <c r="X422" s="133">
        <v>1490</v>
      </c>
      <c r="Y422" s="133">
        <v>1310</v>
      </c>
      <c r="Z422" s="133">
        <v>1487.1610000000001</v>
      </c>
      <c r="AA422" s="133">
        <v>1621.12</v>
      </c>
      <c r="AB422" s="133">
        <v>1581.847</v>
      </c>
      <c r="AC422" s="133">
        <v>1443.3869999999999</v>
      </c>
      <c r="AD422" s="133">
        <v>1493.8019999999999</v>
      </c>
      <c r="AE422" s="133">
        <v>637.82299999999998</v>
      </c>
      <c r="AF422" s="133">
        <v>1051.2908</v>
      </c>
      <c r="AG422" s="133">
        <v>1196.2</v>
      </c>
      <c r="AH422" s="133">
        <f>+AG422*(1+AH$2*1.5)</f>
        <v>1229.8410746344998</v>
      </c>
      <c r="AI422" s="133">
        <f t="shared" ref="AI422:AM422" si="137">+AH422*(1+AI$2*1.5)</f>
        <v>1254.3577353210385</v>
      </c>
      <c r="AJ422" s="133">
        <f t="shared" si="137"/>
        <v>1291.9884673806696</v>
      </c>
      <c r="AK422" s="133">
        <f t="shared" si="137"/>
        <v>1330.7481214020897</v>
      </c>
      <c r="AL422" s="133">
        <f t="shared" si="137"/>
        <v>1370.6705650441525</v>
      </c>
      <c r="AM422" s="133">
        <f t="shared" si="137"/>
        <v>1411.7906819954771</v>
      </c>
      <c r="AN422" s="133">
        <f>+AM422*(1+AN$2*1.5)</f>
        <v>1454.1444024553416</v>
      </c>
      <c r="AO422" s="133">
        <f t="shared" ref="AO422:BD423" si="138">+AN422*(1+AO$2*1.5)</f>
        <v>1497.7687345290019</v>
      </c>
      <c r="AP422" s="133">
        <f t="shared" si="138"/>
        <v>1542.701796564872</v>
      </c>
      <c r="AQ422" s="133">
        <f t="shared" si="138"/>
        <v>1588.9828504618181</v>
      </c>
      <c r="AR422" s="133">
        <f t="shared" si="138"/>
        <v>1636.6523359756727</v>
      </c>
      <c r="AS422" s="133">
        <f t="shared" si="138"/>
        <v>1685.751906054943</v>
      </c>
      <c r="AT422" s="133">
        <f t="shared" si="138"/>
        <v>1736.3244632365913</v>
      </c>
      <c r="AU422" s="133">
        <f t="shared" si="138"/>
        <v>1788.4141971336892</v>
      </c>
      <c r="AV422" s="133">
        <f t="shared" si="138"/>
        <v>1842.0666230477</v>
      </c>
      <c r="AW422" s="133">
        <f t="shared" si="138"/>
        <v>1897.328621739131</v>
      </c>
      <c r="AX422" s="133">
        <f t="shared" si="138"/>
        <v>1954.2484803913051</v>
      </c>
      <c r="AY422" s="133">
        <f t="shared" si="138"/>
        <v>2012.8759348030442</v>
      </c>
      <c r="AZ422" s="133">
        <f t="shared" si="138"/>
        <v>2073.2622128471357</v>
      </c>
      <c r="BA422" s="133">
        <f t="shared" si="138"/>
        <v>2135.46007923255</v>
      </c>
      <c r="BB422" s="133">
        <f t="shared" si="138"/>
        <v>2199.5238816095266</v>
      </c>
      <c r="BC422" s="133">
        <f t="shared" si="138"/>
        <v>2265.5095980578126</v>
      </c>
      <c r="BD422" s="133">
        <f t="shared" si="138"/>
        <v>2333.474885999547</v>
      </c>
      <c r="BE422" s="133">
        <f t="shared" ref="BE422:BG423" si="139">+BD422*(1+BE$2*1.5)</f>
        <v>2403.4791325795336</v>
      </c>
      <c r="BF422" s="133">
        <f t="shared" si="139"/>
        <v>2475.5835065569195</v>
      </c>
      <c r="BG422" s="133">
        <f t="shared" si="139"/>
        <v>2549.8510117536271</v>
      </c>
    </row>
    <row r="423" spans="1:59" ht="13.75" customHeight="1">
      <c r="A423" s="141" t="s">
        <v>166</v>
      </c>
      <c r="B423" s="142" t="s">
        <v>464</v>
      </c>
      <c r="D423" s="142" t="s">
        <v>168</v>
      </c>
      <c r="F423" s="168" t="s">
        <v>467</v>
      </c>
      <c r="G423" s="109" t="s">
        <v>443</v>
      </c>
      <c r="I423" s="109" t="s">
        <v>466</v>
      </c>
      <c r="J423" s="109"/>
      <c r="K423" s="109"/>
      <c r="L423" s="109"/>
      <c r="M423" s="109"/>
      <c r="N423" s="133"/>
      <c r="O423" s="133"/>
      <c r="P423" s="133"/>
      <c r="Q423" s="133"/>
      <c r="R423" s="133">
        <v>91</v>
      </c>
      <c r="S423" s="133">
        <v>122</v>
      </c>
      <c r="T423" s="133">
        <v>166</v>
      </c>
      <c r="U423" s="133">
        <v>174</v>
      </c>
      <c r="V423" s="133">
        <v>165</v>
      </c>
      <c r="W423" s="133">
        <v>141</v>
      </c>
      <c r="X423" s="133">
        <v>92</v>
      </c>
      <c r="Y423" s="133">
        <v>93</v>
      </c>
      <c r="Z423" s="133">
        <v>108.57599999999999</v>
      </c>
      <c r="AA423" s="133">
        <v>106.224</v>
      </c>
      <c r="AB423" s="133">
        <v>104.224</v>
      </c>
      <c r="AC423" s="133">
        <v>101.754</v>
      </c>
      <c r="AD423" s="133">
        <v>132.303</v>
      </c>
      <c r="AE423" s="133">
        <v>72.525000000000006</v>
      </c>
      <c r="AF423" s="133">
        <v>82.1</v>
      </c>
      <c r="AG423" s="133">
        <v>82.4</v>
      </c>
      <c r="AH423" s="133">
        <f t="shared" ref="AH423:AM423" si="140">+AG423*(1+AH$2*1.5)</f>
        <v>84.717358760978769</v>
      </c>
      <c r="AI423" s="133">
        <f t="shared" si="140"/>
        <v>86.406184074948669</v>
      </c>
      <c r="AJ423" s="133">
        <f t="shared" si="140"/>
        <v>88.998369597197126</v>
      </c>
      <c r="AK423" s="133">
        <f t="shared" si="140"/>
        <v>91.668320685113045</v>
      </c>
      <c r="AL423" s="133">
        <f t="shared" si="140"/>
        <v>94.418370305666443</v>
      </c>
      <c r="AM423" s="133">
        <f t="shared" si="140"/>
        <v>97.250921414836441</v>
      </c>
      <c r="AN423" s="133">
        <f>+AM423*(1+AN$2*1.5)</f>
        <v>100.16844905728153</v>
      </c>
      <c r="AO423" s="133">
        <f t="shared" si="138"/>
        <v>103.17350252899999</v>
      </c>
      <c r="AP423" s="133">
        <f t="shared" si="138"/>
        <v>106.26870760486999</v>
      </c>
      <c r="AQ423" s="133">
        <f t="shared" si="138"/>
        <v>109.45676883301608</v>
      </c>
      <c r="AR423" s="133">
        <f t="shared" si="138"/>
        <v>112.74047189800658</v>
      </c>
      <c r="AS423" s="133">
        <f t="shared" si="138"/>
        <v>116.12268605494677</v>
      </c>
      <c r="AT423" s="133">
        <f t="shared" si="138"/>
        <v>119.60636663659517</v>
      </c>
      <c r="AU423" s="133">
        <f t="shared" si="138"/>
        <v>123.19455763569303</v>
      </c>
      <c r="AV423" s="133">
        <f t="shared" si="138"/>
        <v>126.89039436476382</v>
      </c>
      <c r="AW423" s="133">
        <f t="shared" si="138"/>
        <v>130.69710619570674</v>
      </c>
      <c r="AX423" s="133">
        <f t="shared" si="138"/>
        <v>134.61801938157794</v>
      </c>
      <c r="AY423" s="133">
        <f t="shared" si="138"/>
        <v>138.65655996302527</v>
      </c>
      <c r="AZ423" s="133">
        <f t="shared" si="138"/>
        <v>142.81625676191604</v>
      </c>
      <c r="BA423" s="133">
        <f t="shared" si="138"/>
        <v>147.10074446477353</v>
      </c>
      <c r="BB423" s="133">
        <f t="shared" si="138"/>
        <v>151.51376679871674</v>
      </c>
      <c r="BC423" s="133">
        <f t="shared" si="138"/>
        <v>156.05917980267824</v>
      </c>
      <c r="BD423" s="133">
        <f t="shared" si="138"/>
        <v>160.74095519675859</v>
      </c>
      <c r="BE423" s="133">
        <f t="shared" si="139"/>
        <v>165.56318385266135</v>
      </c>
      <c r="BF423" s="133">
        <f t="shared" si="139"/>
        <v>170.53007936824119</v>
      </c>
      <c r="BG423" s="133">
        <f t="shared" si="139"/>
        <v>175.64598174928844</v>
      </c>
    </row>
    <row r="424" spans="1:59" ht="13.75" customHeight="1">
      <c r="A424" s="141" t="s">
        <v>166</v>
      </c>
      <c r="B424" s="142" t="s">
        <v>464</v>
      </c>
      <c r="D424" s="142" t="s">
        <v>168</v>
      </c>
      <c r="F424" s="168" t="s">
        <v>468</v>
      </c>
      <c r="G424" s="109" t="s">
        <v>443</v>
      </c>
      <c r="I424" s="109" t="s">
        <v>466</v>
      </c>
      <c r="J424" s="109"/>
      <c r="K424" s="109"/>
      <c r="L424" s="109"/>
      <c r="M424" s="109"/>
      <c r="N424" s="133"/>
      <c r="O424" s="133"/>
      <c r="P424" s="133"/>
      <c r="Q424" s="133"/>
      <c r="R424" s="133">
        <v>41</v>
      </c>
      <c r="S424" s="133">
        <v>60</v>
      </c>
      <c r="T424" s="133">
        <v>111</v>
      </c>
      <c r="U424" s="133">
        <v>129</v>
      </c>
      <c r="V424" s="133">
        <v>111</v>
      </c>
      <c r="W424" s="133">
        <v>88</v>
      </c>
      <c r="X424" s="133">
        <v>51</v>
      </c>
      <c r="Y424" s="133">
        <v>53</v>
      </c>
      <c r="Z424" s="133">
        <v>80.153999999999996</v>
      </c>
      <c r="AA424" s="133">
        <v>80.701999999999998</v>
      </c>
      <c r="AB424" s="133">
        <v>78.807000000000002</v>
      </c>
      <c r="AC424" s="133">
        <v>72.683000000000007</v>
      </c>
      <c r="AD424" s="133">
        <v>100.196</v>
      </c>
      <c r="AE424" s="133">
        <v>84.671999999999997</v>
      </c>
      <c r="AF424" s="133">
        <v>145.30000000000001</v>
      </c>
      <c r="AG424" s="133">
        <v>113.5</v>
      </c>
      <c r="AH424" s="133">
        <v>109</v>
      </c>
      <c r="AI424" s="133">
        <f t="shared" ref="AI424:AX425" si="141">+AH424*(1+AI$2)</f>
        <v>110.44859693389078</v>
      </c>
      <c r="AJ424" s="133">
        <f t="shared" si="141"/>
        <v>112.6575688725686</v>
      </c>
      <c r="AK424" s="133">
        <f t="shared" si="141"/>
        <v>114.91072025001998</v>
      </c>
      <c r="AL424" s="133">
        <f t="shared" si="141"/>
        <v>117.20893465502039</v>
      </c>
      <c r="AM424" s="133">
        <f t="shared" si="141"/>
        <v>119.55311334812079</v>
      </c>
      <c r="AN424" s="133">
        <f t="shared" si="141"/>
        <v>121.94417561508321</v>
      </c>
      <c r="AO424" s="133">
        <f t="shared" si="141"/>
        <v>124.38305912738488</v>
      </c>
      <c r="AP424" s="133">
        <f t="shared" si="141"/>
        <v>126.87072030993258</v>
      </c>
      <c r="AQ424" s="133">
        <f t="shared" si="141"/>
        <v>129.40813471613123</v>
      </c>
      <c r="AR424" s="133">
        <f t="shared" si="141"/>
        <v>131.99629741045385</v>
      </c>
      <c r="AS424" s="133">
        <f t="shared" si="141"/>
        <v>134.63622335866293</v>
      </c>
      <c r="AT424" s="133">
        <f t="shared" si="141"/>
        <v>137.3289478258362</v>
      </c>
      <c r="AU424" s="133">
        <f t="shared" si="141"/>
        <v>140.07552678235291</v>
      </c>
      <c r="AV424" s="133">
        <f t="shared" si="141"/>
        <v>142.87703731799996</v>
      </c>
      <c r="AW424" s="133">
        <f t="shared" si="141"/>
        <v>145.73457806435997</v>
      </c>
      <c r="AX424" s="133">
        <f t="shared" si="141"/>
        <v>148.64926962564718</v>
      </c>
      <c r="AY424" s="133">
        <f t="shared" ref="AY424:BG425" si="142">+AX424*(1+AY$2)</f>
        <v>151.62225501816013</v>
      </c>
      <c r="AZ424" s="133">
        <f t="shared" si="142"/>
        <v>154.65470011852335</v>
      </c>
      <c r="BA424" s="133">
        <f t="shared" si="142"/>
        <v>157.74779412089381</v>
      </c>
      <c r="BB424" s="133">
        <f t="shared" si="142"/>
        <v>160.9027500033117</v>
      </c>
      <c r="BC424" s="133">
        <f t="shared" si="142"/>
        <v>164.12080500337794</v>
      </c>
      <c r="BD424" s="133">
        <f t="shared" si="142"/>
        <v>167.4032211034455</v>
      </c>
      <c r="BE424" s="133">
        <f t="shared" si="142"/>
        <v>170.75128552551442</v>
      </c>
      <c r="BF424" s="133">
        <f t="shared" si="142"/>
        <v>174.16631123602471</v>
      </c>
      <c r="BG424" s="133">
        <f t="shared" si="142"/>
        <v>177.6496374607452</v>
      </c>
    </row>
    <row r="425" spans="1:59" ht="13.75" customHeight="1">
      <c r="A425" s="141" t="s">
        <v>166</v>
      </c>
      <c r="B425" s="142" t="s">
        <v>464</v>
      </c>
      <c r="D425" s="142" t="s">
        <v>168</v>
      </c>
      <c r="F425" s="168" t="s">
        <v>469</v>
      </c>
      <c r="G425" s="109" t="s">
        <v>443</v>
      </c>
      <c r="I425" s="109" t="s">
        <v>466</v>
      </c>
      <c r="J425" s="109"/>
      <c r="K425" s="109"/>
      <c r="L425" s="109"/>
      <c r="M425" s="109"/>
      <c r="N425" s="133"/>
      <c r="O425" s="133"/>
      <c r="P425" s="133"/>
      <c r="Q425" s="133"/>
      <c r="R425" s="133">
        <v>10.3</v>
      </c>
      <c r="S425" s="133">
        <v>12.4</v>
      </c>
      <c r="T425" s="133">
        <v>16.399999999999999</v>
      </c>
      <c r="U425" s="133">
        <v>17.100000000000001</v>
      </c>
      <c r="V425" s="133">
        <v>15.2</v>
      </c>
      <c r="W425" s="133">
        <v>11.2</v>
      </c>
      <c r="X425" s="133">
        <v>9</v>
      </c>
      <c r="Y425" s="133">
        <v>10.4</v>
      </c>
      <c r="Z425" s="133">
        <v>11.7</v>
      </c>
      <c r="AA425" s="133">
        <v>13.273999999999999</v>
      </c>
      <c r="AB425" s="133">
        <v>13.962999999999999</v>
      </c>
      <c r="AC425" s="133">
        <v>13.339</v>
      </c>
      <c r="AD425" s="133">
        <v>15.664</v>
      </c>
      <c r="AE425" s="133">
        <v>13.584</v>
      </c>
      <c r="AF425" s="133">
        <v>16.7</v>
      </c>
      <c r="AG425" s="133">
        <f t="shared" ref="AG425:AM425" si="143">+AF425*(1+AG$2)</f>
        <v>17.107360059597681</v>
      </c>
      <c r="AH425" s="133">
        <f t="shared" si="143"/>
        <v>17.428103511954692</v>
      </c>
      <c r="AI425" s="133">
        <f t="shared" si="143"/>
        <v>17.659720918477159</v>
      </c>
      <c r="AJ425" s="133">
        <f t="shared" si="143"/>
        <v>18.012915336846703</v>
      </c>
      <c r="AK425" s="133">
        <f t="shared" si="143"/>
        <v>18.373173643583637</v>
      </c>
      <c r="AL425" s="133">
        <f t="shared" si="143"/>
        <v>18.740637116455311</v>
      </c>
      <c r="AM425" s="133">
        <f t="shared" si="143"/>
        <v>19.115449858784416</v>
      </c>
      <c r="AN425" s="133">
        <f>+AM425*(1+AN$2)</f>
        <v>19.497758855960104</v>
      </c>
      <c r="AO425" s="133">
        <f t="shared" si="141"/>
        <v>19.887714033079305</v>
      </c>
      <c r="AP425" s="133">
        <f t="shared" si="141"/>
        <v>20.285468313740893</v>
      </c>
      <c r="AQ425" s="133">
        <f t="shared" si="141"/>
        <v>20.691177680015709</v>
      </c>
      <c r="AR425" s="133">
        <f t="shared" si="141"/>
        <v>21.105001233616022</v>
      </c>
      <c r="AS425" s="133">
        <f t="shared" si="141"/>
        <v>21.527101258288344</v>
      </c>
      <c r="AT425" s="133">
        <f t="shared" si="141"/>
        <v>21.957643283454111</v>
      </c>
      <c r="AU425" s="133">
        <f t="shared" si="141"/>
        <v>22.396796149123194</v>
      </c>
      <c r="AV425" s="133">
        <f t="shared" si="141"/>
        <v>22.844732072105657</v>
      </c>
      <c r="AW425" s="133">
        <f t="shared" si="141"/>
        <v>23.301626713547769</v>
      </c>
      <c r="AX425" s="133">
        <f t="shared" si="141"/>
        <v>23.767659247818724</v>
      </c>
      <c r="AY425" s="133">
        <f t="shared" si="142"/>
        <v>24.2430124327751</v>
      </c>
      <c r="AZ425" s="133">
        <f t="shared" si="142"/>
        <v>24.7278726814306</v>
      </c>
      <c r="BA425" s="133">
        <f t="shared" si="142"/>
        <v>25.222430135059213</v>
      </c>
      <c r="BB425" s="133">
        <f t="shared" si="142"/>
        <v>25.726878737760398</v>
      </c>
      <c r="BC425" s="133">
        <f t="shared" si="142"/>
        <v>26.241416312515607</v>
      </c>
      <c r="BD425" s="133">
        <f t="shared" si="142"/>
        <v>26.766244638765919</v>
      </c>
      <c r="BE425" s="133">
        <f t="shared" si="142"/>
        <v>27.301569531541237</v>
      </c>
      <c r="BF425" s="133">
        <f t="shared" si="142"/>
        <v>27.847600922172063</v>
      </c>
      <c r="BG425" s="133">
        <f t="shared" si="142"/>
        <v>28.404552940615506</v>
      </c>
    </row>
    <row r="426" spans="1:59" ht="13.75" customHeight="1" outlineLevel="1">
      <c r="F426" s="168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AG426" s="116"/>
      <c r="AH426" s="116"/>
    </row>
    <row r="427" spans="1:59" ht="13.75" customHeight="1" outlineLevel="1">
      <c r="F427" s="168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AG427" s="116"/>
      <c r="AH427" s="116"/>
    </row>
    <row r="428" spans="1:59" ht="13.75" customHeight="1" outlineLevel="1">
      <c r="F428" s="168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AG428" s="116"/>
      <c r="AH428" s="116"/>
    </row>
    <row r="429" spans="1:59" ht="13.75" customHeight="1" outlineLevel="1">
      <c r="F429" s="168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AG429" s="116"/>
      <c r="AH429" s="116"/>
    </row>
    <row r="430" spans="1:59" ht="13.75" customHeight="1" outlineLevel="1">
      <c r="F430" s="168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AG430" s="116"/>
      <c r="AH430" s="116"/>
    </row>
    <row r="431" spans="1:59" ht="13.75" customHeight="1" outlineLevel="1">
      <c r="F431" s="168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AG431" s="116"/>
      <c r="AH431" s="116"/>
    </row>
    <row r="432" spans="1:59" ht="13.75" customHeight="1" outlineLevel="1">
      <c r="F432" s="168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AG432" s="116"/>
      <c r="AH432" s="116"/>
    </row>
    <row r="433" spans="6:39" ht="13.75" customHeight="1" outlineLevel="1">
      <c r="F433" s="168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Y433" s="109"/>
      <c r="Z433" s="109"/>
      <c r="AA433" s="109"/>
      <c r="AB433" s="109"/>
      <c r="AC433" s="109"/>
      <c r="AD433" s="109"/>
      <c r="AE433" s="109"/>
      <c r="AF433" s="109"/>
      <c r="AG433" s="116"/>
      <c r="AH433" s="116"/>
      <c r="AI433" s="161"/>
      <c r="AJ433" s="161"/>
      <c r="AK433" s="161"/>
      <c r="AL433" s="161"/>
      <c r="AM433" s="161"/>
    </row>
    <row r="434" spans="6:39" ht="13.75" customHeight="1" outlineLevel="1">
      <c r="F434" s="168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Y434" s="109"/>
      <c r="Z434" s="109"/>
      <c r="AA434" s="109"/>
      <c r="AB434" s="109"/>
      <c r="AC434" s="109"/>
      <c r="AD434" s="109"/>
      <c r="AE434" s="109"/>
      <c r="AF434" s="109"/>
      <c r="AG434" s="116"/>
      <c r="AH434" s="116"/>
      <c r="AI434" s="161"/>
      <c r="AJ434" s="161"/>
      <c r="AK434" s="161"/>
      <c r="AL434" s="161"/>
      <c r="AM434" s="161"/>
    </row>
    <row r="435" spans="6:39" ht="13.75" customHeight="1" outlineLevel="1">
      <c r="F435" s="168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Y435" s="109"/>
      <c r="Z435" s="109"/>
      <c r="AA435" s="109"/>
      <c r="AB435" s="109"/>
      <c r="AC435" s="109"/>
      <c r="AD435" s="109"/>
      <c r="AE435" s="109"/>
      <c r="AF435" s="109"/>
      <c r="AG435" s="116"/>
      <c r="AH435" s="116"/>
      <c r="AI435" s="161"/>
      <c r="AJ435" s="161"/>
      <c r="AK435" s="161"/>
      <c r="AL435" s="161"/>
      <c r="AM435" s="161"/>
    </row>
    <row r="436" spans="6:39" ht="13.75" customHeight="1" outlineLevel="1">
      <c r="F436" s="168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Y436" s="109"/>
      <c r="Z436" s="109"/>
      <c r="AA436" s="109"/>
      <c r="AB436" s="109"/>
      <c r="AC436" s="109"/>
      <c r="AD436" s="109"/>
      <c r="AE436" s="109"/>
      <c r="AF436" s="109"/>
      <c r="AG436" s="116"/>
      <c r="AH436" s="116"/>
      <c r="AI436" s="161"/>
      <c r="AJ436" s="161"/>
      <c r="AK436" s="161"/>
      <c r="AL436" s="161"/>
      <c r="AM436" s="161"/>
    </row>
    <row r="437" spans="6:39" ht="13.75" customHeight="1" outlineLevel="1">
      <c r="F437" s="168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Y437" s="109"/>
      <c r="Z437" s="109"/>
      <c r="AA437" s="109"/>
      <c r="AB437" s="109"/>
      <c r="AC437" s="109"/>
      <c r="AD437" s="109"/>
      <c r="AE437" s="109"/>
      <c r="AF437" s="109"/>
      <c r="AG437" s="116"/>
      <c r="AH437" s="116"/>
      <c r="AI437" s="161"/>
      <c r="AJ437" s="161"/>
      <c r="AK437" s="161"/>
      <c r="AL437" s="161"/>
      <c r="AM437" s="161"/>
    </row>
    <row r="438" spans="6:39" ht="13.75" customHeight="1" outlineLevel="1">
      <c r="F438" s="168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Y438" s="109"/>
      <c r="Z438" s="109"/>
      <c r="AA438" s="109"/>
      <c r="AB438" s="109"/>
      <c r="AC438" s="109"/>
      <c r="AD438" s="109"/>
      <c r="AE438" s="109"/>
      <c r="AF438" s="109"/>
      <c r="AG438" s="116"/>
      <c r="AH438" s="116"/>
      <c r="AI438" s="161"/>
      <c r="AJ438" s="161"/>
      <c r="AK438" s="161"/>
      <c r="AL438" s="161"/>
      <c r="AM438" s="161"/>
    </row>
    <row r="439" spans="6:39" ht="13.75" customHeight="1" outlineLevel="1">
      <c r="F439" s="168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Y439" s="109"/>
      <c r="Z439" s="109"/>
      <c r="AA439" s="109"/>
      <c r="AB439" s="109"/>
      <c r="AC439" s="109"/>
      <c r="AD439" s="109"/>
      <c r="AE439" s="109"/>
      <c r="AF439" s="109"/>
      <c r="AG439" s="116"/>
      <c r="AH439" s="116"/>
      <c r="AI439" s="161"/>
      <c r="AJ439" s="161"/>
      <c r="AK439" s="161"/>
      <c r="AL439" s="161"/>
      <c r="AM439" s="161"/>
    </row>
    <row r="440" spans="6:39" ht="13.75" customHeight="1" outlineLevel="1">
      <c r="F440" s="168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Y440" s="109"/>
      <c r="Z440" s="109"/>
      <c r="AA440" s="109"/>
      <c r="AB440" s="109"/>
      <c r="AC440" s="109"/>
      <c r="AD440" s="109"/>
      <c r="AE440" s="109"/>
      <c r="AF440" s="109"/>
      <c r="AG440" s="116"/>
      <c r="AH440" s="116"/>
      <c r="AI440" s="161"/>
      <c r="AJ440" s="161"/>
      <c r="AK440" s="161"/>
      <c r="AL440" s="161"/>
      <c r="AM440" s="161"/>
    </row>
    <row r="441" spans="6:39" ht="13.75" customHeight="1" outlineLevel="1">
      <c r="F441" s="168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Y441" s="109"/>
      <c r="Z441" s="109"/>
      <c r="AA441" s="109"/>
      <c r="AB441" s="109"/>
      <c r="AC441" s="109"/>
      <c r="AD441" s="109"/>
      <c r="AE441" s="109"/>
      <c r="AF441" s="109"/>
      <c r="AG441" s="116"/>
      <c r="AH441" s="116"/>
      <c r="AI441" s="161"/>
      <c r="AJ441" s="161"/>
      <c r="AK441" s="161"/>
      <c r="AL441" s="161"/>
      <c r="AM441" s="161"/>
    </row>
    <row r="442" spans="6:39" ht="13.75" customHeight="1" outlineLevel="1">
      <c r="F442" s="168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Y442" s="109"/>
      <c r="Z442" s="109"/>
      <c r="AA442" s="109"/>
      <c r="AB442" s="109"/>
      <c r="AC442" s="109"/>
      <c r="AD442" s="109"/>
      <c r="AE442" s="109"/>
      <c r="AF442" s="109"/>
      <c r="AG442" s="116"/>
      <c r="AH442" s="116"/>
      <c r="AI442" s="161"/>
      <c r="AJ442" s="161"/>
      <c r="AK442" s="161"/>
      <c r="AL442" s="161"/>
      <c r="AM442" s="161"/>
    </row>
    <row r="443" spans="6:39" ht="13.75" customHeight="1" outlineLevel="1">
      <c r="F443" s="168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Y443" s="109"/>
      <c r="Z443" s="109"/>
      <c r="AA443" s="109"/>
      <c r="AB443" s="109"/>
      <c r="AC443" s="109"/>
      <c r="AD443" s="109"/>
      <c r="AE443" s="109"/>
      <c r="AF443" s="109"/>
      <c r="AG443" s="116"/>
      <c r="AH443" s="116"/>
      <c r="AI443" s="161"/>
      <c r="AJ443" s="161"/>
      <c r="AK443" s="161"/>
      <c r="AL443" s="161"/>
      <c r="AM443" s="161"/>
    </row>
    <row r="444" spans="6:39" ht="13.75" customHeight="1" outlineLevel="1">
      <c r="F444" s="168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Y444" s="109"/>
      <c r="Z444" s="109"/>
      <c r="AA444" s="109"/>
      <c r="AB444" s="109"/>
      <c r="AC444" s="109"/>
      <c r="AD444" s="109"/>
      <c r="AE444" s="109"/>
      <c r="AF444" s="109"/>
      <c r="AG444" s="116"/>
      <c r="AH444" s="116"/>
      <c r="AI444" s="161"/>
      <c r="AJ444" s="161"/>
      <c r="AK444" s="161"/>
      <c r="AL444" s="161"/>
      <c r="AM444" s="161"/>
    </row>
    <row r="445" spans="6:39" ht="13.75" customHeight="1" outlineLevel="1">
      <c r="F445" s="168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Y445" s="109"/>
      <c r="Z445" s="109"/>
      <c r="AA445" s="109"/>
      <c r="AB445" s="109"/>
      <c r="AC445" s="109"/>
      <c r="AD445" s="109"/>
      <c r="AE445" s="109"/>
      <c r="AF445" s="109"/>
      <c r="AG445" s="116"/>
      <c r="AH445" s="116"/>
      <c r="AI445" s="161"/>
      <c r="AJ445" s="161"/>
      <c r="AK445" s="161"/>
      <c r="AL445" s="161"/>
      <c r="AM445" s="161"/>
    </row>
    <row r="446" spans="6:39" ht="13.75" customHeight="1" outlineLevel="1">
      <c r="F446" s="168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Y446" s="109"/>
      <c r="Z446" s="109"/>
      <c r="AA446" s="109"/>
      <c r="AB446" s="109"/>
      <c r="AC446" s="109"/>
      <c r="AD446" s="109"/>
      <c r="AE446" s="109"/>
      <c r="AF446" s="109"/>
      <c r="AG446" s="116"/>
      <c r="AH446" s="116"/>
      <c r="AI446" s="161"/>
      <c r="AJ446" s="161"/>
      <c r="AK446" s="161"/>
      <c r="AL446" s="161"/>
      <c r="AM446" s="161"/>
    </row>
    <row r="447" spans="6:39" ht="13.75" customHeight="1" outlineLevel="1">
      <c r="F447" s="168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Y447" s="109"/>
      <c r="Z447" s="109"/>
      <c r="AA447" s="109"/>
      <c r="AB447" s="109"/>
      <c r="AC447" s="109"/>
      <c r="AD447" s="109"/>
      <c r="AE447" s="109"/>
      <c r="AF447" s="109"/>
      <c r="AG447" s="116"/>
      <c r="AH447" s="116"/>
      <c r="AI447" s="161"/>
      <c r="AJ447" s="161"/>
      <c r="AK447" s="161"/>
      <c r="AL447" s="161"/>
      <c r="AM447" s="161"/>
    </row>
    <row r="448" spans="6:39" ht="13.75" customHeight="1">
      <c r="F448" s="168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16"/>
      <c r="AH448" s="116"/>
      <c r="AI448" s="161"/>
      <c r="AJ448" s="161"/>
      <c r="AK448" s="161"/>
      <c r="AL448" s="161"/>
      <c r="AM448" s="161"/>
    </row>
    <row r="449" spans="6:39" ht="13.75" customHeight="1" outlineLevel="1">
      <c r="F449" s="168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16"/>
      <c r="AH449" s="116"/>
      <c r="AI449" s="161"/>
      <c r="AJ449" s="161"/>
      <c r="AK449" s="161"/>
      <c r="AL449" s="161"/>
      <c r="AM449" s="161"/>
    </row>
    <row r="450" spans="6:39" ht="13.75" customHeight="1" outlineLevel="1">
      <c r="F450" s="168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16"/>
      <c r="AH450" s="116"/>
      <c r="AI450" s="161"/>
      <c r="AJ450" s="161"/>
      <c r="AK450" s="161"/>
      <c r="AL450" s="161"/>
      <c r="AM450" s="161"/>
    </row>
    <row r="451" spans="6:39" ht="13.75" customHeight="1" outlineLevel="1">
      <c r="F451" s="168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16"/>
      <c r="AH451" s="116"/>
      <c r="AI451" s="161"/>
      <c r="AJ451" s="161"/>
      <c r="AK451" s="161"/>
      <c r="AL451" s="161"/>
      <c r="AM451" s="161"/>
    </row>
    <row r="452" spans="6:39" ht="13.75" customHeight="1" outlineLevel="1">
      <c r="F452" s="168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16"/>
      <c r="AH452" s="116"/>
      <c r="AI452" s="161"/>
      <c r="AJ452" s="161"/>
      <c r="AK452" s="161"/>
      <c r="AL452" s="161"/>
      <c r="AM452" s="161"/>
    </row>
    <row r="453" spans="6:39" ht="13.75" customHeight="1" outlineLevel="1">
      <c r="F453" s="168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16"/>
      <c r="AH453" s="116"/>
      <c r="AI453" s="161"/>
      <c r="AJ453" s="161"/>
      <c r="AK453" s="161"/>
      <c r="AL453" s="161"/>
      <c r="AM453" s="161"/>
    </row>
    <row r="454" spans="6:39" ht="13.75" customHeight="1" outlineLevel="1">
      <c r="F454" s="168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16"/>
      <c r="AH454" s="116"/>
      <c r="AI454" s="161"/>
      <c r="AJ454" s="161"/>
      <c r="AK454" s="161"/>
      <c r="AL454" s="161"/>
      <c r="AM454" s="161"/>
    </row>
    <row r="455" spans="6:39" ht="13.75" customHeight="1" outlineLevel="1">
      <c r="F455" s="168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16"/>
      <c r="AH455" s="116"/>
      <c r="AI455" s="161"/>
      <c r="AJ455" s="161"/>
      <c r="AK455" s="161"/>
      <c r="AL455" s="161"/>
      <c r="AM455" s="161"/>
    </row>
    <row r="456" spans="6:39" ht="13.75" customHeight="1" outlineLevel="1">
      <c r="F456" s="168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16"/>
      <c r="AH456" s="116"/>
      <c r="AI456" s="161"/>
      <c r="AJ456" s="161"/>
      <c r="AK456" s="161"/>
      <c r="AL456" s="161"/>
      <c r="AM456" s="161"/>
    </row>
    <row r="457" spans="6:39" ht="13.75" customHeight="1" outlineLevel="1">
      <c r="F457" s="168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16"/>
      <c r="AH457" s="116"/>
      <c r="AI457" s="161"/>
      <c r="AJ457" s="161"/>
      <c r="AK457" s="161"/>
      <c r="AL457" s="161"/>
      <c r="AM457" s="161"/>
    </row>
    <row r="458" spans="6:39" ht="13.75" customHeight="1" outlineLevel="1">
      <c r="F458" s="168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16"/>
      <c r="AH458" s="116"/>
      <c r="AI458" s="161"/>
      <c r="AJ458" s="161"/>
      <c r="AK458" s="161"/>
      <c r="AL458" s="161"/>
      <c r="AM458" s="161"/>
    </row>
    <row r="459" spans="6:39" ht="13.75" customHeight="1" outlineLevel="1">
      <c r="F459" s="168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16"/>
      <c r="AH459" s="116"/>
      <c r="AI459" s="161"/>
      <c r="AJ459" s="161"/>
      <c r="AK459" s="161"/>
      <c r="AL459" s="161"/>
      <c r="AM459" s="161"/>
    </row>
    <row r="460" spans="6:39" ht="13.75" customHeight="1" outlineLevel="1">
      <c r="F460" s="168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16"/>
      <c r="AH460" s="116"/>
      <c r="AI460" s="161"/>
      <c r="AJ460" s="161"/>
      <c r="AK460" s="161"/>
      <c r="AL460" s="161"/>
      <c r="AM460" s="161"/>
    </row>
    <row r="461" spans="6:39" ht="13.75" customHeight="1" outlineLevel="1">
      <c r="F461" s="168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16"/>
      <c r="AH461" s="116"/>
      <c r="AI461" s="161"/>
      <c r="AJ461" s="161"/>
      <c r="AK461" s="161"/>
      <c r="AL461" s="161"/>
      <c r="AM461" s="161"/>
    </row>
    <row r="462" spans="6:39" ht="13.75" customHeight="1" outlineLevel="1">
      <c r="F462" s="168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16"/>
      <c r="AH462" s="116"/>
      <c r="AI462" s="161"/>
      <c r="AJ462" s="161"/>
      <c r="AK462" s="161"/>
      <c r="AL462" s="161"/>
      <c r="AM462" s="161"/>
    </row>
    <row r="463" spans="6:39" ht="13.75" customHeight="1" outlineLevel="1">
      <c r="F463" s="168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16"/>
      <c r="AH463" s="116"/>
      <c r="AI463" s="161"/>
      <c r="AJ463" s="161"/>
      <c r="AK463" s="161"/>
      <c r="AL463" s="161"/>
      <c r="AM463" s="161"/>
    </row>
    <row r="464" spans="6:39" ht="13.75" customHeight="1" outlineLevel="1">
      <c r="F464" s="168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16"/>
      <c r="AH464" s="116"/>
      <c r="AI464" s="161"/>
      <c r="AJ464" s="161"/>
      <c r="AK464" s="161"/>
      <c r="AL464" s="161"/>
      <c r="AM464" s="161"/>
    </row>
    <row r="465" spans="1:39" ht="13.75" customHeight="1" outlineLevel="1">
      <c r="F465" s="168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AG465" s="116"/>
      <c r="AH465" s="116"/>
      <c r="AI465" s="161"/>
      <c r="AJ465" s="161"/>
      <c r="AK465" s="161"/>
      <c r="AL465" s="161"/>
      <c r="AM465" s="161"/>
    </row>
    <row r="466" spans="1:39" ht="13.75" customHeight="1" outlineLevel="1">
      <c r="F466" s="168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AG466" s="116"/>
      <c r="AH466" s="116"/>
      <c r="AI466" s="161"/>
      <c r="AJ466" s="161"/>
      <c r="AK466" s="161"/>
      <c r="AL466" s="161"/>
      <c r="AM466" s="161"/>
    </row>
    <row r="467" spans="1:39" ht="13.75" customHeight="1" outlineLevel="1">
      <c r="F467" s="168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AG467" s="116"/>
      <c r="AH467" s="116"/>
      <c r="AI467" s="161"/>
      <c r="AJ467" s="161"/>
      <c r="AK467" s="161"/>
      <c r="AL467" s="161"/>
      <c r="AM467" s="161"/>
    </row>
    <row r="468" spans="1:39" ht="13.75" customHeight="1" outlineLevel="1">
      <c r="F468" s="168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AG468" s="116"/>
      <c r="AH468" s="116"/>
      <c r="AI468" s="161"/>
      <c r="AJ468" s="161"/>
      <c r="AK468" s="161"/>
      <c r="AL468" s="161"/>
      <c r="AM468" s="161"/>
    </row>
    <row r="469" spans="1:39" ht="13.75" customHeight="1" outlineLevel="1">
      <c r="F469" s="168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AG469" s="116"/>
      <c r="AH469" s="116"/>
      <c r="AI469" s="161"/>
      <c r="AJ469" s="161"/>
      <c r="AK469" s="161"/>
      <c r="AL469" s="161"/>
      <c r="AM469" s="161"/>
    </row>
    <row r="470" spans="1:39" ht="13.75" customHeight="1" outlineLevel="1">
      <c r="F470" s="168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AG470" s="116"/>
      <c r="AH470" s="116"/>
      <c r="AI470" s="161"/>
      <c r="AJ470" s="161"/>
      <c r="AK470" s="161"/>
      <c r="AL470" s="161"/>
      <c r="AM470" s="161"/>
    </row>
    <row r="471" spans="1:39" ht="13.75" customHeight="1" outlineLevel="1">
      <c r="F471" s="168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AG471" s="116"/>
      <c r="AH471" s="116"/>
      <c r="AI471" s="161"/>
      <c r="AJ471" s="161"/>
      <c r="AK471" s="161"/>
      <c r="AL471" s="161"/>
      <c r="AM471" s="161"/>
    </row>
    <row r="472" spans="1:39" ht="13.75" customHeight="1" outlineLevel="1">
      <c r="F472" s="168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AG472" s="116"/>
      <c r="AH472" s="116"/>
      <c r="AI472" s="161"/>
      <c r="AJ472" s="161"/>
      <c r="AK472" s="161"/>
      <c r="AL472" s="161"/>
      <c r="AM472" s="161"/>
    </row>
    <row r="473" spans="1:39" ht="13.75" customHeight="1" outlineLevel="1">
      <c r="F473" s="168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AG473" s="116"/>
      <c r="AH473" s="116"/>
      <c r="AI473" s="161"/>
      <c r="AJ473" s="161"/>
      <c r="AK473" s="161"/>
      <c r="AL473" s="161"/>
      <c r="AM473" s="161"/>
    </row>
    <row r="474" spans="1:39" ht="13.75" customHeight="1">
      <c r="A474" s="141" t="s">
        <v>166</v>
      </c>
      <c r="B474" s="142" t="s">
        <v>470</v>
      </c>
      <c r="D474" s="142" t="s">
        <v>168</v>
      </c>
      <c r="F474" s="168" t="s">
        <v>471</v>
      </c>
      <c r="G474" s="109" t="s">
        <v>472</v>
      </c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12">
        <v>2850.1783333333333</v>
      </c>
      <c r="X474" s="128">
        <v>2885</v>
      </c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61"/>
      <c r="AJ474" s="161"/>
      <c r="AK474" s="161"/>
      <c r="AL474" s="161"/>
      <c r="AM474" s="161"/>
    </row>
    <row r="475" spans="1:39" ht="13.75" customHeight="1">
      <c r="A475" s="141" t="s">
        <v>166</v>
      </c>
      <c r="B475" s="142" t="s">
        <v>470</v>
      </c>
      <c r="D475" s="142" t="s">
        <v>168</v>
      </c>
      <c r="F475" s="168" t="s">
        <v>473</v>
      </c>
      <c r="G475" s="109" t="s">
        <v>472</v>
      </c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12">
        <v>2714.8058333333333</v>
      </c>
      <c r="X475" s="128">
        <v>2764</v>
      </c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61"/>
      <c r="AJ475" s="161"/>
      <c r="AK475" s="161"/>
      <c r="AL475" s="161"/>
      <c r="AM475" s="161"/>
    </row>
    <row r="476" spans="1:39" ht="13.75" customHeight="1">
      <c r="A476" s="141" t="s">
        <v>166</v>
      </c>
      <c r="B476" s="142" t="s">
        <v>470</v>
      </c>
      <c r="D476" s="142" t="s">
        <v>168</v>
      </c>
      <c r="F476" s="168" t="s">
        <v>474</v>
      </c>
      <c r="G476" s="109" t="s">
        <v>472</v>
      </c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12">
        <v>2721.3241666666668</v>
      </c>
      <c r="X476" s="128">
        <v>3071</v>
      </c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61"/>
      <c r="AJ476" s="161"/>
      <c r="AK476" s="161"/>
      <c r="AL476" s="161"/>
      <c r="AM476" s="161"/>
    </row>
    <row r="477" spans="1:39" ht="13.75" customHeight="1">
      <c r="A477" s="141" t="s">
        <v>166</v>
      </c>
      <c r="B477" s="142" t="s">
        <v>470</v>
      </c>
      <c r="D477" s="142" t="s">
        <v>168</v>
      </c>
      <c r="F477" s="168" t="s">
        <v>475</v>
      </c>
      <c r="G477" s="109" t="s">
        <v>472</v>
      </c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12">
        <v>4249.96</v>
      </c>
      <c r="X477" s="128">
        <v>4255</v>
      </c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61"/>
      <c r="AJ477" s="161"/>
      <c r="AK477" s="161"/>
      <c r="AL477" s="161"/>
      <c r="AM477" s="161"/>
    </row>
    <row r="478" spans="1:39" ht="13.75" customHeight="1">
      <c r="A478" s="141" t="s">
        <v>166</v>
      </c>
      <c r="B478" s="142" t="s">
        <v>470</v>
      </c>
      <c r="D478" s="142" t="s">
        <v>168</v>
      </c>
      <c r="F478" s="168" t="s">
        <v>476</v>
      </c>
      <c r="G478" s="109" t="s">
        <v>472</v>
      </c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12">
        <v>3278.2641666666664</v>
      </c>
      <c r="X478" s="128">
        <v>3041</v>
      </c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61"/>
      <c r="AJ478" s="161"/>
      <c r="AK478" s="161"/>
      <c r="AL478" s="161"/>
      <c r="AM478" s="161"/>
    </row>
    <row r="479" spans="1:39" ht="13.75" customHeight="1">
      <c r="A479" s="141" t="s">
        <v>166</v>
      </c>
      <c r="B479" s="142" t="s">
        <v>470</v>
      </c>
      <c r="D479" s="142" t="s">
        <v>168</v>
      </c>
      <c r="F479" s="168" t="s">
        <v>477</v>
      </c>
      <c r="G479" s="109" t="s">
        <v>472</v>
      </c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12">
        <v>2908.2416666666668</v>
      </c>
      <c r="X479" s="128">
        <v>2942</v>
      </c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61"/>
      <c r="AJ479" s="161"/>
      <c r="AK479" s="161"/>
      <c r="AL479" s="161"/>
      <c r="AM479" s="161"/>
    </row>
    <row r="480" spans="1:39" ht="13.75" customHeight="1">
      <c r="A480" s="141" t="s">
        <v>166</v>
      </c>
      <c r="B480" s="142" t="s">
        <v>470</v>
      </c>
      <c r="D480" s="142" t="s">
        <v>168</v>
      </c>
      <c r="F480" s="168" t="s">
        <v>478</v>
      </c>
      <c r="G480" s="109" t="s">
        <v>472</v>
      </c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12">
        <v>2376.0224999999996</v>
      </c>
      <c r="X480" s="128">
        <v>2648</v>
      </c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61"/>
      <c r="AJ480" s="161"/>
      <c r="AK480" s="161"/>
      <c r="AL480" s="161"/>
      <c r="AM480" s="161"/>
    </row>
    <row r="481" spans="1:59" ht="13.75" customHeight="1">
      <c r="A481" s="141" t="s">
        <v>166</v>
      </c>
      <c r="B481" s="142" t="s">
        <v>470</v>
      </c>
      <c r="D481" s="142" t="s">
        <v>168</v>
      </c>
      <c r="F481" s="168" t="s">
        <v>479</v>
      </c>
      <c r="G481" s="109" t="s">
        <v>472</v>
      </c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12">
        <v>2945.8766666666666</v>
      </c>
      <c r="X481" s="128">
        <v>2873</v>
      </c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</row>
    <row r="482" spans="1:59" ht="13.75" customHeight="1">
      <c r="A482" s="141" t="s">
        <v>166</v>
      </c>
      <c r="B482" s="142" t="s">
        <v>470</v>
      </c>
      <c r="D482" s="142" t="s">
        <v>168</v>
      </c>
      <c r="F482" s="168" t="s">
        <v>480</v>
      </c>
      <c r="G482" s="109" t="s">
        <v>472</v>
      </c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AG482" s="116"/>
      <c r="AH482" s="116"/>
    </row>
    <row r="483" spans="1:59" ht="13.75" customHeight="1">
      <c r="A483" s="141" t="s">
        <v>166</v>
      </c>
      <c r="B483" s="142" t="s">
        <v>470</v>
      </c>
      <c r="D483" s="142" t="s">
        <v>168</v>
      </c>
      <c r="F483" s="168" t="s">
        <v>481</v>
      </c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X483" s="107">
        <v>1.2217364176627665E-2</v>
      </c>
      <c r="Y483" s="158">
        <v>7.8682842287695065E-2</v>
      </c>
      <c r="Z483" s="107">
        <v>0.10154241645244211</v>
      </c>
      <c r="AA483" s="158">
        <v>3.7339556592765444E-2</v>
      </c>
      <c r="AB483" s="158">
        <v>5.6896551724137989E-2</v>
      </c>
      <c r="AC483" s="107">
        <v>-4.127609806248933E-2</v>
      </c>
      <c r="AD483" s="107">
        <v>7.1985046384995144E-2</v>
      </c>
      <c r="AE483" s="107">
        <v>0.28100000000000003</v>
      </c>
      <c r="AF483" s="107">
        <v>0.15</v>
      </c>
      <c r="AG483" s="107">
        <f t="shared" ref="AG483:BG483" si="144">AG$3</f>
        <v>3.767741352043541E-2</v>
      </c>
      <c r="AH483" s="107">
        <f t="shared" si="144"/>
        <v>4.0456092585854364E-2</v>
      </c>
      <c r="AI483" s="107">
        <f t="shared" si="144"/>
        <v>4.0391390824965789E-2</v>
      </c>
      <c r="AJ483" s="107">
        <f t="shared" si="144"/>
        <v>0.04</v>
      </c>
      <c r="AK483" s="107">
        <f t="shared" si="144"/>
        <v>0.04</v>
      </c>
      <c r="AL483" s="107">
        <f t="shared" si="144"/>
        <v>0.04</v>
      </c>
      <c r="AM483" s="107">
        <f t="shared" si="144"/>
        <v>0.04</v>
      </c>
      <c r="AN483" s="107">
        <f t="shared" si="144"/>
        <v>0.04</v>
      </c>
      <c r="AO483" s="107">
        <f t="shared" si="144"/>
        <v>0.04</v>
      </c>
      <c r="AP483" s="107">
        <f t="shared" si="144"/>
        <v>0.04</v>
      </c>
      <c r="AQ483" s="107">
        <f t="shared" si="144"/>
        <v>0.04</v>
      </c>
      <c r="AR483" s="107">
        <f t="shared" si="144"/>
        <v>0.04</v>
      </c>
      <c r="AS483" s="107">
        <f t="shared" si="144"/>
        <v>0.04</v>
      </c>
      <c r="AT483" s="107">
        <f t="shared" si="144"/>
        <v>0.04</v>
      </c>
      <c r="AU483" s="107">
        <f t="shared" si="144"/>
        <v>0.04</v>
      </c>
      <c r="AV483" s="107">
        <f t="shared" si="144"/>
        <v>0.04</v>
      </c>
      <c r="AW483" s="107">
        <f t="shared" si="144"/>
        <v>0.04</v>
      </c>
      <c r="AX483" s="107">
        <f t="shared" si="144"/>
        <v>0.04</v>
      </c>
      <c r="AY483" s="107">
        <f t="shared" si="144"/>
        <v>0.04</v>
      </c>
      <c r="AZ483" s="107">
        <f t="shared" si="144"/>
        <v>0.04</v>
      </c>
      <c r="BA483" s="107">
        <f t="shared" si="144"/>
        <v>0.04</v>
      </c>
      <c r="BB483" s="107">
        <f t="shared" si="144"/>
        <v>0.04</v>
      </c>
      <c r="BC483" s="107">
        <f t="shared" si="144"/>
        <v>0.04</v>
      </c>
      <c r="BD483" s="107">
        <f t="shared" si="144"/>
        <v>0.04</v>
      </c>
      <c r="BE483" s="107">
        <f t="shared" si="144"/>
        <v>0.04</v>
      </c>
      <c r="BF483" s="107">
        <f t="shared" si="144"/>
        <v>0.04</v>
      </c>
      <c r="BG483" s="107">
        <f t="shared" si="144"/>
        <v>0.04</v>
      </c>
    </row>
    <row r="484" spans="1:59" ht="13.75" customHeight="1">
      <c r="A484" s="141" t="s">
        <v>166</v>
      </c>
      <c r="B484" s="142" t="s">
        <v>470</v>
      </c>
      <c r="D484" s="142" t="s">
        <v>168</v>
      </c>
      <c r="F484" s="168" t="s">
        <v>482</v>
      </c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X484" s="107">
        <v>1.8120694328354281E-2</v>
      </c>
      <c r="Y484" s="158">
        <v>0.17329956584659922</v>
      </c>
      <c r="Z484" s="107">
        <v>7.9247610237434429E-2</v>
      </c>
      <c r="AA484" s="158">
        <v>5.1714285714285824E-2</v>
      </c>
      <c r="AB484" s="158">
        <v>5.1648351648351687E-2</v>
      </c>
      <c r="AC484" s="107">
        <v>3.3372981166087667E-2</v>
      </c>
      <c r="AD484" s="107">
        <v>6.6389174167316378E-2</v>
      </c>
      <c r="AE484" s="107">
        <v>0.20100000000000001</v>
      </c>
      <c r="AF484" s="107">
        <f t="shared" ref="AF484:BG490" si="145">AF483</f>
        <v>0.15</v>
      </c>
      <c r="AG484" s="107">
        <f t="shared" si="145"/>
        <v>3.767741352043541E-2</v>
      </c>
      <c r="AH484" s="107">
        <f t="shared" si="145"/>
        <v>4.0456092585854364E-2</v>
      </c>
      <c r="AI484" s="107">
        <f t="shared" si="145"/>
        <v>4.0391390824965789E-2</v>
      </c>
      <c r="AJ484" s="107">
        <f t="shared" si="145"/>
        <v>0.04</v>
      </c>
      <c r="AK484" s="107">
        <f t="shared" si="145"/>
        <v>0.04</v>
      </c>
      <c r="AL484" s="107">
        <f t="shared" si="145"/>
        <v>0.04</v>
      </c>
      <c r="AM484" s="107">
        <f t="shared" si="145"/>
        <v>0.04</v>
      </c>
      <c r="AN484" s="107">
        <f t="shared" si="145"/>
        <v>0.04</v>
      </c>
      <c r="AO484" s="107">
        <f t="shared" si="145"/>
        <v>0.04</v>
      </c>
      <c r="AP484" s="107">
        <f t="shared" si="145"/>
        <v>0.04</v>
      </c>
      <c r="AQ484" s="107">
        <f t="shared" si="145"/>
        <v>0.04</v>
      </c>
      <c r="AR484" s="107">
        <f t="shared" si="145"/>
        <v>0.04</v>
      </c>
      <c r="AS484" s="107">
        <f t="shared" si="145"/>
        <v>0.04</v>
      </c>
      <c r="AT484" s="107">
        <f t="shared" si="145"/>
        <v>0.04</v>
      </c>
      <c r="AU484" s="107">
        <f t="shared" si="145"/>
        <v>0.04</v>
      </c>
      <c r="AV484" s="107">
        <f t="shared" si="145"/>
        <v>0.04</v>
      </c>
      <c r="AW484" s="107">
        <f t="shared" si="145"/>
        <v>0.04</v>
      </c>
      <c r="AX484" s="107">
        <f t="shared" si="145"/>
        <v>0.04</v>
      </c>
      <c r="AY484" s="107">
        <f t="shared" si="145"/>
        <v>0.04</v>
      </c>
      <c r="AZ484" s="107">
        <f t="shared" si="145"/>
        <v>0.04</v>
      </c>
      <c r="BA484" s="107">
        <f t="shared" si="145"/>
        <v>0.04</v>
      </c>
      <c r="BB484" s="107">
        <f t="shared" si="145"/>
        <v>0.04</v>
      </c>
      <c r="BC484" s="107">
        <f t="shared" si="145"/>
        <v>0.04</v>
      </c>
      <c r="BD484" s="107">
        <f t="shared" si="145"/>
        <v>0.04</v>
      </c>
      <c r="BE484" s="107">
        <f t="shared" si="145"/>
        <v>0.04</v>
      </c>
      <c r="BF484" s="107">
        <f t="shared" si="145"/>
        <v>0.04</v>
      </c>
      <c r="BG484" s="107">
        <f t="shared" si="145"/>
        <v>0.04</v>
      </c>
    </row>
    <row r="485" spans="1:59" ht="13.75" customHeight="1">
      <c r="A485" s="141" t="s">
        <v>166</v>
      </c>
      <c r="B485" s="142" t="s">
        <v>470</v>
      </c>
      <c r="D485" s="142" t="s">
        <v>168</v>
      </c>
      <c r="F485" s="168" t="s">
        <v>483</v>
      </c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X485" s="107">
        <v>0.12849473709030734</v>
      </c>
      <c r="Y485" s="158">
        <v>0.13871703028329541</v>
      </c>
      <c r="Z485" s="107">
        <v>5.8621675722047462E-2</v>
      </c>
      <c r="AA485" s="158">
        <v>3.2955159373311727E-2</v>
      </c>
      <c r="AB485" s="158">
        <v>5.7507987220447365E-2</v>
      </c>
      <c r="AC485" s="107">
        <v>-4.4507151568307091E-4</v>
      </c>
      <c r="AD485" s="107">
        <v>3.038008264877945E-2</v>
      </c>
      <c r="AE485" s="107">
        <v>2.9000000000000001E-2</v>
      </c>
      <c r="AF485" s="107">
        <f t="shared" si="145"/>
        <v>0.15</v>
      </c>
      <c r="AG485" s="107">
        <f t="shared" si="145"/>
        <v>3.767741352043541E-2</v>
      </c>
      <c r="AH485" s="107">
        <f t="shared" si="145"/>
        <v>4.0456092585854364E-2</v>
      </c>
      <c r="AI485" s="107">
        <f t="shared" si="145"/>
        <v>4.0391390824965789E-2</v>
      </c>
      <c r="AJ485" s="107">
        <f t="shared" si="145"/>
        <v>0.04</v>
      </c>
      <c r="AK485" s="107">
        <f t="shared" si="145"/>
        <v>0.04</v>
      </c>
      <c r="AL485" s="107">
        <f t="shared" si="145"/>
        <v>0.04</v>
      </c>
      <c r="AM485" s="107">
        <f t="shared" si="145"/>
        <v>0.04</v>
      </c>
      <c r="AN485" s="107">
        <f t="shared" si="145"/>
        <v>0.04</v>
      </c>
      <c r="AO485" s="107">
        <f t="shared" si="145"/>
        <v>0.04</v>
      </c>
      <c r="AP485" s="107">
        <f t="shared" si="145"/>
        <v>0.04</v>
      </c>
      <c r="AQ485" s="107">
        <f t="shared" si="145"/>
        <v>0.04</v>
      </c>
      <c r="AR485" s="107">
        <f t="shared" si="145"/>
        <v>0.04</v>
      </c>
      <c r="AS485" s="107">
        <f t="shared" si="145"/>
        <v>0.04</v>
      </c>
      <c r="AT485" s="107">
        <f t="shared" si="145"/>
        <v>0.04</v>
      </c>
      <c r="AU485" s="107">
        <f t="shared" si="145"/>
        <v>0.04</v>
      </c>
      <c r="AV485" s="107">
        <f t="shared" si="145"/>
        <v>0.04</v>
      </c>
      <c r="AW485" s="107">
        <f t="shared" si="145"/>
        <v>0.04</v>
      </c>
      <c r="AX485" s="107">
        <f t="shared" si="145"/>
        <v>0.04</v>
      </c>
      <c r="AY485" s="107">
        <f t="shared" si="145"/>
        <v>0.04</v>
      </c>
      <c r="AZ485" s="107">
        <f t="shared" si="145"/>
        <v>0.04</v>
      </c>
      <c r="BA485" s="107">
        <f t="shared" si="145"/>
        <v>0.04</v>
      </c>
      <c r="BB485" s="107">
        <f t="shared" si="145"/>
        <v>0.04</v>
      </c>
      <c r="BC485" s="107">
        <f t="shared" si="145"/>
        <v>0.04</v>
      </c>
      <c r="BD485" s="107">
        <f t="shared" si="145"/>
        <v>0.04</v>
      </c>
      <c r="BE485" s="107">
        <f t="shared" si="145"/>
        <v>0.04</v>
      </c>
      <c r="BF485" s="107">
        <f t="shared" si="145"/>
        <v>0.04</v>
      </c>
      <c r="BG485" s="107">
        <f t="shared" si="145"/>
        <v>0.04</v>
      </c>
    </row>
    <row r="486" spans="1:59" ht="13.75" customHeight="1">
      <c r="A486" s="141" t="s">
        <v>166</v>
      </c>
      <c r="B486" s="142" t="s">
        <v>470</v>
      </c>
      <c r="D486" s="142" t="s">
        <v>168</v>
      </c>
      <c r="F486" s="168" t="s">
        <v>484</v>
      </c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X486" s="107">
        <v>1.1858935142918803E-3</v>
      </c>
      <c r="Y486" s="158">
        <v>-3.9482961222091606E-2</v>
      </c>
      <c r="Z486" s="107">
        <v>4.1350623929532704E-2</v>
      </c>
      <c r="AA486" s="158">
        <v>1.2453007518796966E-2</v>
      </c>
      <c r="AB486" s="158">
        <v>3.4059314179796019E-2</v>
      </c>
      <c r="AC486" s="107">
        <v>2.4535089498316065E-2</v>
      </c>
      <c r="AD486" s="107">
        <v>2.9829443004277145E-2</v>
      </c>
      <c r="AE486" s="107">
        <v>0.13900000000000001</v>
      </c>
      <c r="AF486" s="107">
        <f t="shared" si="145"/>
        <v>0.15</v>
      </c>
      <c r="AG486" s="107">
        <f t="shared" si="145"/>
        <v>3.767741352043541E-2</v>
      </c>
      <c r="AH486" s="107">
        <f t="shared" si="145"/>
        <v>4.0456092585854364E-2</v>
      </c>
      <c r="AI486" s="107">
        <f t="shared" si="145"/>
        <v>4.0391390824965789E-2</v>
      </c>
      <c r="AJ486" s="107">
        <f t="shared" si="145"/>
        <v>0.04</v>
      </c>
      <c r="AK486" s="107">
        <f t="shared" si="145"/>
        <v>0.04</v>
      </c>
      <c r="AL486" s="107">
        <f t="shared" si="145"/>
        <v>0.04</v>
      </c>
      <c r="AM486" s="107">
        <f t="shared" si="145"/>
        <v>0.04</v>
      </c>
      <c r="AN486" s="107">
        <f t="shared" si="145"/>
        <v>0.04</v>
      </c>
      <c r="AO486" s="107">
        <f t="shared" si="145"/>
        <v>0.04</v>
      </c>
      <c r="AP486" s="107">
        <f t="shared" si="145"/>
        <v>0.04</v>
      </c>
      <c r="AQ486" s="107">
        <f t="shared" si="145"/>
        <v>0.04</v>
      </c>
      <c r="AR486" s="107">
        <f t="shared" si="145"/>
        <v>0.04</v>
      </c>
      <c r="AS486" s="107">
        <f t="shared" si="145"/>
        <v>0.04</v>
      </c>
      <c r="AT486" s="107">
        <f t="shared" si="145"/>
        <v>0.04</v>
      </c>
      <c r="AU486" s="107">
        <f t="shared" si="145"/>
        <v>0.04</v>
      </c>
      <c r="AV486" s="107">
        <f t="shared" si="145"/>
        <v>0.04</v>
      </c>
      <c r="AW486" s="107">
        <f t="shared" si="145"/>
        <v>0.04</v>
      </c>
      <c r="AX486" s="107">
        <f t="shared" si="145"/>
        <v>0.04</v>
      </c>
      <c r="AY486" s="107">
        <f t="shared" si="145"/>
        <v>0.04</v>
      </c>
      <c r="AZ486" s="107">
        <f t="shared" si="145"/>
        <v>0.04</v>
      </c>
      <c r="BA486" s="107">
        <f t="shared" si="145"/>
        <v>0.04</v>
      </c>
      <c r="BB486" s="107">
        <f t="shared" si="145"/>
        <v>0.04</v>
      </c>
      <c r="BC486" s="107">
        <f t="shared" si="145"/>
        <v>0.04</v>
      </c>
      <c r="BD486" s="107">
        <f t="shared" si="145"/>
        <v>0.04</v>
      </c>
      <c r="BE486" s="107">
        <f t="shared" si="145"/>
        <v>0.04</v>
      </c>
      <c r="BF486" s="107">
        <f t="shared" si="145"/>
        <v>0.04</v>
      </c>
      <c r="BG486" s="107">
        <f t="shared" si="145"/>
        <v>0.04</v>
      </c>
    </row>
    <row r="487" spans="1:59" ht="13.75" customHeight="1">
      <c r="A487" s="141" t="s">
        <v>166</v>
      </c>
      <c r="B487" s="142" t="s">
        <v>470</v>
      </c>
      <c r="D487" s="142" t="s">
        <v>168</v>
      </c>
      <c r="F487" s="168" t="s">
        <v>485</v>
      </c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X487" s="107">
        <v>-7.2374938261279942E-2</v>
      </c>
      <c r="Y487" s="158">
        <v>6.7083196317000882E-2</v>
      </c>
      <c r="Z487" s="107">
        <v>0.15593220338983049</v>
      </c>
      <c r="AA487" s="158">
        <v>8.3711010397227392E-2</v>
      </c>
      <c r="AB487" s="158">
        <v>7.9118678017025434E-2</v>
      </c>
      <c r="AC487" s="107">
        <v>7.8701898401316583E-3</v>
      </c>
      <c r="AD487" s="107">
        <v>0.13523029752083282</v>
      </c>
      <c r="AE487" s="107">
        <v>0.157</v>
      </c>
      <c r="AF487" s="107">
        <f t="shared" si="145"/>
        <v>0.15</v>
      </c>
      <c r="AG487" s="107">
        <f t="shared" si="145"/>
        <v>3.767741352043541E-2</v>
      </c>
      <c r="AH487" s="107">
        <f t="shared" si="145"/>
        <v>4.0456092585854364E-2</v>
      </c>
      <c r="AI487" s="107">
        <f t="shared" si="145"/>
        <v>4.0391390824965789E-2</v>
      </c>
      <c r="AJ487" s="107">
        <f t="shared" si="145"/>
        <v>0.04</v>
      </c>
      <c r="AK487" s="107">
        <f t="shared" si="145"/>
        <v>0.04</v>
      </c>
      <c r="AL487" s="107">
        <f t="shared" si="145"/>
        <v>0.04</v>
      </c>
      <c r="AM487" s="107">
        <f t="shared" si="145"/>
        <v>0.04</v>
      </c>
      <c r="AN487" s="107">
        <f t="shared" si="145"/>
        <v>0.04</v>
      </c>
      <c r="AO487" s="107">
        <f t="shared" si="145"/>
        <v>0.04</v>
      </c>
      <c r="AP487" s="107">
        <f t="shared" si="145"/>
        <v>0.04</v>
      </c>
      <c r="AQ487" s="107">
        <f t="shared" si="145"/>
        <v>0.04</v>
      </c>
      <c r="AR487" s="107">
        <f t="shared" si="145"/>
        <v>0.04</v>
      </c>
      <c r="AS487" s="107">
        <f t="shared" si="145"/>
        <v>0.04</v>
      </c>
      <c r="AT487" s="107">
        <f t="shared" si="145"/>
        <v>0.04</v>
      </c>
      <c r="AU487" s="107">
        <f t="shared" si="145"/>
        <v>0.04</v>
      </c>
      <c r="AV487" s="107">
        <f t="shared" si="145"/>
        <v>0.04</v>
      </c>
      <c r="AW487" s="107">
        <f t="shared" si="145"/>
        <v>0.04</v>
      </c>
      <c r="AX487" s="107">
        <f t="shared" si="145"/>
        <v>0.04</v>
      </c>
      <c r="AY487" s="107">
        <f t="shared" si="145"/>
        <v>0.04</v>
      </c>
      <c r="AZ487" s="107">
        <f t="shared" si="145"/>
        <v>0.04</v>
      </c>
      <c r="BA487" s="107">
        <f t="shared" si="145"/>
        <v>0.04</v>
      </c>
      <c r="BB487" s="107">
        <f t="shared" si="145"/>
        <v>0.04</v>
      </c>
      <c r="BC487" s="107">
        <f t="shared" si="145"/>
        <v>0.04</v>
      </c>
      <c r="BD487" s="107">
        <f t="shared" si="145"/>
        <v>0.04</v>
      </c>
      <c r="BE487" s="107">
        <f t="shared" si="145"/>
        <v>0.04</v>
      </c>
      <c r="BF487" s="107">
        <f t="shared" si="145"/>
        <v>0.04</v>
      </c>
      <c r="BG487" s="107">
        <f t="shared" si="145"/>
        <v>0.04</v>
      </c>
    </row>
    <row r="488" spans="1:59" ht="13.75" customHeight="1">
      <c r="A488" s="141" t="s">
        <v>166</v>
      </c>
      <c r="B488" s="142" t="s">
        <v>470</v>
      </c>
      <c r="D488" s="142" t="s">
        <v>168</v>
      </c>
      <c r="F488" s="168" t="s">
        <v>486</v>
      </c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X488" s="107">
        <v>1.1607815719119952E-2</v>
      </c>
      <c r="Y488" s="158">
        <v>2.4813052345343367E-2</v>
      </c>
      <c r="Z488" s="107">
        <v>2.553897180762843E-2</v>
      </c>
      <c r="AA488" s="158">
        <v>5.6274256144890122E-2</v>
      </c>
      <c r="AB488" s="158">
        <v>-3.8212634822804348E-2</v>
      </c>
      <c r="AC488" s="107">
        <v>9.2731976046794395E-2</v>
      </c>
      <c r="AD488" s="107">
        <v>8.6311541932692082E-2</v>
      </c>
      <c r="AE488" s="107">
        <v>0.19</v>
      </c>
      <c r="AF488" s="107">
        <f t="shared" si="145"/>
        <v>0.15</v>
      </c>
      <c r="AG488" s="107">
        <f t="shared" si="145"/>
        <v>3.767741352043541E-2</v>
      </c>
      <c r="AH488" s="107">
        <f t="shared" si="145"/>
        <v>4.0456092585854364E-2</v>
      </c>
      <c r="AI488" s="107">
        <f t="shared" si="145"/>
        <v>4.0391390824965789E-2</v>
      </c>
      <c r="AJ488" s="107">
        <f t="shared" si="145"/>
        <v>0.04</v>
      </c>
      <c r="AK488" s="107">
        <f t="shared" si="145"/>
        <v>0.04</v>
      </c>
      <c r="AL488" s="107">
        <f t="shared" si="145"/>
        <v>0.04</v>
      </c>
      <c r="AM488" s="107">
        <f t="shared" si="145"/>
        <v>0.04</v>
      </c>
      <c r="AN488" s="107">
        <f t="shared" si="145"/>
        <v>0.04</v>
      </c>
      <c r="AO488" s="107">
        <f t="shared" si="145"/>
        <v>0.04</v>
      </c>
      <c r="AP488" s="107">
        <f t="shared" si="145"/>
        <v>0.04</v>
      </c>
      <c r="AQ488" s="107">
        <f t="shared" si="145"/>
        <v>0.04</v>
      </c>
      <c r="AR488" s="107">
        <f t="shared" si="145"/>
        <v>0.04</v>
      </c>
      <c r="AS488" s="107">
        <f t="shared" si="145"/>
        <v>0.04</v>
      </c>
      <c r="AT488" s="107">
        <f t="shared" si="145"/>
        <v>0.04</v>
      </c>
      <c r="AU488" s="107">
        <f t="shared" si="145"/>
        <v>0.04</v>
      </c>
      <c r="AV488" s="107">
        <f t="shared" si="145"/>
        <v>0.04</v>
      </c>
      <c r="AW488" s="107">
        <f t="shared" si="145"/>
        <v>0.04</v>
      </c>
      <c r="AX488" s="107">
        <f t="shared" si="145"/>
        <v>0.04</v>
      </c>
      <c r="AY488" s="107">
        <f t="shared" si="145"/>
        <v>0.04</v>
      </c>
      <c r="AZ488" s="107">
        <f t="shared" si="145"/>
        <v>0.04</v>
      </c>
      <c r="BA488" s="107">
        <f t="shared" si="145"/>
        <v>0.04</v>
      </c>
      <c r="BB488" s="107">
        <f t="shared" si="145"/>
        <v>0.04</v>
      </c>
      <c r="BC488" s="107">
        <f t="shared" si="145"/>
        <v>0.04</v>
      </c>
      <c r="BD488" s="107">
        <f t="shared" si="145"/>
        <v>0.04</v>
      </c>
      <c r="BE488" s="107">
        <f t="shared" si="145"/>
        <v>0.04</v>
      </c>
      <c r="BF488" s="107">
        <f t="shared" si="145"/>
        <v>0.04</v>
      </c>
      <c r="BG488" s="107">
        <f t="shared" si="145"/>
        <v>0.04</v>
      </c>
    </row>
    <row r="489" spans="1:59" ht="13.75" customHeight="1">
      <c r="A489" s="141" t="s">
        <v>166</v>
      </c>
      <c r="B489" s="142" t="s">
        <v>470</v>
      </c>
      <c r="D489" s="142" t="s">
        <v>168</v>
      </c>
      <c r="F489" s="168" t="s">
        <v>487</v>
      </c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X489" s="107">
        <v>0.11446756080803122</v>
      </c>
      <c r="Y489" s="158">
        <v>5.3625377643504502E-2</v>
      </c>
      <c r="Z489" s="107">
        <v>6.7025089605734722E-2</v>
      </c>
      <c r="AA489" s="158">
        <v>7.4571716493113893E-2</v>
      </c>
      <c r="AB489" s="158">
        <v>5.1152510262077566E-2</v>
      </c>
      <c r="AC489" s="107">
        <v>6.5652293217660418E-2</v>
      </c>
      <c r="AD489" s="107">
        <v>9.6013819078487606E-2</v>
      </c>
      <c r="AE489" s="107">
        <v>0.254</v>
      </c>
      <c r="AF489" s="107">
        <f t="shared" si="145"/>
        <v>0.15</v>
      </c>
      <c r="AG489" s="107">
        <f t="shared" si="145"/>
        <v>3.767741352043541E-2</v>
      </c>
      <c r="AH489" s="107">
        <f t="shared" si="145"/>
        <v>4.0456092585854364E-2</v>
      </c>
      <c r="AI489" s="107">
        <f t="shared" si="145"/>
        <v>4.0391390824965789E-2</v>
      </c>
      <c r="AJ489" s="107">
        <f t="shared" si="145"/>
        <v>0.04</v>
      </c>
      <c r="AK489" s="107">
        <f t="shared" si="145"/>
        <v>0.04</v>
      </c>
      <c r="AL489" s="107">
        <f t="shared" si="145"/>
        <v>0.04</v>
      </c>
      <c r="AM489" s="107">
        <f t="shared" si="145"/>
        <v>0.04</v>
      </c>
      <c r="AN489" s="107">
        <f t="shared" si="145"/>
        <v>0.04</v>
      </c>
      <c r="AO489" s="107">
        <f t="shared" si="145"/>
        <v>0.04</v>
      </c>
      <c r="AP489" s="107">
        <f t="shared" si="145"/>
        <v>0.04</v>
      </c>
      <c r="AQ489" s="107">
        <f t="shared" si="145"/>
        <v>0.04</v>
      </c>
      <c r="AR489" s="107">
        <f t="shared" si="145"/>
        <v>0.04</v>
      </c>
      <c r="AS489" s="107">
        <f t="shared" si="145"/>
        <v>0.04</v>
      </c>
      <c r="AT489" s="107">
        <f t="shared" si="145"/>
        <v>0.04</v>
      </c>
      <c r="AU489" s="107">
        <f t="shared" si="145"/>
        <v>0.04</v>
      </c>
      <c r="AV489" s="107">
        <f t="shared" si="145"/>
        <v>0.04</v>
      </c>
      <c r="AW489" s="107">
        <f t="shared" si="145"/>
        <v>0.04</v>
      </c>
      <c r="AX489" s="107">
        <f t="shared" si="145"/>
        <v>0.04</v>
      </c>
      <c r="AY489" s="107">
        <f t="shared" si="145"/>
        <v>0.04</v>
      </c>
      <c r="AZ489" s="107">
        <f t="shared" si="145"/>
        <v>0.04</v>
      </c>
      <c r="BA489" s="107">
        <f t="shared" si="145"/>
        <v>0.04</v>
      </c>
      <c r="BB489" s="107">
        <f t="shared" si="145"/>
        <v>0.04</v>
      </c>
      <c r="BC489" s="107">
        <f t="shared" si="145"/>
        <v>0.04</v>
      </c>
      <c r="BD489" s="107">
        <f t="shared" si="145"/>
        <v>0.04</v>
      </c>
      <c r="BE489" s="107">
        <f t="shared" si="145"/>
        <v>0.04</v>
      </c>
      <c r="BF489" s="107">
        <f t="shared" si="145"/>
        <v>0.04</v>
      </c>
      <c r="BG489" s="107">
        <f t="shared" si="145"/>
        <v>0.04</v>
      </c>
    </row>
    <row r="490" spans="1:59" ht="13.75" customHeight="1">
      <c r="A490" s="141" t="s">
        <v>166</v>
      </c>
      <c r="B490" s="142" t="s">
        <v>470</v>
      </c>
      <c r="D490" s="142" t="s">
        <v>168</v>
      </c>
      <c r="F490" s="168" t="s">
        <v>488</v>
      </c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X490" s="107">
        <v>-2.4738532841949712E-2</v>
      </c>
      <c r="Y490" s="158">
        <v>0.15767490428123909</v>
      </c>
      <c r="Z490" s="107">
        <v>8.538785327720988E-2</v>
      </c>
      <c r="AA490" s="158">
        <v>6.5096952908587191E-2</v>
      </c>
      <c r="AB490" s="158">
        <v>7.7490774907749138E-2</v>
      </c>
      <c r="AC490" s="107">
        <v>1.4400807816866257E-2</v>
      </c>
      <c r="AD490" s="107">
        <v>-1.6297121521103519E-2</v>
      </c>
      <c r="AE490" s="107">
        <v>0.215</v>
      </c>
      <c r="AF490" s="107">
        <f t="shared" si="145"/>
        <v>0.15</v>
      </c>
      <c r="AG490" s="107">
        <f t="shared" si="145"/>
        <v>3.767741352043541E-2</v>
      </c>
      <c r="AH490" s="107">
        <f t="shared" si="145"/>
        <v>4.0456092585854364E-2</v>
      </c>
      <c r="AI490" s="107">
        <f t="shared" si="145"/>
        <v>4.0391390824965789E-2</v>
      </c>
      <c r="AJ490" s="107">
        <f t="shared" si="145"/>
        <v>0.04</v>
      </c>
      <c r="AK490" s="107">
        <f t="shared" si="145"/>
        <v>0.04</v>
      </c>
      <c r="AL490" s="107">
        <f t="shared" si="145"/>
        <v>0.04</v>
      </c>
      <c r="AM490" s="107">
        <f t="shared" si="145"/>
        <v>0.04</v>
      </c>
      <c r="AN490" s="107">
        <f t="shared" si="145"/>
        <v>0.04</v>
      </c>
      <c r="AO490" s="107">
        <f t="shared" si="145"/>
        <v>0.04</v>
      </c>
      <c r="AP490" s="107">
        <f t="shared" si="145"/>
        <v>0.04</v>
      </c>
      <c r="AQ490" s="107">
        <f t="shared" si="145"/>
        <v>0.04</v>
      </c>
      <c r="AR490" s="107">
        <f t="shared" si="145"/>
        <v>0.04</v>
      </c>
      <c r="AS490" s="107">
        <f t="shared" si="145"/>
        <v>0.04</v>
      </c>
      <c r="AT490" s="107">
        <f t="shared" si="145"/>
        <v>0.04</v>
      </c>
      <c r="AU490" s="107">
        <f t="shared" si="145"/>
        <v>0.04</v>
      </c>
      <c r="AV490" s="107">
        <f t="shared" si="145"/>
        <v>0.04</v>
      </c>
      <c r="AW490" s="107">
        <f t="shared" si="145"/>
        <v>0.04</v>
      </c>
      <c r="AX490" s="107">
        <f t="shared" si="145"/>
        <v>0.04</v>
      </c>
      <c r="AY490" s="107">
        <f t="shared" si="145"/>
        <v>0.04</v>
      </c>
      <c r="AZ490" s="107">
        <f t="shared" si="145"/>
        <v>0.04</v>
      </c>
      <c r="BA490" s="107">
        <f t="shared" si="145"/>
        <v>0.04</v>
      </c>
      <c r="BB490" s="107">
        <f t="shared" si="145"/>
        <v>0.04</v>
      </c>
      <c r="BC490" s="107">
        <f t="shared" si="145"/>
        <v>0.04</v>
      </c>
      <c r="BD490" s="107">
        <f t="shared" si="145"/>
        <v>0.04</v>
      </c>
      <c r="BE490" s="107">
        <f t="shared" si="145"/>
        <v>0.04</v>
      </c>
      <c r="BF490" s="107">
        <f t="shared" si="145"/>
        <v>0.04</v>
      </c>
      <c r="BG490" s="107">
        <f t="shared" si="145"/>
        <v>0.04</v>
      </c>
    </row>
    <row r="491" spans="1:59" ht="13.75" customHeight="1">
      <c r="A491" s="141" t="s">
        <v>166</v>
      </c>
      <c r="B491" s="142" t="s">
        <v>470</v>
      </c>
      <c r="D491" s="142" t="s">
        <v>168</v>
      </c>
      <c r="F491" s="168" t="s">
        <v>489</v>
      </c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AG491" s="116"/>
      <c r="AH491" s="116"/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  <c r="AU491" s="116"/>
      <c r="AV491" s="116"/>
      <c r="AW491" s="116"/>
      <c r="AX491" s="116"/>
      <c r="AY491" s="116"/>
      <c r="AZ491" s="116"/>
      <c r="BA491" s="116"/>
      <c r="BB491" s="116"/>
      <c r="BC491" s="116"/>
      <c r="BD491" s="116"/>
      <c r="BE491" s="116"/>
      <c r="BF491" s="116"/>
      <c r="BG491" s="116"/>
    </row>
    <row r="492" spans="1:59" s="109" customFormat="1" ht="13.75" customHeight="1" outlineLevel="1">
      <c r="A492" s="141" t="s">
        <v>166</v>
      </c>
      <c r="B492" s="142" t="s">
        <v>470</v>
      </c>
      <c r="C492" s="142"/>
      <c r="D492" s="142" t="s">
        <v>168</v>
      </c>
      <c r="F492" s="168" t="s">
        <v>490</v>
      </c>
      <c r="J492" s="107">
        <v>0.11221122112211224</v>
      </c>
      <c r="K492" s="107">
        <v>8.0118694362017573E-2</v>
      </c>
      <c r="L492" s="107">
        <v>7.9670329670329609E-2</v>
      </c>
      <c r="M492" s="107">
        <v>0.11450381679389321</v>
      </c>
      <c r="N492" s="107">
        <v>5.0228310502283158E-2</v>
      </c>
      <c r="O492" s="107">
        <v>0.14130434782608692</v>
      </c>
      <c r="P492" s="107">
        <v>0.14285714285714279</v>
      </c>
      <c r="Q492" s="107">
        <v>1.0000000000000009E-2</v>
      </c>
      <c r="R492" s="107">
        <v>-0.27392739273927391</v>
      </c>
      <c r="S492" s="107">
        <v>0.13181818181818183</v>
      </c>
      <c r="T492" s="107">
        <v>0.15662650602409656</v>
      </c>
      <c r="U492" s="107">
        <v>0.13020833333333326</v>
      </c>
      <c r="V492" s="107">
        <v>6.9124423963133674E-2</v>
      </c>
      <c r="W492" s="107">
        <v>2.7298850574712707E-2</v>
      </c>
      <c r="X492" s="107">
        <v>-0.11504895104895108</v>
      </c>
      <c r="Y492" s="107">
        <v>-0.11766286310332841</v>
      </c>
      <c r="Z492" s="107">
        <v>-5.3735513801070889E-3</v>
      </c>
      <c r="AA492" s="107">
        <v>-2.7625204847917417E-2</v>
      </c>
      <c r="AB492" s="107">
        <v>7.2999999999999995E-2</v>
      </c>
      <c r="AC492" s="107">
        <v>-3.4000000000000002E-2</v>
      </c>
      <c r="AD492" s="107">
        <v>2.4E-2</v>
      </c>
      <c r="AE492" s="107">
        <v>6.0000000000000001E-3</v>
      </c>
      <c r="AF492" s="107">
        <v>0.03</v>
      </c>
      <c r="AG492" s="107">
        <v>0.04</v>
      </c>
      <c r="AH492" s="107">
        <f>2.7902*AH$2 - 0.0293-0.2%</f>
        <v>2.1013061609085108E-2</v>
      </c>
      <c r="AI492" s="107">
        <f t="shared" ref="AI492:AX492" si="146">2.7902*AI$2 - 0.0293-0.2%</f>
        <v>5.7814235315785684E-3</v>
      </c>
      <c r="AJ492" s="107">
        <f t="shared" si="146"/>
        <v>2.4503999999999998E-2</v>
      </c>
      <c r="AK492" s="107">
        <f t="shared" si="146"/>
        <v>2.4503999999999998E-2</v>
      </c>
      <c r="AL492" s="107">
        <f t="shared" si="146"/>
        <v>2.4503999999999998E-2</v>
      </c>
      <c r="AM492" s="107">
        <f t="shared" si="146"/>
        <v>2.4503999999999998E-2</v>
      </c>
      <c r="AN492" s="107">
        <f t="shared" si="146"/>
        <v>2.4503999999999998E-2</v>
      </c>
      <c r="AO492" s="107">
        <f t="shared" si="146"/>
        <v>2.4503999999999998E-2</v>
      </c>
      <c r="AP492" s="107">
        <f t="shared" si="146"/>
        <v>2.4503999999999998E-2</v>
      </c>
      <c r="AQ492" s="107">
        <f t="shared" si="146"/>
        <v>2.4503999999999998E-2</v>
      </c>
      <c r="AR492" s="107">
        <f t="shared" si="146"/>
        <v>2.4503999999999998E-2</v>
      </c>
      <c r="AS492" s="107">
        <f t="shared" si="146"/>
        <v>2.4503999999999998E-2</v>
      </c>
      <c r="AT492" s="107">
        <f t="shared" si="146"/>
        <v>2.4503999999999998E-2</v>
      </c>
      <c r="AU492" s="107">
        <f t="shared" si="146"/>
        <v>2.4503999999999998E-2</v>
      </c>
      <c r="AV492" s="107">
        <f t="shared" si="146"/>
        <v>2.4503999999999998E-2</v>
      </c>
      <c r="AW492" s="107">
        <f t="shared" si="146"/>
        <v>2.4503999999999998E-2</v>
      </c>
      <c r="AX492" s="107">
        <f t="shared" si="146"/>
        <v>2.4503999999999998E-2</v>
      </c>
      <c r="AY492" s="107">
        <f t="shared" ref="AY492:BG492" si="147">AX492</f>
        <v>2.4503999999999998E-2</v>
      </c>
      <c r="AZ492" s="107">
        <f t="shared" si="147"/>
        <v>2.4503999999999998E-2</v>
      </c>
      <c r="BA492" s="107">
        <f t="shared" si="147"/>
        <v>2.4503999999999998E-2</v>
      </c>
      <c r="BB492" s="107">
        <f t="shared" si="147"/>
        <v>2.4503999999999998E-2</v>
      </c>
      <c r="BC492" s="107">
        <f t="shared" si="147"/>
        <v>2.4503999999999998E-2</v>
      </c>
      <c r="BD492" s="107">
        <f t="shared" si="147"/>
        <v>2.4503999999999998E-2</v>
      </c>
      <c r="BE492" s="107">
        <f t="shared" si="147"/>
        <v>2.4503999999999998E-2</v>
      </c>
      <c r="BF492" s="107">
        <f t="shared" si="147"/>
        <v>2.4503999999999998E-2</v>
      </c>
      <c r="BG492" s="107">
        <f t="shared" si="147"/>
        <v>2.4503999999999998E-2</v>
      </c>
    </row>
    <row r="493" spans="1:59" ht="13.75" customHeight="1" outlineLevel="1">
      <c r="F493" s="168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AG493" s="116"/>
      <c r="AH493" s="116"/>
    </row>
    <row r="494" spans="1:59" ht="13.75" customHeight="1" outlineLevel="1">
      <c r="F494" s="168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AG494" s="116"/>
      <c r="AH494" s="116"/>
    </row>
    <row r="495" spans="1:59" ht="13.75" customHeight="1" outlineLevel="1">
      <c r="F495" s="168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AG495" s="116"/>
      <c r="AH495" s="116"/>
    </row>
    <row r="496" spans="1:59" ht="13.75" customHeight="1" outlineLevel="1">
      <c r="F496" s="168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AG496" s="116"/>
      <c r="AH496" s="116"/>
    </row>
    <row r="497" spans="1:59" ht="13.75" customHeight="1" outlineLevel="1">
      <c r="F497" s="168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AG497" s="116"/>
      <c r="AH497" s="116"/>
    </row>
    <row r="498" spans="1:59" ht="13.75" customHeight="1" outlineLevel="1">
      <c r="F498" s="168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AG498" s="116"/>
      <c r="AH498" s="116"/>
    </row>
    <row r="499" spans="1:59" ht="13.75" customHeight="1" outlineLevel="1">
      <c r="F499" s="168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AG499" s="116"/>
      <c r="AH499" s="116"/>
    </row>
    <row r="500" spans="1:59" ht="13.75" customHeight="1" outlineLevel="1">
      <c r="F500" s="168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AG500" s="116"/>
      <c r="AH500" s="116"/>
    </row>
    <row r="501" spans="1:59" ht="13.75" customHeight="1" outlineLevel="1">
      <c r="F501" s="168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AG501" s="116"/>
      <c r="AH501" s="116"/>
    </row>
    <row r="502" spans="1:59" ht="13.75" customHeight="1" outlineLevel="1">
      <c r="F502" s="168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AF502" s="135"/>
      <c r="AG502" s="116"/>
      <c r="AH502" s="116"/>
    </row>
    <row r="503" spans="1:59" ht="13.75" customHeight="1" outlineLevel="1">
      <c r="F503" s="168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AG503" s="116"/>
      <c r="AH503" s="116"/>
    </row>
    <row r="504" spans="1:59" ht="13.75" customHeight="1" outlineLevel="1">
      <c r="F504" s="168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AG504" s="116"/>
      <c r="AH504" s="116"/>
    </row>
    <row r="505" spans="1:59" ht="13.75" customHeight="1" outlineLevel="1">
      <c r="F505" s="168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AG505" s="116"/>
      <c r="AH505" s="116"/>
    </row>
    <row r="506" spans="1:59" ht="13.75" customHeight="1" outlineLevel="1">
      <c r="F506" s="168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AD506" s="114"/>
      <c r="AE506" s="114"/>
      <c r="AF506" s="135"/>
      <c r="AG506" s="116"/>
      <c r="AH506" s="116"/>
    </row>
    <row r="507" spans="1:59" ht="13.75" customHeight="1" outlineLevel="1">
      <c r="F507" s="168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AG507" s="116"/>
      <c r="AH507" s="116"/>
    </row>
    <row r="508" spans="1:59" s="109" customFormat="1" ht="13.75" customHeight="1">
      <c r="A508" s="141" t="s">
        <v>166</v>
      </c>
      <c r="B508" s="142" t="s">
        <v>491</v>
      </c>
      <c r="C508" s="142" t="s">
        <v>492</v>
      </c>
      <c r="D508" s="142" t="s">
        <v>87</v>
      </c>
      <c r="F508" s="168" t="s">
        <v>493</v>
      </c>
      <c r="G508" s="109" t="s">
        <v>494</v>
      </c>
      <c r="U508" s="112">
        <v>149.1</v>
      </c>
      <c r="V508" s="112">
        <v>152.13</v>
      </c>
      <c r="W508" s="112">
        <v>179.87</v>
      </c>
      <c r="X508" s="112">
        <v>223.15</v>
      </c>
      <c r="Y508" s="112">
        <v>347.77486338797814</v>
      </c>
      <c r="Z508" s="112">
        <v>326.05030136986301</v>
      </c>
      <c r="AA508" s="112">
        <v>345.17</v>
      </c>
      <c r="AB508" s="112">
        <v>382.83</v>
      </c>
      <c r="AC508" s="112">
        <v>412.95</v>
      </c>
      <c r="AD508" s="112">
        <v>425.97780821917809</v>
      </c>
      <c r="AE508" s="112">
        <v>460.8</v>
      </c>
      <c r="AF508" s="112">
        <v>462.57</v>
      </c>
      <c r="AG508" s="112">
        <v>484.01816400000007</v>
      </c>
      <c r="AH508" s="112">
        <v>493.19649514800011</v>
      </c>
      <c r="AI508" s="112">
        <f>AVERAGE(AH509:AI509)</f>
        <v>499.86582891896012</v>
      </c>
      <c r="AJ508" s="112">
        <f>AVERAGE(AI509:AJ509)</f>
        <v>509.71376442856837</v>
      </c>
      <c r="AK508" s="112">
        <f>AVERAGE(AJ509:AK509)</f>
        <v>519.60637836567435</v>
      </c>
      <c r="AL508" s="112">
        <f>AVERAGE(AK509:AL509)</f>
        <v>529.6909898852241</v>
      </c>
      <c r="AM508" s="112">
        <f t="shared" ref="AM508:AY508" si="148">AVERAGE(AL509:AM509)</f>
        <v>539.97132530989632</v>
      </c>
      <c r="AN508" s="112">
        <f t="shared" si="148"/>
        <v>550.45118328349213</v>
      </c>
      <c r="AO508" s="112">
        <f t="shared" si="148"/>
        <v>561.1344361745563</v>
      </c>
      <c r="AP508" s="112">
        <f t="shared" si="148"/>
        <v>572.02503150724021</v>
      </c>
      <c r="AQ508" s="112">
        <f t="shared" si="148"/>
        <v>583.12699341993448</v>
      </c>
      <c r="AR508" s="112">
        <f t="shared" si="148"/>
        <v>594.44442415221204</v>
      </c>
      <c r="AS508" s="112">
        <f t="shared" si="148"/>
        <v>605.9815055606291</v>
      </c>
      <c r="AT508" s="112">
        <f t="shared" si="148"/>
        <v>617.74250066394575</v>
      </c>
      <c r="AU508" s="112">
        <f t="shared" si="148"/>
        <v>629.7317552183365</v>
      </c>
      <c r="AV508" s="112">
        <f t="shared" si="148"/>
        <v>641.95369932317169</v>
      </c>
      <c r="AW508" s="112">
        <f t="shared" si="148"/>
        <v>654.41284905796579</v>
      </c>
      <c r="AX508" s="112">
        <f t="shared" si="148"/>
        <v>667.11380815109487</v>
      </c>
      <c r="AY508" s="112">
        <f t="shared" si="148"/>
        <v>680.26057424433247</v>
      </c>
      <c r="AZ508" s="112">
        <f>AVERAGE(AY509:AZ509)</f>
        <v>693.86578572921917</v>
      </c>
      <c r="BA508" s="112">
        <f>AVERAGE(AZ509:BA509)</f>
        <v>707.74310144380343</v>
      </c>
      <c r="BB508" s="112">
        <f>AVERAGE(BA509:BB509)</f>
        <v>721.89796347267952</v>
      </c>
      <c r="BC508" s="112">
        <f t="shared" ref="BC508:BG508" si="149">AVERAGE(BB509:BC509)</f>
        <v>736.33592274213322</v>
      </c>
      <c r="BD508" s="112">
        <f t="shared" si="149"/>
        <v>751.06264119697585</v>
      </c>
      <c r="BE508" s="112">
        <f t="shared" si="149"/>
        <v>766.08389402091541</v>
      </c>
      <c r="BF508" s="112">
        <f t="shared" si="149"/>
        <v>781.4055719013337</v>
      </c>
      <c r="BG508" s="112">
        <f t="shared" si="149"/>
        <v>797.03368333936032</v>
      </c>
    </row>
    <row r="509" spans="1:59" s="109" customFormat="1" ht="13.75" customHeight="1">
      <c r="A509" s="141" t="s">
        <v>166</v>
      </c>
      <c r="B509" s="142" t="s">
        <v>491</v>
      </c>
      <c r="C509" s="142" t="s">
        <v>492</v>
      </c>
      <c r="D509" s="142" t="s">
        <v>87</v>
      </c>
      <c r="F509" s="168" t="s">
        <v>495</v>
      </c>
      <c r="G509" s="109" t="s">
        <v>494</v>
      </c>
      <c r="I509" s="109" t="s">
        <v>496</v>
      </c>
      <c r="U509" s="112">
        <v>150.4</v>
      </c>
      <c r="V509" s="112">
        <v>154.04</v>
      </c>
      <c r="W509" s="112">
        <v>185</v>
      </c>
      <c r="X509" s="112">
        <v>340.5</v>
      </c>
      <c r="Y509" s="112">
        <v>333.29</v>
      </c>
      <c r="Z509" s="112">
        <v>332.33</v>
      </c>
      <c r="AA509" s="112">
        <v>381.03</v>
      </c>
      <c r="AB509" s="112">
        <v>382.86</v>
      </c>
      <c r="AC509" s="112">
        <v>421.3</v>
      </c>
      <c r="AD509" s="112">
        <v>431.7</v>
      </c>
      <c r="AE509" s="112">
        <v>462.65</v>
      </c>
      <c r="AF509" s="112">
        <v>476.56000000000006</v>
      </c>
      <c r="AG509" s="112">
        <v>491.47632800000014</v>
      </c>
      <c r="AH509" s="112">
        <v>494.91666229600008</v>
      </c>
      <c r="AI509" s="112">
        <f>AH509*(1+AI510-AI$4)</f>
        <v>504.8149955419201</v>
      </c>
      <c r="AJ509" s="112">
        <f t="shared" ref="AJ509:AX509" si="150">AI509*(1+AJ510-AJ$4)</f>
        <v>514.61253331521664</v>
      </c>
      <c r="AK509" s="112">
        <f t="shared" si="150"/>
        <v>524.60022341613205</v>
      </c>
      <c r="AL509" s="112">
        <f t="shared" si="150"/>
        <v>534.78175635431626</v>
      </c>
      <c r="AM509" s="112">
        <f t="shared" si="150"/>
        <v>545.16089426547637</v>
      </c>
      <c r="AN509" s="112">
        <f t="shared" si="150"/>
        <v>555.74147230150777</v>
      </c>
      <c r="AO509" s="112">
        <f t="shared" si="150"/>
        <v>566.52740004760483</v>
      </c>
      <c r="AP509" s="112">
        <f t="shared" si="150"/>
        <v>577.5226629668756</v>
      </c>
      <c r="AQ509" s="112">
        <f t="shared" si="150"/>
        <v>588.73132387299347</v>
      </c>
      <c r="AR509" s="112">
        <f t="shared" si="150"/>
        <v>600.1575244314306</v>
      </c>
      <c r="AS509" s="112">
        <f>AR509*(1+AS510-AS$4)</f>
        <v>611.80548668982749</v>
      </c>
      <c r="AT509" s="112">
        <f t="shared" si="150"/>
        <v>623.67951463806401</v>
      </c>
      <c r="AU509" s="112">
        <f t="shared" si="150"/>
        <v>635.78399579860888</v>
      </c>
      <c r="AV509" s="112">
        <f t="shared" si="150"/>
        <v>648.1234028477345</v>
      </c>
      <c r="AW509" s="112">
        <f t="shared" si="150"/>
        <v>660.70229526819719</v>
      </c>
      <c r="AX509" s="112">
        <f t="shared" si="150"/>
        <v>673.52532103399255</v>
      </c>
      <c r="AY509" s="112">
        <f>AX509*(1+AY510-AY$4)</f>
        <v>686.99582745467239</v>
      </c>
      <c r="AZ509" s="112">
        <f t="shared" ref="AZ509:BA509" si="151">AY509*(1+AZ510-AZ$4)</f>
        <v>700.73574400376583</v>
      </c>
      <c r="BA509" s="112">
        <f t="shared" si="151"/>
        <v>714.75045888384113</v>
      </c>
      <c r="BB509" s="112">
        <f>BA509*(1+BB510-BB$4)</f>
        <v>729.04546806151802</v>
      </c>
      <c r="BC509" s="112">
        <f t="shared" ref="BC509:BG509" si="152">BB509*(1+BC510-BC$4)</f>
        <v>743.62637742274842</v>
      </c>
      <c r="BD509" s="112">
        <f t="shared" si="152"/>
        <v>758.49890497120339</v>
      </c>
      <c r="BE509" s="112">
        <f t="shared" si="152"/>
        <v>773.66888307062743</v>
      </c>
      <c r="BF509" s="112">
        <f t="shared" si="152"/>
        <v>789.14226073203997</v>
      </c>
      <c r="BG509" s="112">
        <f t="shared" si="152"/>
        <v>804.92510594668079</v>
      </c>
    </row>
    <row r="510" spans="1:59" s="109" customFormat="1" ht="13.75" customHeight="1">
      <c r="A510" s="141" t="s">
        <v>166</v>
      </c>
      <c r="B510" s="142" t="s">
        <v>491</v>
      </c>
      <c r="C510" s="142" t="s">
        <v>492</v>
      </c>
      <c r="D510" s="142" t="s">
        <v>87</v>
      </c>
      <c r="F510" s="168" t="s">
        <v>497</v>
      </c>
      <c r="G510" s="109" t="s">
        <v>3</v>
      </c>
      <c r="I510" s="109" t="s">
        <v>498</v>
      </c>
      <c r="U510" s="107">
        <v>5.0999999999999997E-2</v>
      </c>
      <c r="V510" s="107">
        <v>5.7999999999999996E-2</v>
      </c>
      <c r="W510" s="107">
        <v>6.7000000000000004E-2</v>
      </c>
      <c r="X510" s="107">
        <v>6.6500000000000004E-2</v>
      </c>
      <c r="Y510" s="107">
        <v>0.14679999999999999</v>
      </c>
      <c r="Z510" s="107">
        <v>7.3999999999999996E-2</v>
      </c>
      <c r="AA510" s="107">
        <v>6.0899999999999996E-2</v>
      </c>
      <c r="AB510" s="107">
        <v>5.2400000000000002E-2</v>
      </c>
      <c r="AC510" s="107">
        <v>6.7919999999999994E-2</v>
      </c>
      <c r="AD510" s="107">
        <v>0.08</v>
      </c>
      <c r="AE510" s="107">
        <v>0.20300000000000001</v>
      </c>
      <c r="AF510" s="107">
        <v>0.12</v>
      </c>
      <c r="AG510" s="107">
        <v>7.0000000000000007E-2</v>
      </c>
      <c r="AH510" s="107">
        <v>0.04</v>
      </c>
      <c r="AI510" s="107">
        <f>AH510</f>
        <v>0.04</v>
      </c>
      <c r="AJ510" s="107">
        <f t="shared" ref="AJ510:BG510" si="153">AI510</f>
        <v>0.04</v>
      </c>
      <c r="AK510" s="107">
        <f t="shared" si="153"/>
        <v>0.04</v>
      </c>
      <c r="AL510" s="107">
        <f t="shared" si="153"/>
        <v>0.04</v>
      </c>
      <c r="AM510" s="107">
        <f t="shared" si="153"/>
        <v>0.04</v>
      </c>
      <c r="AN510" s="107">
        <f t="shared" si="153"/>
        <v>0.04</v>
      </c>
      <c r="AO510" s="107">
        <f t="shared" si="153"/>
        <v>0.04</v>
      </c>
      <c r="AP510" s="107">
        <f t="shared" si="153"/>
        <v>0.04</v>
      </c>
      <c r="AQ510" s="107">
        <f t="shared" si="153"/>
        <v>0.04</v>
      </c>
      <c r="AR510" s="107">
        <f t="shared" si="153"/>
        <v>0.04</v>
      </c>
      <c r="AS510" s="107">
        <f t="shared" si="153"/>
        <v>0.04</v>
      </c>
      <c r="AT510" s="107">
        <f t="shared" si="153"/>
        <v>0.04</v>
      </c>
      <c r="AU510" s="107">
        <f t="shared" si="153"/>
        <v>0.04</v>
      </c>
      <c r="AV510" s="107">
        <f t="shared" si="153"/>
        <v>0.04</v>
      </c>
      <c r="AW510" s="107">
        <f t="shared" si="153"/>
        <v>0.04</v>
      </c>
      <c r="AX510" s="107">
        <f t="shared" si="153"/>
        <v>0.04</v>
      </c>
      <c r="AY510" s="107">
        <f t="shared" si="153"/>
        <v>0.04</v>
      </c>
      <c r="AZ510" s="107">
        <f t="shared" si="153"/>
        <v>0.04</v>
      </c>
      <c r="BA510" s="107">
        <f t="shared" si="153"/>
        <v>0.04</v>
      </c>
      <c r="BB510" s="107">
        <f t="shared" si="153"/>
        <v>0.04</v>
      </c>
      <c r="BC510" s="107">
        <f t="shared" si="153"/>
        <v>0.04</v>
      </c>
      <c r="BD510" s="107">
        <f t="shared" si="153"/>
        <v>0.04</v>
      </c>
      <c r="BE510" s="107">
        <f t="shared" si="153"/>
        <v>0.04</v>
      </c>
      <c r="BF510" s="107">
        <f t="shared" si="153"/>
        <v>0.04</v>
      </c>
      <c r="BG510" s="107">
        <f t="shared" si="153"/>
        <v>0.04</v>
      </c>
    </row>
    <row r="511" spans="1:59" s="109" customFormat="1" ht="13.75" customHeight="1">
      <c r="A511" s="141" t="s">
        <v>166</v>
      </c>
      <c r="B511" s="142" t="s">
        <v>491</v>
      </c>
      <c r="C511" s="142" t="s">
        <v>492</v>
      </c>
      <c r="D511" s="142" t="s">
        <v>98</v>
      </c>
      <c r="F511" s="168" t="s">
        <v>499</v>
      </c>
      <c r="G511" s="109" t="s">
        <v>3</v>
      </c>
      <c r="I511" s="109" t="s">
        <v>498</v>
      </c>
      <c r="U511" s="107">
        <v>0.11200000000000002</v>
      </c>
      <c r="V511" s="107">
        <v>3.5499999999999997E-2</v>
      </c>
      <c r="W511" s="107">
        <v>9.5000000000000001E-2</v>
      </c>
      <c r="X511" s="107">
        <v>-0.20499999999999999</v>
      </c>
      <c r="Y511" s="107">
        <v>0.16800000000000001</v>
      </c>
      <c r="Z511" s="107">
        <v>0.16600000000000001</v>
      </c>
      <c r="AA511" s="107">
        <v>0.189833</v>
      </c>
      <c r="AB511" s="107">
        <v>1.3999999999999999E-2</v>
      </c>
      <c r="AC511" s="107">
        <v>-4.2000000000000003E-2</v>
      </c>
      <c r="AD511" s="107">
        <v>0.46100000000000002</v>
      </c>
      <c r="AE511" s="107">
        <f t="shared" ref="AE511" si="154">AE510</f>
        <v>0.20300000000000001</v>
      </c>
      <c r="AF511" s="107">
        <f>AF510</f>
        <v>0.12</v>
      </c>
      <c r="AG511" s="107">
        <f t="shared" ref="AG511:AY511" si="155">AG510</f>
        <v>7.0000000000000007E-2</v>
      </c>
      <c r="AH511" s="107">
        <f t="shared" si="155"/>
        <v>0.04</v>
      </c>
      <c r="AI511" s="107">
        <f t="shared" si="155"/>
        <v>0.04</v>
      </c>
      <c r="AJ511" s="107">
        <f t="shared" si="155"/>
        <v>0.04</v>
      </c>
      <c r="AK511" s="107">
        <f t="shared" si="155"/>
        <v>0.04</v>
      </c>
      <c r="AL511" s="107">
        <f t="shared" si="155"/>
        <v>0.04</v>
      </c>
      <c r="AM511" s="107">
        <f t="shared" si="155"/>
        <v>0.04</v>
      </c>
      <c r="AN511" s="107">
        <f t="shared" si="155"/>
        <v>0.04</v>
      </c>
      <c r="AO511" s="107">
        <f t="shared" si="155"/>
        <v>0.04</v>
      </c>
      <c r="AP511" s="107">
        <f t="shared" si="155"/>
        <v>0.04</v>
      </c>
      <c r="AQ511" s="107">
        <f t="shared" si="155"/>
        <v>0.04</v>
      </c>
      <c r="AR511" s="107">
        <f t="shared" si="155"/>
        <v>0.04</v>
      </c>
      <c r="AS511" s="107">
        <f t="shared" si="155"/>
        <v>0.04</v>
      </c>
      <c r="AT511" s="107">
        <f t="shared" si="155"/>
        <v>0.04</v>
      </c>
      <c r="AU511" s="107">
        <f t="shared" si="155"/>
        <v>0.04</v>
      </c>
      <c r="AV511" s="107">
        <f t="shared" si="155"/>
        <v>0.04</v>
      </c>
      <c r="AW511" s="107">
        <f t="shared" si="155"/>
        <v>0.04</v>
      </c>
      <c r="AX511" s="107">
        <f>AX510</f>
        <v>0.04</v>
      </c>
      <c r="AY511" s="107">
        <f t="shared" si="155"/>
        <v>0.04</v>
      </c>
      <c r="AZ511" s="107">
        <f>AZ510</f>
        <v>0.04</v>
      </c>
      <c r="BA511" s="107">
        <f>BA510</f>
        <v>0.04</v>
      </c>
      <c r="BB511" s="107">
        <f>BB510</f>
        <v>0.04</v>
      </c>
      <c r="BC511" s="107">
        <f t="shared" ref="BC511:BG511" si="156">BC510</f>
        <v>0.04</v>
      </c>
      <c r="BD511" s="107">
        <f t="shared" si="156"/>
        <v>0.04</v>
      </c>
      <c r="BE511" s="107">
        <f t="shared" si="156"/>
        <v>0.04</v>
      </c>
      <c r="BF511" s="107">
        <f t="shared" si="156"/>
        <v>0.04</v>
      </c>
      <c r="BG511" s="107">
        <f t="shared" si="156"/>
        <v>0.04</v>
      </c>
    </row>
    <row r="512" spans="1:59" s="109" customFormat="1" ht="13.75" customHeight="1">
      <c r="A512" s="141" t="s">
        <v>166</v>
      </c>
      <c r="B512" s="142" t="s">
        <v>491</v>
      </c>
      <c r="C512" s="142" t="s">
        <v>500</v>
      </c>
      <c r="D512" s="142" t="s">
        <v>87</v>
      </c>
      <c r="F512" s="168" t="s">
        <v>501</v>
      </c>
      <c r="G512" s="109" t="s">
        <v>494</v>
      </c>
      <c r="U512" s="112">
        <v>8335.86</v>
      </c>
      <c r="V512" s="112">
        <v>8875.83</v>
      </c>
      <c r="W512" s="112">
        <v>10215.530000000001</v>
      </c>
      <c r="X512" s="119">
        <v>15936</v>
      </c>
      <c r="Y512" s="113">
        <v>1.9845759999999999</v>
      </c>
      <c r="Z512" s="113">
        <v>1.9315</v>
      </c>
      <c r="AA512" s="159">
        <v>2.0379999999999998</v>
      </c>
      <c r="AB512" s="159">
        <v>2.091962073492402</v>
      </c>
      <c r="AC512" s="159">
        <v>2.4386297814207651</v>
      </c>
      <c r="AD512" s="111">
        <v>2.5365983561643834</v>
      </c>
      <c r="AE512" s="111">
        <v>2.62</v>
      </c>
      <c r="AF512" s="111">
        <v>2.92</v>
      </c>
      <c r="AG512" s="111">
        <v>3.22</v>
      </c>
      <c r="AH512" s="111">
        <v>3.38</v>
      </c>
      <c r="AI512" s="113">
        <f t="shared" ref="AI512:AK512" si="157">AVERAGE(AH513:AI513)</f>
        <v>3.5055000000000001</v>
      </c>
      <c r="AJ512" s="113">
        <f>AVERAGE(AI513:AJ513)</f>
        <v>3.6797123782025229</v>
      </c>
      <c r="AK512" s="113">
        <f t="shared" si="157"/>
        <v>3.861520251313971</v>
      </c>
      <c r="AL512" s="113">
        <f>AVERAGE(AK513:AL513)</f>
        <v>4.0523109196354774</v>
      </c>
      <c r="AM512" s="113">
        <f t="shared" ref="AM512:AX512" si="158">AVERAGE(AL513:AM513)</f>
        <v>4.2525282066847208</v>
      </c>
      <c r="AN512" s="113">
        <f t="shared" si="158"/>
        <v>4.4626378644894036</v>
      </c>
      <c r="AO512" s="113">
        <f t="shared" si="158"/>
        <v>4.6831286570349242</v>
      </c>
      <c r="AP512" s="113">
        <f t="shared" si="158"/>
        <v>4.9145134972431963</v>
      </c>
      <c r="AQ512" s="113">
        <f t="shared" si="158"/>
        <v>5.1573306401275403</v>
      </c>
      <c r="AR512" s="113">
        <f t="shared" si="158"/>
        <v>5.4121449348991657</v>
      </c>
      <c r="AS512" s="113">
        <f t="shared" si="158"/>
        <v>5.6795491389379515</v>
      </c>
      <c r="AT512" s="113">
        <f>AVERAGE(AS513:AT513)</f>
        <v>5.9601652966841359</v>
      </c>
      <c r="AU512" s="113">
        <f>AVERAGE(AT513:AU513)</f>
        <v>6.2546461866585119</v>
      </c>
      <c r="AV512" s="113">
        <f>AVERAGE(AU513:AV513)</f>
        <v>6.563676839977262</v>
      </c>
      <c r="AW512" s="113">
        <f t="shared" si="158"/>
        <v>6.8879761338938312</v>
      </c>
      <c r="AX512" s="113">
        <f t="shared" si="158"/>
        <v>7.2282984640748049</v>
      </c>
      <c r="AY512" s="113">
        <f>AVERAGE(AX513:AY513)</f>
        <v>7.587626010136761</v>
      </c>
      <c r="AZ512" s="113">
        <f>AVERAGE(AY513:AZ513)</f>
        <v>7.9670073106435995</v>
      </c>
      <c r="BA512" s="113">
        <f>AVERAGE(AZ513:BA513)</f>
        <v>8.3653576761757797</v>
      </c>
      <c r="BB512" s="113">
        <f>AVERAGE(BA513:BB513)</f>
        <v>8.7836255599845696</v>
      </c>
      <c r="BC512" s="113">
        <f t="shared" ref="BC512:BG512" si="159">AVERAGE(BB513:BC513)</f>
        <v>9.2228068379838</v>
      </c>
      <c r="BD512" s="113">
        <f t="shared" si="159"/>
        <v>9.6839471798829901</v>
      </c>
      <c r="BE512" s="113">
        <f t="shared" si="159"/>
        <v>10.16814453887714</v>
      </c>
      <c r="BF512" s="113">
        <f t="shared" si="159"/>
        <v>10.676551765820998</v>
      </c>
      <c r="BG512" s="113">
        <f t="shared" si="159"/>
        <v>11.21037935411205</v>
      </c>
    </row>
    <row r="513" spans="1:59" s="109" customFormat="1" ht="13.75" customHeight="1">
      <c r="A513" s="141" t="s">
        <v>166</v>
      </c>
      <c r="B513" s="142" t="s">
        <v>491</v>
      </c>
      <c r="C513" s="142" t="s">
        <v>500</v>
      </c>
      <c r="D513" s="142" t="s">
        <v>87</v>
      </c>
      <c r="F513" s="168" t="s">
        <v>502</v>
      </c>
      <c r="G513" s="109" t="s">
        <v>494</v>
      </c>
      <c r="I513" s="109" t="s">
        <v>496</v>
      </c>
      <c r="U513" s="112">
        <v>8570</v>
      </c>
      <c r="V513" s="112">
        <v>9432.74</v>
      </c>
      <c r="W513" s="112">
        <v>10953.42</v>
      </c>
      <c r="X513" s="119">
        <v>18569</v>
      </c>
      <c r="Y513" s="113">
        <v>1.956</v>
      </c>
      <c r="Z513" s="113">
        <v>1.9726999999999999</v>
      </c>
      <c r="AA513" s="159">
        <v>2.1659999999999999</v>
      </c>
      <c r="AB513" s="159">
        <v>2.1</v>
      </c>
      <c r="AC513" s="159">
        <v>2.5977999999999999</v>
      </c>
      <c r="AD513" s="111">
        <v>2.5480999999999998</v>
      </c>
      <c r="AE513" s="111">
        <v>2.74</v>
      </c>
      <c r="AF513" s="111">
        <v>3.1</v>
      </c>
      <c r="AG513" s="111">
        <v>3.33</v>
      </c>
      <c r="AH513" s="111">
        <v>3.42</v>
      </c>
      <c r="AI513" s="112">
        <f>AH513*(1+AI514-AI$4)</f>
        <v>3.5910000000000002</v>
      </c>
      <c r="AJ513" s="112">
        <f t="shared" ref="AJ513:AR513" si="160">AI513*(1+AJ514-AJ$4)</f>
        <v>3.7684247564050453</v>
      </c>
      <c r="AK513" s="112">
        <f t="shared" si="160"/>
        <v>3.9546157462228972</v>
      </c>
      <c r="AL513" s="112">
        <f t="shared" si="160"/>
        <v>4.1500060930480585</v>
      </c>
      <c r="AM513" s="112">
        <f t="shared" si="160"/>
        <v>4.3550503203213822</v>
      </c>
      <c r="AN513" s="112">
        <f t="shared" si="160"/>
        <v>4.5702254086574259</v>
      </c>
      <c r="AO513" s="112">
        <f t="shared" si="160"/>
        <v>4.7960319054124216</v>
      </c>
      <c r="AP513" s="112">
        <f t="shared" si="160"/>
        <v>5.032995089073971</v>
      </c>
      <c r="AQ513" s="112">
        <f t="shared" si="160"/>
        <v>5.2816661911811105</v>
      </c>
      <c r="AR513" s="112">
        <f t="shared" si="160"/>
        <v>5.5426236786172201</v>
      </c>
      <c r="AS513" s="112">
        <f>AR513*(1+AS514-AS$4)</f>
        <v>5.816474599258683</v>
      </c>
      <c r="AT513" s="112">
        <f t="shared" ref="AT513:BG513" si="161">AS513*(1+AT514-AT$4)</f>
        <v>6.1038559941095887</v>
      </c>
      <c r="AU513" s="112">
        <f t="shared" si="161"/>
        <v>6.4054363792074351</v>
      </c>
      <c r="AV513" s="112">
        <f t="shared" si="161"/>
        <v>6.721917300747088</v>
      </c>
      <c r="AW513" s="112">
        <f t="shared" si="161"/>
        <v>7.0540349670405744</v>
      </c>
      <c r="AX513" s="112">
        <f t="shared" si="161"/>
        <v>7.4025619611090354</v>
      </c>
      <c r="AY513" s="112">
        <f t="shared" si="161"/>
        <v>7.7726900591644874</v>
      </c>
      <c r="AZ513" s="112">
        <f t="shared" si="161"/>
        <v>8.1613245621227115</v>
      </c>
      <c r="BA513" s="112">
        <f t="shared" si="161"/>
        <v>8.569390790228848</v>
      </c>
      <c r="BB513" s="112">
        <f t="shared" si="161"/>
        <v>8.9978603297402913</v>
      </c>
      <c r="BC513" s="112">
        <f t="shared" si="161"/>
        <v>9.4477533462273069</v>
      </c>
      <c r="BD513" s="112">
        <f t="shared" si="161"/>
        <v>9.9201410135386734</v>
      </c>
      <c r="BE513" s="112">
        <f t="shared" si="161"/>
        <v>10.416148064215607</v>
      </c>
      <c r="BF513" s="112">
        <f t="shared" si="161"/>
        <v>10.936955467426388</v>
      </c>
      <c r="BG513" s="112">
        <f t="shared" si="161"/>
        <v>11.483803240797709</v>
      </c>
    </row>
    <row r="514" spans="1:59" s="109" customFormat="1" ht="13.75" customHeight="1">
      <c r="A514" s="141" t="s">
        <v>166</v>
      </c>
      <c r="B514" s="142" t="s">
        <v>491</v>
      </c>
      <c r="C514" s="142" t="s">
        <v>500</v>
      </c>
      <c r="D514" s="142" t="s">
        <v>87</v>
      </c>
      <c r="F514" s="168" t="s">
        <v>503</v>
      </c>
      <c r="G514" s="109" t="s">
        <v>3</v>
      </c>
      <c r="I514" s="109" t="s">
        <v>498</v>
      </c>
      <c r="U514" s="107">
        <v>0.65249999999999997</v>
      </c>
      <c r="V514" s="107">
        <v>0.183</v>
      </c>
      <c r="W514" s="107">
        <v>0.18100000000000002</v>
      </c>
      <c r="X514" s="107">
        <v>0.13500000000000001</v>
      </c>
      <c r="Y514" s="107">
        <v>0.11800000000000001</v>
      </c>
      <c r="Z514" s="107">
        <v>6.0999999999999999E-2</v>
      </c>
      <c r="AA514" s="107">
        <v>4.9100000000000005E-2</v>
      </c>
      <c r="AB514" s="107">
        <v>5.5399999999999998E-2</v>
      </c>
      <c r="AC514" s="107">
        <v>5.5500000000000001E-2</v>
      </c>
      <c r="AD514" s="107">
        <v>9.4499999999999987E-2</v>
      </c>
      <c r="AE514" s="107">
        <v>0.152</v>
      </c>
      <c r="AF514" s="107">
        <v>9.5000000000000001E-2</v>
      </c>
      <c r="AG514" s="107">
        <v>0.105</v>
      </c>
      <c r="AH514" s="107">
        <v>7.0000000000000007E-2</v>
      </c>
      <c r="AI514" s="107">
        <f t="shared" ref="AI514:BG514" si="162">AH514</f>
        <v>7.0000000000000007E-2</v>
      </c>
      <c r="AJ514" s="107">
        <f t="shared" si="162"/>
        <v>7.0000000000000007E-2</v>
      </c>
      <c r="AK514" s="107">
        <f t="shared" si="162"/>
        <v>7.0000000000000007E-2</v>
      </c>
      <c r="AL514" s="107">
        <f t="shared" si="162"/>
        <v>7.0000000000000007E-2</v>
      </c>
      <c r="AM514" s="107">
        <f t="shared" si="162"/>
        <v>7.0000000000000007E-2</v>
      </c>
      <c r="AN514" s="107">
        <f t="shared" si="162"/>
        <v>7.0000000000000007E-2</v>
      </c>
      <c r="AO514" s="107">
        <f t="shared" si="162"/>
        <v>7.0000000000000007E-2</v>
      </c>
      <c r="AP514" s="107">
        <f t="shared" si="162"/>
        <v>7.0000000000000007E-2</v>
      </c>
      <c r="AQ514" s="107">
        <f t="shared" si="162"/>
        <v>7.0000000000000007E-2</v>
      </c>
      <c r="AR514" s="107">
        <f t="shared" si="162"/>
        <v>7.0000000000000007E-2</v>
      </c>
      <c r="AS514" s="107">
        <f t="shared" si="162"/>
        <v>7.0000000000000007E-2</v>
      </c>
      <c r="AT514" s="107">
        <f t="shared" si="162"/>
        <v>7.0000000000000007E-2</v>
      </c>
      <c r="AU514" s="107">
        <f>AT514</f>
        <v>7.0000000000000007E-2</v>
      </c>
      <c r="AV514" s="107">
        <f t="shared" si="162"/>
        <v>7.0000000000000007E-2</v>
      </c>
      <c r="AW514" s="107">
        <f t="shared" si="162"/>
        <v>7.0000000000000007E-2</v>
      </c>
      <c r="AX514" s="107">
        <f t="shared" si="162"/>
        <v>7.0000000000000007E-2</v>
      </c>
      <c r="AY514" s="107">
        <f t="shared" si="162"/>
        <v>7.0000000000000007E-2</v>
      </c>
      <c r="AZ514" s="107">
        <f t="shared" si="162"/>
        <v>7.0000000000000007E-2</v>
      </c>
      <c r="BA514" s="107">
        <f t="shared" si="162"/>
        <v>7.0000000000000007E-2</v>
      </c>
      <c r="BB514" s="107">
        <f t="shared" si="162"/>
        <v>7.0000000000000007E-2</v>
      </c>
      <c r="BC514" s="107">
        <f t="shared" si="162"/>
        <v>7.0000000000000007E-2</v>
      </c>
      <c r="BD514" s="107">
        <f t="shared" si="162"/>
        <v>7.0000000000000007E-2</v>
      </c>
      <c r="BE514" s="107">
        <f t="shared" si="162"/>
        <v>7.0000000000000007E-2</v>
      </c>
      <c r="BF514" s="107">
        <f t="shared" si="162"/>
        <v>7.0000000000000007E-2</v>
      </c>
      <c r="BG514" s="107">
        <f t="shared" si="162"/>
        <v>7.0000000000000007E-2</v>
      </c>
    </row>
    <row r="515" spans="1:59" s="109" customFormat="1" ht="13.75" customHeight="1">
      <c r="A515" s="141" t="s">
        <v>166</v>
      </c>
      <c r="B515" s="142" t="s">
        <v>491</v>
      </c>
      <c r="C515" s="142" t="s">
        <v>500</v>
      </c>
      <c r="D515" s="142" t="s">
        <v>98</v>
      </c>
      <c r="F515" s="168" t="s">
        <v>504</v>
      </c>
      <c r="G515" s="109" t="s">
        <v>3</v>
      </c>
      <c r="I515" s="109" t="s">
        <v>498</v>
      </c>
      <c r="U515" s="107">
        <v>1.3519999999999999</v>
      </c>
      <c r="V515" s="107">
        <v>0.13600000000000001</v>
      </c>
      <c r="W515" s="107">
        <v>0.128</v>
      </c>
      <c r="X515" s="107">
        <v>0.16800000000000001</v>
      </c>
      <c r="Y515" s="107">
        <v>0.12</v>
      </c>
      <c r="Z515" s="107">
        <v>9.8000000000000004E-2</v>
      </c>
      <c r="AA515" s="107">
        <v>4.9100000000000005E-2</v>
      </c>
      <c r="AB515" s="107">
        <v>0.11199999999999999</v>
      </c>
      <c r="AC515" s="107">
        <v>0.112</v>
      </c>
      <c r="AD515" s="107">
        <v>0.11199999999999999</v>
      </c>
      <c r="AE515" s="107">
        <f>AE514</f>
        <v>0.152</v>
      </c>
      <c r="AF515" s="107">
        <f t="shared" ref="AF515:BG515" si="163">AF514</f>
        <v>9.5000000000000001E-2</v>
      </c>
      <c r="AG515" s="107">
        <f t="shared" si="163"/>
        <v>0.105</v>
      </c>
      <c r="AH515" s="107">
        <f t="shared" si="163"/>
        <v>7.0000000000000007E-2</v>
      </c>
      <c r="AI515" s="107">
        <f t="shared" si="163"/>
        <v>7.0000000000000007E-2</v>
      </c>
      <c r="AJ515" s="107">
        <f t="shared" si="163"/>
        <v>7.0000000000000007E-2</v>
      </c>
      <c r="AK515" s="107">
        <f t="shared" si="163"/>
        <v>7.0000000000000007E-2</v>
      </c>
      <c r="AL515" s="107">
        <f t="shared" si="163"/>
        <v>7.0000000000000007E-2</v>
      </c>
      <c r="AM515" s="107">
        <f t="shared" si="163"/>
        <v>7.0000000000000007E-2</v>
      </c>
      <c r="AN515" s="107">
        <f t="shared" si="163"/>
        <v>7.0000000000000007E-2</v>
      </c>
      <c r="AO515" s="107">
        <f t="shared" si="163"/>
        <v>7.0000000000000007E-2</v>
      </c>
      <c r="AP515" s="107">
        <f t="shared" si="163"/>
        <v>7.0000000000000007E-2</v>
      </c>
      <c r="AQ515" s="107">
        <f t="shared" si="163"/>
        <v>7.0000000000000007E-2</v>
      </c>
      <c r="AR515" s="107">
        <f t="shared" si="163"/>
        <v>7.0000000000000007E-2</v>
      </c>
      <c r="AS515" s="107">
        <f t="shared" si="163"/>
        <v>7.0000000000000007E-2</v>
      </c>
      <c r="AT515" s="107">
        <f t="shared" si="163"/>
        <v>7.0000000000000007E-2</v>
      </c>
      <c r="AU515" s="107">
        <f t="shared" si="163"/>
        <v>7.0000000000000007E-2</v>
      </c>
      <c r="AV515" s="107">
        <f>AV514</f>
        <v>7.0000000000000007E-2</v>
      </c>
      <c r="AW515" s="107">
        <f t="shared" si="163"/>
        <v>7.0000000000000007E-2</v>
      </c>
      <c r="AX515" s="107">
        <f t="shared" si="163"/>
        <v>7.0000000000000007E-2</v>
      </c>
      <c r="AY515" s="107">
        <f t="shared" si="163"/>
        <v>7.0000000000000007E-2</v>
      </c>
      <c r="AZ515" s="107">
        <f t="shared" si="163"/>
        <v>7.0000000000000007E-2</v>
      </c>
      <c r="BA515" s="107">
        <f t="shared" si="163"/>
        <v>7.0000000000000007E-2</v>
      </c>
      <c r="BB515" s="107">
        <f t="shared" si="163"/>
        <v>7.0000000000000007E-2</v>
      </c>
      <c r="BC515" s="107">
        <f t="shared" si="163"/>
        <v>7.0000000000000007E-2</v>
      </c>
      <c r="BD515" s="107">
        <f t="shared" si="163"/>
        <v>7.0000000000000007E-2</v>
      </c>
      <c r="BE515" s="107">
        <f t="shared" si="163"/>
        <v>7.0000000000000007E-2</v>
      </c>
      <c r="BF515" s="107">
        <f t="shared" si="163"/>
        <v>7.0000000000000007E-2</v>
      </c>
      <c r="BG515" s="107">
        <f t="shared" si="163"/>
        <v>7.0000000000000007E-2</v>
      </c>
    </row>
    <row r="516" spans="1:59" s="109" customFormat="1" ht="13.75" customHeight="1">
      <c r="A516" s="141" t="s">
        <v>166</v>
      </c>
      <c r="B516" s="142" t="s">
        <v>491</v>
      </c>
      <c r="C516" s="142" t="s">
        <v>505</v>
      </c>
      <c r="D516" s="142" t="s">
        <v>87</v>
      </c>
      <c r="F516" s="168" t="s">
        <v>506</v>
      </c>
      <c r="G516" s="109" t="s">
        <v>494</v>
      </c>
      <c r="U516" s="112">
        <v>7.99</v>
      </c>
      <c r="V516" s="112">
        <v>8</v>
      </c>
      <c r="W516" s="112">
        <v>12.017799999999999</v>
      </c>
      <c r="X516" s="112">
        <v>21.75</v>
      </c>
      <c r="Y516" s="112">
        <v>25.5</v>
      </c>
      <c r="Z516" s="112">
        <v>26.600219178082192</v>
      </c>
      <c r="AA516" s="112">
        <v>27.184000000000001</v>
      </c>
      <c r="AB516" s="112">
        <v>26.955327868852457</v>
      </c>
      <c r="AC516" s="112">
        <v>28.372128995433791</v>
      </c>
      <c r="AD516" s="112">
        <v>27.640821917808218</v>
      </c>
      <c r="AE516" s="112">
        <v>28.583320000000001</v>
      </c>
      <c r="AF516" s="112">
        <v>29.531706239999998</v>
      </c>
      <c r="AG516" s="112">
        <v>30.476720839679999</v>
      </c>
      <c r="AH516" s="112">
        <f t="shared" ref="AH516:AY516" si="164">AVERAGE(AG517:AH517)</f>
        <v>31.411858771889928</v>
      </c>
      <c r="AI516" s="112">
        <f t="shared" si="164"/>
        <v>32.345054069586155</v>
      </c>
      <c r="AJ516" s="112">
        <f t="shared" si="164"/>
        <v>33.305692937901028</v>
      </c>
      <c r="AK516" s="112">
        <f t="shared" si="164"/>
        <v>34.28515258413001</v>
      </c>
      <c r="AL516" s="112">
        <f t="shared" si="164"/>
        <v>35.29341635103529</v>
      </c>
      <c r="AM516" s="112">
        <f t="shared" si="164"/>
        <v>36.331331315238273</v>
      </c>
      <c r="AN516" s="112">
        <f t="shared" si="164"/>
        <v>37.399769464337886</v>
      </c>
      <c r="AO516" s="112">
        <f t="shared" si="164"/>
        <v>38.499628429496966</v>
      </c>
      <c r="AP516" s="112">
        <f t="shared" si="164"/>
        <v>39.631832239572645</v>
      </c>
      <c r="AQ516" s="112">
        <f t="shared" si="164"/>
        <v>40.797332097424402</v>
      </c>
      <c r="AR516" s="112">
        <f t="shared" si="164"/>
        <v>41.997107179051866</v>
      </c>
      <c r="AS516" s="112">
        <f t="shared" si="164"/>
        <v>43.232165456233801</v>
      </c>
      <c r="AT516" s="112">
        <f t="shared" si="164"/>
        <v>44.503544543359439</v>
      </c>
      <c r="AU516" s="112">
        <f t="shared" si="164"/>
        <v>45.812312569163545</v>
      </c>
      <c r="AV516" s="112">
        <f t="shared" si="164"/>
        <v>47.159569074097632</v>
      </c>
      <c r="AW516" s="112">
        <f t="shared" si="164"/>
        <v>48.546445934091217</v>
      </c>
      <c r="AX516" s="112">
        <f t="shared" si="164"/>
        <v>49.974108311479242</v>
      </c>
      <c r="AY516" s="112">
        <f t="shared" si="164"/>
        <v>51.458757889891587</v>
      </c>
      <c r="AZ516" s="112">
        <f>AVERAGE(AY517:AZ517)</f>
        <v>53.002520626588336</v>
      </c>
      <c r="BA516" s="112">
        <f>AVERAGE(AZ517:BA517)</f>
        <v>54.592596245385984</v>
      </c>
      <c r="BB516" s="112">
        <f>AVERAGE(BA517:BB517)</f>
        <v>56.230374132747571</v>
      </c>
      <c r="BC516" s="112">
        <f t="shared" ref="BC516:BG516" si="165">AVERAGE(BB517:BC517)</f>
        <v>57.917285356729998</v>
      </c>
      <c r="BD516" s="112">
        <f t="shared" si="165"/>
        <v>59.654803917431906</v>
      </c>
      <c r="BE516" s="112">
        <f t="shared" si="165"/>
        <v>61.44444803495486</v>
      </c>
      <c r="BF516" s="112">
        <f t="shared" si="165"/>
        <v>63.287781476003516</v>
      </c>
      <c r="BG516" s="112">
        <f t="shared" si="165"/>
        <v>65.186414920283624</v>
      </c>
    </row>
    <row r="517" spans="1:59" s="109" customFormat="1" ht="13.75" customHeight="1">
      <c r="A517" s="141" t="s">
        <v>166</v>
      </c>
      <c r="B517" s="142" t="s">
        <v>491</v>
      </c>
      <c r="C517" s="142" t="s">
        <v>505</v>
      </c>
      <c r="D517" s="142" t="s">
        <v>87</v>
      </c>
      <c r="F517" s="168" t="s">
        <v>507</v>
      </c>
      <c r="G517" s="109" t="s">
        <v>494</v>
      </c>
      <c r="I517" s="109" t="s">
        <v>496</v>
      </c>
      <c r="U517" s="112">
        <v>8</v>
      </c>
      <c r="V517" s="112">
        <v>8</v>
      </c>
      <c r="W517" s="112">
        <v>15.68</v>
      </c>
      <c r="X517" s="112">
        <v>23.95</v>
      </c>
      <c r="Y517" s="112">
        <v>27.19</v>
      </c>
      <c r="Z517" s="112">
        <v>28.0672</v>
      </c>
      <c r="AA517" s="112">
        <v>27.7</v>
      </c>
      <c r="AB517" s="112">
        <v>28.3</v>
      </c>
      <c r="AC517" s="112">
        <v>28.887500000000003</v>
      </c>
      <c r="AD517" s="112">
        <v>27.285</v>
      </c>
      <c r="AE517" s="112">
        <v>29.06664</v>
      </c>
      <c r="AF517" s="112">
        <v>29.996772480000001</v>
      </c>
      <c r="AG517" s="112">
        <v>30.95666919936</v>
      </c>
      <c r="AH517" s="112">
        <f>AG517*(1+AH518-AH$4)</f>
        <v>31.867048344419857</v>
      </c>
      <c r="AI517" s="112">
        <f t="shared" ref="AI517:AR517" si="166">AH517*(1+AI518-AI$4)</f>
        <v>32.823059794752453</v>
      </c>
      <c r="AJ517" s="112">
        <f t="shared" si="166"/>
        <v>33.788326081049604</v>
      </c>
      <c r="AK517" s="112">
        <f t="shared" si="166"/>
        <v>34.781979087210416</v>
      </c>
      <c r="AL517" s="112">
        <f t="shared" si="166"/>
        <v>35.804853614860157</v>
      </c>
      <c r="AM517" s="112">
        <f t="shared" si="166"/>
        <v>36.857809015616382</v>
      </c>
      <c r="AN517" s="112">
        <f t="shared" si="166"/>
        <v>37.94172991305939</v>
      </c>
      <c r="AO517" s="112">
        <f t="shared" si="166"/>
        <v>39.057526945934534</v>
      </c>
      <c r="AP517" s="112">
        <f t="shared" si="166"/>
        <v>40.20613753321075</v>
      </c>
      <c r="AQ517" s="112">
        <f t="shared" si="166"/>
        <v>41.388526661638053</v>
      </c>
      <c r="AR517" s="112">
        <f t="shared" si="166"/>
        <v>42.605687696465679</v>
      </c>
      <c r="AS517" s="112">
        <f>AR517*(1+AS518-AS$4)</f>
        <v>43.85864321600193</v>
      </c>
      <c r="AT517" s="112">
        <f t="shared" ref="AT517:BG517" si="167">AS517*(1+AT518-AT$4)</f>
        <v>45.148445870716955</v>
      </c>
      <c r="AU517" s="112">
        <f t="shared" si="167"/>
        <v>46.476179267610135</v>
      </c>
      <c r="AV517" s="112">
        <f t="shared" si="167"/>
        <v>47.842958880585122</v>
      </c>
      <c r="AW517" s="112">
        <f t="shared" si="167"/>
        <v>49.249932987597312</v>
      </c>
      <c r="AX517" s="112">
        <f t="shared" si="167"/>
        <v>50.698283635361165</v>
      </c>
      <c r="AY517" s="112">
        <f t="shared" si="167"/>
        <v>52.219232144422001</v>
      </c>
      <c r="AZ517" s="112">
        <f t="shared" si="167"/>
        <v>53.785809108754663</v>
      </c>
      <c r="BA517" s="112">
        <f t="shared" si="167"/>
        <v>55.399383382017305</v>
      </c>
      <c r="BB517" s="112">
        <f t="shared" si="167"/>
        <v>57.061364883477829</v>
      </c>
      <c r="BC517" s="112">
        <f t="shared" si="167"/>
        <v>58.773205829982167</v>
      </c>
      <c r="BD517" s="112">
        <f t="shared" si="167"/>
        <v>60.536402004881637</v>
      </c>
      <c r="BE517" s="112">
        <f t="shared" si="167"/>
        <v>62.35249406502809</v>
      </c>
      <c r="BF517" s="112">
        <f t="shared" si="167"/>
        <v>64.223068886978936</v>
      </c>
      <c r="BG517" s="112">
        <f t="shared" si="167"/>
        <v>66.149760953588313</v>
      </c>
    </row>
    <row r="518" spans="1:59" s="109" customFormat="1" ht="13.75" customHeight="1">
      <c r="A518" s="141" t="s">
        <v>166</v>
      </c>
      <c r="B518" s="142" t="s">
        <v>491</v>
      </c>
      <c r="C518" s="142" t="s">
        <v>505</v>
      </c>
      <c r="D518" s="142" t="s">
        <v>87</v>
      </c>
      <c r="F518" s="168" t="s">
        <v>508</v>
      </c>
      <c r="G518" s="109" t="s">
        <v>3</v>
      </c>
      <c r="I518" s="109" t="s">
        <v>498</v>
      </c>
      <c r="U518" s="107">
        <v>6.0000000000000001E-3</v>
      </c>
      <c r="V518" s="107">
        <v>-3.0000000000000001E-3</v>
      </c>
      <c r="W518" s="107">
        <v>0.121</v>
      </c>
      <c r="X518" s="107">
        <v>0.48499999999999999</v>
      </c>
      <c r="Y518" s="107">
        <v>0.14899999999999999</v>
      </c>
      <c r="Z518" s="107">
        <v>0.14299999999999999</v>
      </c>
      <c r="AA518" s="107">
        <v>0.1101</v>
      </c>
      <c r="AB518" s="107">
        <v>2.7000000000000003E-2</v>
      </c>
      <c r="AC518" s="107">
        <v>7.2999999999999995E-2</v>
      </c>
      <c r="AD518" s="107">
        <v>9.3399999999999997E-2</v>
      </c>
      <c r="AE518" s="107">
        <v>6.3E-2</v>
      </c>
      <c r="AF518" s="107">
        <v>0.05</v>
      </c>
      <c r="AG518" s="107">
        <v>0.05</v>
      </c>
      <c r="AH518" s="107">
        <f t="shared" ref="AH518:BG518" si="168">AG518</f>
        <v>0.05</v>
      </c>
      <c r="AI518" s="107">
        <f t="shared" si="168"/>
        <v>0.05</v>
      </c>
      <c r="AJ518" s="107">
        <f t="shared" si="168"/>
        <v>0.05</v>
      </c>
      <c r="AK518" s="107">
        <f t="shared" si="168"/>
        <v>0.05</v>
      </c>
      <c r="AL518" s="107">
        <f t="shared" si="168"/>
        <v>0.05</v>
      </c>
      <c r="AM518" s="107">
        <f t="shared" si="168"/>
        <v>0.05</v>
      </c>
      <c r="AN518" s="107">
        <f t="shared" si="168"/>
        <v>0.05</v>
      </c>
      <c r="AO518" s="107">
        <f t="shared" si="168"/>
        <v>0.05</v>
      </c>
      <c r="AP518" s="107">
        <f t="shared" si="168"/>
        <v>0.05</v>
      </c>
      <c r="AQ518" s="107">
        <f t="shared" si="168"/>
        <v>0.05</v>
      </c>
      <c r="AR518" s="107">
        <f t="shared" si="168"/>
        <v>0.05</v>
      </c>
      <c r="AS518" s="107">
        <f t="shared" si="168"/>
        <v>0.05</v>
      </c>
      <c r="AT518" s="107">
        <f t="shared" si="168"/>
        <v>0.05</v>
      </c>
      <c r="AU518" s="107">
        <f t="shared" si="168"/>
        <v>0.05</v>
      </c>
      <c r="AV518" s="107">
        <f t="shared" si="168"/>
        <v>0.05</v>
      </c>
      <c r="AW518" s="107">
        <f t="shared" si="168"/>
        <v>0.05</v>
      </c>
      <c r="AX518" s="107">
        <f t="shared" si="168"/>
        <v>0.05</v>
      </c>
      <c r="AY518" s="107">
        <f t="shared" si="168"/>
        <v>0.05</v>
      </c>
      <c r="AZ518" s="107">
        <f t="shared" si="168"/>
        <v>0.05</v>
      </c>
      <c r="BA518" s="107">
        <f t="shared" si="168"/>
        <v>0.05</v>
      </c>
      <c r="BB518" s="107">
        <f t="shared" si="168"/>
        <v>0.05</v>
      </c>
      <c r="BC518" s="107">
        <f t="shared" si="168"/>
        <v>0.05</v>
      </c>
      <c r="BD518" s="107">
        <f t="shared" si="168"/>
        <v>0.05</v>
      </c>
      <c r="BE518" s="107">
        <f t="shared" si="168"/>
        <v>0.05</v>
      </c>
      <c r="BF518" s="107">
        <f t="shared" si="168"/>
        <v>0.05</v>
      </c>
      <c r="BG518" s="107">
        <f t="shared" si="168"/>
        <v>0.05</v>
      </c>
    </row>
    <row r="519" spans="1:59" s="109" customFormat="1" ht="13.75" customHeight="1">
      <c r="A519" s="141" t="s">
        <v>166</v>
      </c>
      <c r="B519" s="142" t="s">
        <v>491</v>
      </c>
      <c r="C519" s="142" t="s">
        <v>505</v>
      </c>
      <c r="D519" s="142" t="s">
        <v>98</v>
      </c>
      <c r="F519" s="168" t="s">
        <v>509</v>
      </c>
      <c r="G519" s="109" t="s">
        <v>3</v>
      </c>
      <c r="I519" s="109" t="s">
        <v>498</v>
      </c>
      <c r="U519" s="107">
        <v>3.4000000000000002E-2</v>
      </c>
      <c r="V519" s="107">
        <v>1E-3</v>
      </c>
      <c r="W519" s="107">
        <v>0.17100000000000001</v>
      </c>
      <c r="X519" s="107">
        <v>0.36</v>
      </c>
      <c r="Y519" s="107">
        <v>0.20499999999999999</v>
      </c>
      <c r="Z519" s="107">
        <v>0.26400000000000001</v>
      </c>
      <c r="AA519" s="107">
        <v>0.17508299999999999</v>
      </c>
      <c r="AB519" s="107">
        <v>-7.400000000000001E-2</v>
      </c>
      <c r="AC519" s="107">
        <v>0.14499999999999999</v>
      </c>
      <c r="AD519" s="107">
        <v>0.622</v>
      </c>
      <c r="AE519" s="107">
        <f t="shared" ref="AE519:BG519" si="169">AE518</f>
        <v>6.3E-2</v>
      </c>
      <c r="AF519" s="107">
        <f t="shared" si="169"/>
        <v>0.05</v>
      </c>
      <c r="AG519" s="107">
        <f t="shared" si="169"/>
        <v>0.05</v>
      </c>
      <c r="AH519" s="107">
        <f t="shared" si="169"/>
        <v>0.05</v>
      </c>
      <c r="AI519" s="107">
        <f t="shared" si="169"/>
        <v>0.05</v>
      </c>
      <c r="AJ519" s="107">
        <f t="shared" si="169"/>
        <v>0.05</v>
      </c>
      <c r="AK519" s="107">
        <f t="shared" si="169"/>
        <v>0.05</v>
      </c>
      <c r="AL519" s="107">
        <f t="shared" si="169"/>
        <v>0.05</v>
      </c>
      <c r="AM519" s="107">
        <f t="shared" si="169"/>
        <v>0.05</v>
      </c>
      <c r="AN519" s="107">
        <f t="shared" si="169"/>
        <v>0.05</v>
      </c>
      <c r="AO519" s="107">
        <f t="shared" si="169"/>
        <v>0.05</v>
      </c>
      <c r="AP519" s="107">
        <f t="shared" si="169"/>
        <v>0.05</v>
      </c>
      <c r="AQ519" s="107">
        <f t="shared" si="169"/>
        <v>0.05</v>
      </c>
      <c r="AR519" s="107">
        <f t="shared" si="169"/>
        <v>0.05</v>
      </c>
      <c r="AS519" s="107">
        <f t="shared" si="169"/>
        <v>0.05</v>
      </c>
      <c r="AT519" s="107">
        <f t="shared" si="169"/>
        <v>0.05</v>
      </c>
      <c r="AU519" s="107">
        <f t="shared" si="169"/>
        <v>0.05</v>
      </c>
      <c r="AV519" s="107">
        <f t="shared" si="169"/>
        <v>0.05</v>
      </c>
      <c r="AW519" s="107">
        <f t="shared" si="169"/>
        <v>0.05</v>
      </c>
      <c r="AX519" s="107">
        <f t="shared" si="169"/>
        <v>0.05</v>
      </c>
      <c r="AY519" s="107">
        <f t="shared" si="169"/>
        <v>0.05</v>
      </c>
      <c r="AZ519" s="107">
        <f t="shared" si="169"/>
        <v>0.05</v>
      </c>
      <c r="BA519" s="107">
        <f t="shared" si="169"/>
        <v>0.05</v>
      </c>
      <c r="BB519" s="107">
        <f t="shared" si="169"/>
        <v>0.05</v>
      </c>
      <c r="BC519" s="107">
        <f t="shared" si="169"/>
        <v>0.05</v>
      </c>
      <c r="BD519" s="107">
        <f t="shared" si="169"/>
        <v>0.05</v>
      </c>
      <c r="BE519" s="107">
        <f t="shared" si="169"/>
        <v>0.05</v>
      </c>
      <c r="BF519" s="107">
        <f t="shared" si="169"/>
        <v>0.05</v>
      </c>
      <c r="BG519" s="107">
        <f t="shared" si="169"/>
        <v>0.05</v>
      </c>
    </row>
    <row r="520" spans="1:59" s="109" customFormat="1" ht="13.75" customHeight="1">
      <c r="A520" s="141" t="s">
        <v>166</v>
      </c>
      <c r="B520" s="142" t="s">
        <v>491</v>
      </c>
      <c r="C520" s="142" t="s">
        <v>510</v>
      </c>
      <c r="D520" s="142" t="s">
        <v>87</v>
      </c>
      <c r="F520" s="168" t="s">
        <v>511</v>
      </c>
      <c r="G520" s="109" t="s">
        <v>494</v>
      </c>
      <c r="V520" s="111">
        <v>5.70308734939759</v>
      </c>
      <c r="W520" s="111">
        <v>5.7481650000000002</v>
      </c>
      <c r="X520" s="111">
        <v>6.8583040000000004</v>
      </c>
      <c r="Y520" s="111">
        <v>6.8059900000000004</v>
      </c>
      <c r="Z520" s="113">
        <v>6.623831</v>
      </c>
      <c r="AA520" s="111">
        <v>6.29</v>
      </c>
      <c r="AB520" s="109">
        <v>6.63</v>
      </c>
      <c r="AC520" s="109">
        <v>6.61</v>
      </c>
      <c r="AD520" s="140">
        <v>6.3347582386127783</v>
      </c>
      <c r="AE520" s="140">
        <v>6.4273504273504276</v>
      </c>
      <c r="AF520" s="140">
        <v>0.84745762711864414</v>
      </c>
      <c r="AG520" s="140">
        <v>0.84033613445378152</v>
      </c>
      <c r="AH520" s="111">
        <f>AVERAGE(AG521:AH521)</f>
        <v>0.83798662814892544</v>
      </c>
      <c r="AI520" s="111">
        <f t="shared" ref="AI520:AX520" si="170">AVERAGE(AH521:AI521)</f>
        <v>0.83354802903945924</v>
      </c>
      <c r="AJ520" s="111">
        <f t="shared" si="170"/>
        <v>0.82913424979948291</v>
      </c>
      <c r="AK520" s="111">
        <f t="shared" si="170"/>
        <v>0.82449787616849024</v>
      </c>
      <c r="AL520" s="111">
        <f t="shared" si="170"/>
        <v>0.81988742832750261</v>
      </c>
      <c r="AM520" s="111">
        <f t="shared" si="170"/>
        <v>0.81530276130403889</v>
      </c>
      <c r="AN520" s="111">
        <f t="shared" si="170"/>
        <v>0.81074373093627905</v>
      </c>
      <c r="AO520" s="111">
        <f t="shared" si="170"/>
        <v>0.80621019386853088</v>
      </c>
      <c r="AP520" s="111">
        <f t="shared" si="170"/>
        <v>0.80170200754672161</v>
      </c>
      <c r="AQ520" s="111">
        <f t="shared" si="170"/>
        <v>0.79721903021391649</v>
      </c>
      <c r="AR520" s="111">
        <f t="shared" si="170"/>
        <v>0.79276112090586026</v>
      </c>
      <c r="AS520" s="111">
        <f t="shared" si="170"/>
        <v>0.78832813944654534</v>
      </c>
      <c r="AT520" s="111">
        <f t="shared" si="170"/>
        <v>0.78391994644380381</v>
      </c>
      <c r="AU520" s="111">
        <f t="shared" si="170"/>
        <v>0.77953640328492413</v>
      </c>
      <c r="AV520" s="111">
        <f t="shared" si="170"/>
        <v>0.77517737213229343</v>
      </c>
      <c r="AW520" s="111">
        <f t="shared" si="170"/>
        <v>0.77084271591906184</v>
      </c>
      <c r="AX520" s="111">
        <f t="shared" si="170"/>
        <v>0.76653229834483394</v>
      </c>
      <c r="AY520" s="111">
        <f>AVERAGE(AX521:AY521)</f>
        <v>0.76247217439712134</v>
      </c>
      <c r="AZ520" s="111">
        <f>AVERAGE(AY521:AZ521)</f>
        <v>0.75865981352513567</v>
      </c>
      <c r="BA520" s="111">
        <f>AVERAGE(AZ521:BA521)</f>
        <v>0.75486651445750985</v>
      </c>
      <c r="BB520" s="111">
        <f>AVERAGE(BA521:BB521)</f>
        <v>0.75109218188522231</v>
      </c>
      <c r="BC520" s="111">
        <f t="shared" ref="BC520:BG520" si="171">AVERAGE(BB521:BC521)</f>
        <v>0.74733672097579606</v>
      </c>
      <c r="BD520" s="111">
        <f t="shared" si="171"/>
        <v>0.74360003737091707</v>
      </c>
      <c r="BE520" s="111">
        <f t="shared" si="171"/>
        <v>0.73988203718406242</v>
      </c>
      <c r="BF520" s="111">
        <f t="shared" si="171"/>
        <v>0.73618262699814196</v>
      </c>
      <c r="BG520" s="111">
        <f t="shared" si="171"/>
        <v>0.7325017138631511</v>
      </c>
    </row>
    <row r="521" spans="1:59" s="109" customFormat="1" ht="13.75" customHeight="1">
      <c r="A521" s="141" t="s">
        <v>166</v>
      </c>
      <c r="B521" s="142" t="s">
        <v>491</v>
      </c>
      <c r="C521" s="142" t="s">
        <v>510</v>
      </c>
      <c r="D521" s="142" t="s">
        <v>87</v>
      </c>
      <c r="F521" s="168" t="s">
        <v>512</v>
      </c>
      <c r="G521" s="109" t="s">
        <v>494</v>
      </c>
      <c r="I521" s="109" t="s">
        <v>496</v>
      </c>
      <c r="V521" s="111">
        <v>5.5490000000000004</v>
      </c>
      <c r="W521" s="111">
        <v>6.3021070000000003</v>
      </c>
      <c r="X521" s="111">
        <v>6.9918009999999997</v>
      </c>
      <c r="Y521" s="111">
        <v>7.1685359999999996</v>
      </c>
      <c r="Z521" s="113">
        <v>6.2697329999999996</v>
      </c>
      <c r="AA521" s="111">
        <v>6.46</v>
      </c>
      <c r="AB521" s="109">
        <v>6.64</v>
      </c>
      <c r="AC521" s="109">
        <v>6.18</v>
      </c>
      <c r="AD521" s="140">
        <v>6.61</v>
      </c>
      <c r="AE521" s="140">
        <v>6.4273504273504276</v>
      </c>
      <c r="AF521" s="140">
        <v>0.84745762711864414</v>
      </c>
      <c r="AG521" s="140">
        <v>0.84033613445378152</v>
      </c>
      <c r="AH521" s="112">
        <f>AG521*(1+AH522-AH$4)</f>
        <v>0.83563712184406946</v>
      </c>
      <c r="AI521" s="112">
        <f t="shared" ref="AI521:AR521" si="172">AH521*(1+AI522-AI$4)</f>
        <v>0.83145893623484901</v>
      </c>
      <c r="AJ521" s="112">
        <f t="shared" si="172"/>
        <v>0.82680956336411693</v>
      </c>
      <c r="AK521" s="112">
        <f t="shared" si="172"/>
        <v>0.82218618897286366</v>
      </c>
      <c r="AL521" s="112">
        <f t="shared" si="172"/>
        <v>0.81758866768214145</v>
      </c>
      <c r="AM521" s="112">
        <f t="shared" si="172"/>
        <v>0.81301685492593623</v>
      </c>
      <c r="AN521" s="112">
        <f t="shared" si="172"/>
        <v>0.80847060694662187</v>
      </c>
      <c r="AO521" s="112">
        <f t="shared" si="172"/>
        <v>0.80394978079043977</v>
      </c>
      <c r="AP521" s="112">
        <f t="shared" si="172"/>
        <v>0.79945423430300355</v>
      </c>
      <c r="AQ521" s="112">
        <f t="shared" si="172"/>
        <v>0.79498382612482943</v>
      </c>
      <c r="AR521" s="112">
        <f t="shared" si="172"/>
        <v>0.79053841568689109</v>
      </c>
      <c r="AS521" s="112">
        <f>AR521*(1+AS522-AS$4)</f>
        <v>0.78611786320619959</v>
      </c>
      <c r="AT521" s="112">
        <f t="shared" ref="AT521:AX521" si="173">AS521*(1+AT522-AT$4)</f>
        <v>0.78172202968140792</v>
      </c>
      <c r="AU521" s="112">
        <f t="shared" si="173"/>
        <v>0.77735077688844045</v>
      </c>
      <c r="AV521" s="112">
        <f t="shared" si="173"/>
        <v>0.77300396737614629</v>
      </c>
      <c r="AW521" s="112">
        <f t="shared" si="173"/>
        <v>0.76868146446197738</v>
      </c>
      <c r="AX521" s="112">
        <f t="shared" si="173"/>
        <v>0.76438313222769061</v>
      </c>
      <c r="AY521" s="112">
        <f>AX521*(1+AY522-AY$4)</f>
        <v>0.76056121656655207</v>
      </c>
      <c r="AZ521" s="112">
        <f>AY521*(1+AZ522-AZ$4)</f>
        <v>0.75675841048371917</v>
      </c>
      <c r="BA521" s="112">
        <f>AZ521*(1+BA522-BA$4)</f>
        <v>0.75297461843130054</v>
      </c>
      <c r="BB521" s="112">
        <f>BA521*(1+BB522-BB$4)</f>
        <v>0.74920974533914397</v>
      </c>
      <c r="BC521" s="112">
        <f t="shared" ref="BC521:BG521" si="174">BB521*(1+BC522-BC$4)</f>
        <v>0.74546369661244816</v>
      </c>
      <c r="BD521" s="112">
        <f t="shared" si="174"/>
        <v>0.74173637812938586</v>
      </c>
      <c r="BE521" s="112">
        <f t="shared" si="174"/>
        <v>0.73802769623873887</v>
      </c>
      <c r="BF521" s="112">
        <f t="shared" si="174"/>
        <v>0.73433755775754506</v>
      </c>
      <c r="BG521" s="112">
        <f t="shared" si="174"/>
        <v>0.73066586996875726</v>
      </c>
    </row>
    <row r="522" spans="1:59" s="109" customFormat="1" ht="13.75" customHeight="1">
      <c r="A522" s="141" t="s">
        <v>166</v>
      </c>
      <c r="B522" s="142" t="s">
        <v>491</v>
      </c>
      <c r="C522" s="142" t="s">
        <v>510</v>
      </c>
      <c r="D522" s="142" t="s">
        <v>87</v>
      </c>
      <c r="F522" s="168" t="s">
        <v>513</v>
      </c>
      <c r="G522" s="109" t="s">
        <v>3</v>
      </c>
      <c r="I522" s="109" t="s">
        <v>498</v>
      </c>
      <c r="V522" s="107">
        <v>2.2000000000000002E-2</v>
      </c>
      <c r="W522" s="107">
        <v>-2E-3</v>
      </c>
      <c r="X522" s="107">
        <v>-5.0000000000000001E-3</v>
      </c>
      <c r="Y522" s="107">
        <v>-1.1000000000000001E-2</v>
      </c>
      <c r="Z522" s="107">
        <v>1.15E-2</v>
      </c>
      <c r="AA522" s="107">
        <v>1.49167E-2</v>
      </c>
      <c r="AB522" s="107">
        <v>1.4999999999999999E-2</v>
      </c>
      <c r="AC522" s="107">
        <v>3.0000000000000001E-3</v>
      </c>
      <c r="AD522" s="107">
        <v>2.5600000000000001E-2</v>
      </c>
      <c r="AE522" s="107">
        <v>1.8000000000000002E-2</v>
      </c>
      <c r="AF522" s="107">
        <v>1.4999999999999999E-2</v>
      </c>
      <c r="AG522" s="107">
        <v>1.4999999999999999E-2</v>
      </c>
      <c r="AH522" s="107">
        <f t="shared" ref="AH522:AY522" si="175">AG522</f>
        <v>1.4999999999999999E-2</v>
      </c>
      <c r="AI522" s="107">
        <f t="shared" si="175"/>
        <v>1.4999999999999999E-2</v>
      </c>
      <c r="AJ522" s="107">
        <f t="shared" si="175"/>
        <v>1.4999999999999999E-2</v>
      </c>
      <c r="AK522" s="107">
        <f t="shared" si="175"/>
        <v>1.4999999999999999E-2</v>
      </c>
      <c r="AL522" s="107">
        <f t="shared" si="175"/>
        <v>1.4999999999999999E-2</v>
      </c>
      <c r="AM522" s="107">
        <f t="shared" si="175"/>
        <v>1.4999999999999999E-2</v>
      </c>
      <c r="AN522" s="107">
        <f t="shared" si="175"/>
        <v>1.4999999999999999E-2</v>
      </c>
      <c r="AO522" s="107">
        <f t="shared" si="175"/>
        <v>1.4999999999999999E-2</v>
      </c>
      <c r="AP522" s="107">
        <f t="shared" si="175"/>
        <v>1.4999999999999999E-2</v>
      </c>
      <c r="AQ522" s="107">
        <f t="shared" si="175"/>
        <v>1.4999999999999999E-2</v>
      </c>
      <c r="AR522" s="107">
        <f t="shared" si="175"/>
        <v>1.4999999999999999E-2</v>
      </c>
      <c r="AS522" s="107">
        <f t="shared" si="175"/>
        <v>1.4999999999999999E-2</v>
      </c>
      <c r="AT522" s="107">
        <f t="shared" si="175"/>
        <v>1.4999999999999999E-2</v>
      </c>
      <c r="AU522" s="107">
        <f t="shared" si="175"/>
        <v>1.4999999999999999E-2</v>
      </c>
      <c r="AV522" s="107">
        <f t="shared" si="175"/>
        <v>1.4999999999999999E-2</v>
      </c>
      <c r="AW522" s="107">
        <f t="shared" si="175"/>
        <v>1.4999999999999999E-2</v>
      </c>
      <c r="AX522" s="107">
        <f t="shared" si="175"/>
        <v>1.4999999999999999E-2</v>
      </c>
      <c r="AY522" s="107">
        <f t="shared" si="175"/>
        <v>1.4999999999999999E-2</v>
      </c>
      <c r="AZ522" s="107">
        <f>AY522</f>
        <v>1.4999999999999999E-2</v>
      </c>
      <c r="BA522" s="107">
        <f>AZ522</f>
        <v>1.4999999999999999E-2</v>
      </c>
      <c r="BB522" s="107">
        <f>BA522</f>
        <v>1.4999999999999999E-2</v>
      </c>
      <c r="BC522" s="107">
        <f t="shared" ref="BC522:BG522" si="176">BB522</f>
        <v>1.4999999999999999E-2</v>
      </c>
      <c r="BD522" s="107">
        <f t="shared" si="176"/>
        <v>1.4999999999999999E-2</v>
      </c>
      <c r="BE522" s="107">
        <f t="shared" si="176"/>
        <v>1.4999999999999999E-2</v>
      </c>
      <c r="BF522" s="107">
        <f t="shared" si="176"/>
        <v>1.4999999999999999E-2</v>
      </c>
      <c r="BG522" s="107">
        <f t="shared" si="176"/>
        <v>1.4999999999999999E-2</v>
      </c>
    </row>
    <row r="523" spans="1:59" s="109" customFormat="1" ht="13.75" customHeight="1">
      <c r="A523" s="141" t="s">
        <v>166</v>
      </c>
      <c r="B523" s="142" t="s">
        <v>491</v>
      </c>
      <c r="C523" s="142" t="s">
        <v>510</v>
      </c>
      <c r="D523" s="142" t="s">
        <v>98</v>
      </c>
      <c r="F523" s="168" t="s">
        <v>514</v>
      </c>
      <c r="G523" s="109" t="s">
        <v>3</v>
      </c>
      <c r="I523" s="109" t="s">
        <v>498</v>
      </c>
      <c r="X523" s="116"/>
      <c r="Y523" s="116"/>
      <c r="Z523" s="107">
        <v>1.15E-2</v>
      </c>
      <c r="AA523" s="107">
        <v>2.2000000000000002E-2</v>
      </c>
      <c r="AB523" s="107">
        <v>0.01</v>
      </c>
      <c r="AC523" s="107">
        <v>-2.58E-2</v>
      </c>
      <c r="AD523" s="107">
        <v>0.15820000000000001</v>
      </c>
      <c r="AE523" s="107">
        <f t="shared" ref="AE523:AX523" si="177">AE522</f>
        <v>1.8000000000000002E-2</v>
      </c>
      <c r="AF523" s="107">
        <f t="shared" si="177"/>
        <v>1.4999999999999999E-2</v>
      </c>
      <c r="AG523" s="107">
        <f t="shared" si="177"/>
        <v>1.4999999999999999E-2</v>
      </c>
      <c r="AH523" s="107">
        <f t="shared" si="177"/>
        <v>1.4999999999999999E-2</v>
      </c>
      <c r="AI523" s="107">
        <f t="shared" si="177"/>
        <v>1.4999999999999999E-2</v>
      </c>
      <c r="AJ523" s="107">
        <f t="shared" si="177"/>
        <v>1.4999999999999999E-2</v>
      </c>
      <c r="AK523" s="107">
        <f t="shared" si="177"/>
        <v>1.4999999999999999E-2</v>
      </c>
      <c r="AL523" s="107">
        <f t="shared" si="177"/>
        <v>1.4999999999999999E-2</v>
      </c>
      <c r="AM523" s="107">
        <f t="shared" si="177"/>
        <v>1.4999999999999999E-2</v>
      </c>
      <c r="AN523" s="107">
        <f t="shared" si="177"/>
        <v>1.4999999999999999E-2</v>
      </c>
      <c r="AO523" s="107">
        <f t="shared" si="177"/>
        <v>1.4999999999999999E-2</v>
      </c>
      <c r="AP523" s="107">
        <f t="shared" si="177"/>
        <v>1.4999999999999999E-2</v>
      </c>
      <c r="AQ523" s="107">
        <f t="shared" si="177"/>
        <v>1.4999999999999999E-2</v>
      </c>
      <c r="AR523" s="107">
        <f t="shared" si="177"/>
        <v>1.4999999999999999E-2</v>
      </c>
      <c r="AS523" s="107">
        <f t="shared" si="177"/>
        <v>1.4999999999999999E-2</v>
      </c>
      <c r="AT523" s="107">
        <f t="shared" si="177"/>
        <v>1.4999999999999999E-2</v>
      </c>
      <c r="AU523" s="107">
        <f t="shared" si="177"/>
        <v>1.4999999999999999E-2</v>
      </c>
      <c r="AV523" s="107">
        <f t="shared" si="177"/>
        <v>1.4999999999999999E-2</v>
      </c>
      <c r="AW523" s="107">
        <f t="shared" si="177"/>
        <v>1.4999999999999999E-2</v>
      </c>
      <c r="AX523" s="107">
        <f t="shared" si="177"/>
        <v>1.4999999999999999E-2</v>
      </c>
      <c r="AY523" s="107">
        <f>AY522</f>
        <v>1.4999999999999999E-2</v>
      </c>
      <c r="AZ523" s="107">
        <f>AZ522</f>
        <v>1.4999999999999999E-2</v>
      </c>
      <c r="BA523" s="107">
        <f>BA522</f>
        <v>1.4999999999999999E-2</v>
      </c>
      <c r="BB523" s="107">
        <f>BB522</f>
        <v>1.4999999999999999E-2</v>
      </c>
      <c r="BC523" s="107">
        <f t="shared" ref="BC523:BG523" si="178">BC522</f>
        <v>1.4999999999999999E-2</v>
      </c>
      <c r="BD523" s="107">
        <f t="shared" si="178"/>
        <v>1.4999999999999999E-2</v>
      </c>
      <c r="BE523" s="107">
        <f t="shared" si="178"/>
        <v>1.4999999999999999E-2</v>
      </c>
      <c r="BF523" s="107">
        <f t="shared" si="178"/>
        <v>1.4999999999999999E-2</v>
      </c>
      <c r="BG523" s="107">
        <f t="shared" si="178"/>
        <v>1.4999999999999999E-2</v>
      </c>
    </row>
    <row r="524" spans="1:59" s="109" customFormat="1" ht="13.75" customHeight="1">
      <c r="A524" s="141" t="s">
        <v>166</v>
      </c>
      <c r="B524" s="142" t="s">
        <v>491</v>
      </c>
      <c r="C524" s="142" t="s">
        <v>515</v>
      </c>
      <c r="D524" s="142" t="s">
        <v>87</v>
      </c>
      <c r="F524" s="168" t="s">
        <v>516</v>
      </c>
      <c r="G524" s="109" t="s">
        <v>494</v>
      </c>
      <c r="W524" s="111">
        <v>88.4</v>
      </c>
      <c r="X524" s="111">
        <v>108.8</v>
      </c>
      <c r="Y524" s="111">
        <v>111.28371675774135</v>
      </c>
      <c r="Z524" s="112">
        <v>107.7589</v>
      </c>
      <c r="AA524" s="111">
        <v>100.17507500000001</v>
      </c>
      <c r="AB524" s="112">
        <v>105</v>
      </c>
      <c r="AC524" s="112">
        <v>103</v>
      </c>
      <c r="AD524" s="112">
        <v>99</v>
      </c>
      <c r="AE524" s="112">
        <v>100.51282051282051</v>
      </c>
      <c r="AF524" s="112">
        <v>99.66101694915254</v>
      </c>
      <c r="AG524" s="112">
        <v>98.82352941176471</v>
      </c>
      <c r="AH524" s="112">
        <f t="shared" ref="AH524:AX524" si="179">AVERAGE(AG525:AH525)</f>
        <v>99.090756882078352</v>
      </c>
      <c r="AI524" s="112">
        <f t="shared" si="179"/>
        <v>99.656058305449164</v>
      </c>
      <c r="AJ524" s="112">
        <f t="shared" si="179"/>
        <v>100.2244169778422</v>
      </c>
      <c r="AK524" s="112">
        <f t="shared" si="179"/>
        <v>100.76644816357441</v>
      </c>
      <c r="AL524" s="112">
        <f t="shared" si="179"/>
        <v>101.31141074881148</v>
      </c>
      <c r="AM524" s="112">
        <f t="shared" si="179"/>
        <v>101.85932058707495</v>
      </c>
      <c r="AN524" s="112">
        <f t="shared" si="179"/>
        <v>102.41019361762491</v>
      </c>
      <c r="AO524" s="112">
        <f t="shared" si="179"/>
        <v>102.96404586592382</v>
      </c>
      <c r="AP524" s="112">
        <f t="shared" si="179"/>
        <v>103.5208934441026</v>
      </c>
      <c r="AQ524" s="112">
        <f t="shared" si="179"/>
        <v>104.0807525514294</v>
      </c>
      <c r="AR524" s="112">
        <f t="shared" si="179"/>
        <v>104.64363947478085</v>
      </c>
      <c r="AS524" s="112">
        <f t="shared" si="179"/>
        <v>105.20957058911587</v>
      </c>
      <c r="AT524" s="112">
        <f t="shared" si="179"/>
        <v>105.77856235795201</v>
      </c>
      <c r="AU524" s="112">
        <f t="shared" si="179"/>
        <v>106.35063133384443</v>
      </c>
      <c r="AV524" s="112">
        <f t="shared" si="179"/>
        <v>106.92579415886735</v>
      </c>
      <c r="AW524" s="112">
        <f t="shared" si="179"/>
        <v>107.5040675650983</v>
      </c>
      <c r="AX524" s="112">
        <f t="shared" si="179"/>
        <v>108.08546837510477</v>
      </c>
      <c r="AY524" s="112">
        <f>AVERAGE(AX525:AY525)</f>
        <v>108.70208359776234</v>
      </c>
      <c r="AZ524" s="112">
        <f>AVERAGE(AY525:AZ525)</f>
        <v>109.35429609934891</v>
      </c>
      <c r="BA524" s="112">
        <f>AVERAGE(AZ525:BA525)</f>
        <v>110.010421875945</v>
      </c>
      <c r="BB524" s="112">
        <f>AVERAGE(BA525:BB525)</f>
        <v>110.67048440720066</v>
      </c>
      <c r="BC524" s="112">
        <f t="shared" ref="BC524:BG524" si="180">AVERAGE(BB525:BC525)</f>
        <v>111.33450731364387</v>
      </c>
      <c r="BD524" s="112">
        <f t="shared" si="180"/>
        <v>112.00251435752574</v>
      </c>
      <c r="BE524" s="112">
        <f t="shared" si="180"/>
        <v>112.67452944367089</v>
      </c>
      <c r="BF524" s="112">
        <f t="shared" si="180"/>
        <v>113.35057662033292</v>
      </c>
      <c r="BG524" s="112">
        <f t="shared" si="180"/>
        <v>114.03068008005491</v>
      </c>
    </row>
    <row r="525" spans="1:59" s="109" customFormat="1" ht="13.75" customHeight="1">
      <c r="A525" s="141" t="s">
        <v>166</v>
      </c>
      <c r="B525" s="142" t="s">
        <v>491</v>
      </c>
      <c r="C525" s="142" t="s">
        <v>515</v>
      </c>
      <c r="D525" s="142" t="s">
        <v>87</v>
      </c>
      <c r="F525" s="168" t="s">
        <v>517</v>
      </c>
      <c r="G525" s="109" t="s">
        <v>494</v>
      </c>
      <c r="I525" s="109" t="s">
        <v>496</v>
      </c>
      <c r="W525" s="111">
        <v>99.5</v>
      </c>
      <c r="X525" s="111">
        <v>111.2</v>
      </c>
      <c r="Y525" s="111">
        <v>117.1353</v>
      </c>
      <c r="Z525" s="112">
        <v>99.115499999999997</v>
      </c>
      <c r="AA525" s="111">
        <v>103.38930000000001</v>
      </c>
      <c r="AB525" s="112">
        <v>104.9</v>
      </c>
      <c r="AC525" s="112">
        <v>95.66</v>
      </c>
      <c r="AD525" s="112">
        <v>103.387</v>
      </c>
      <c r="AE525" s="112">
        <v>100.51282051282051</v>
      </c>
      <c r="AF525" s="112">
        <v>99.66101694915254</v>
      </c>
      <c r="AG525" s="112">
        <v>98.82352941176471</v>
      </c>
      <c r="AH525" s="112">
        <f>AG525*(1+AH526-AH$4)</f>
        <v>99.357984352391995</v>
      </c>
      <c r="AI525" s="112">
        <f t="shared" ref="AI525:AR525" si="181">AH525*(1+AI526-AI$4)</f>
        <v>99.954132258506348</v>
      </c>
      <c r="AJ525" s="112">
        <f t="shared" si="181"/>
        <v>100.49470169717806</v>
      </c>
      <c r="AK525" s="112">
        <f t="shared" si="181"/>
        <v>101.03819462997075</v>
      </c>
      <c r="AL525" s="112">
        <f t="shared" si="181"/>
        <v>101.58462686765222</v>
      </c>
      <c r="AM525" s="112">
        <f t="shared" si="181"/>
        <v>102.13401430649768</v>
      </c>
      <c r="AN525" s="112">
        <f t="shared" si="181"/>
        <v>102.68637292875216</v>
      </c>
      <c r="AO525" s="112">
        <f t="shared" si="181"/>
        <v>103.24171880309549</v>
      </c>
      <c r="AP525" s="112">
        <f t="shared" si="181"/>
        <v>103.80006808510971</v>
      </c>
      <c r="AQ525" s="112">
        <f t="shared" si="181"/>
        <v>104.36143701774908</v>
      </c>
      <c r="AR525" s="112">
        <f t="shared" si="181"/>
        <v>104.92584193181261</v>
      </c>
      <c r="AS525" s="112">
        <f>AR525*(1+AS526-AS$4)</f>
        <v>105.49329924641913</v>
      </c>
      <c r="AT525" s="112">
        <f t="shared" ref="AT525:AX525" si="182">AS525*(1+AT526-AT$4)</f>
        <v>106.06382546948491</v>
      </c>
      <c r="AU525" s="112">
        <f t="shared" si="182"/>
        <v>106.63743719820394</v>
      </c>
      <c r="AV525" s="112">
        <f t="shared" si="182"/>
        <v>107.21415111953075</v>
      </c>
      <c r="AW525" s="112">
        <f t="shared" si="182"/>
        <v>107.79398401066584</v>
      </c>
      <c r="AX525" s="112">
        <f t="shared" si="182"/>
        <v>108.37695273954371</v>
      </c>
      <c r="AY525" s="112">
        <f>AX525*(1+AY526-AY$4)</f>
        <v>109.02721445598097</v>
      </c>
      <c r="AZ525" s="112">
        <f>AY525*(1+AZ526-AZ$4)</f>
        <v>109.68137774271685</v>
      </c>
      <c r="BA525" s="112">
        <f>AZ525*(1+BA526-BA$4)</f>
        <v>110.33946600917315</v>
      </c>
      <c r="BB525" s="112">
        <f>BA525*(1+BB526-BB$4)</f>
        <v>111.00150280522818</v>
      </c>
      <c r="BC525" s="112">
        <f t="shared" ref="BC525:BG525" si="183">BB525*(1+BC526-BC$4)</f>
        <v>111.66751182205955</v>
      </c>
      <c r="BD525" s="112">
        <f t="shared" si="183"/>
        <v>112.33751689299191</v>
      </c>
      <c r="BE525" s="112">
        <f t="shared" si="183"/>
        <v>113.01154199434987</v>
      </c>
      <c r="BF525" s="112">
        <f t="shared" si="183"/>
        <v>113.68961124631596</v>
      </c>
      <c r="BG525" s="112">
        <f t="shared" si="183"/>
        <v>114.37174891379387</v>
      </c>
    </row>
    <row r="526" spans="1:59" s="109" customFormat="1" ht="13.75" customHeight="1">
      <c r="A526" s="141" t="s">
        <v>166</v>
      </c>
      <c r="B526" s="142" t="s">
        <v>491</v>
      </c>
      <c r="C526" s="142" t="s">
        <v>515</v>
      </c>
      <c r="D526" s="142" t="s">
        <v>87</v>
      </c>
      <c r="F526" s="168" t="s">
        <v>518</v>
      </c>
      <c r="G526" s="109" t="s">
        <v>3</v>
      </c>
      <c r="I526" s="109" t="s">
        <v>498</v>
      </c>
      <c r="W526" s="107">
        <v>2.1000000000000001E-2</v>
      </c>
      <c r="X526" s="107">
        <v>1.3999999999999999E-2</v>
      </c>
      <c r="Y526" s="107">
        <v>1.125E-2</v>
      </c>
      <c r="Z526" s="107">
        <v>3.15E-2</v>
      </c>
      <c r="AA526" s="107">
        <v>1.9599999999999999E-2</v>
      </c>
      <c r="AB526" s="107">
        <v>1.9E-2</v>
      </c>
      <c r="AC526" s="107">
        <v>1.6E-2</v>
      </c>
      <c r="AD526" s="107">
        <v>7.9000000000000001E-2</v>
      </c>
      <c r="AE526" s="107">
        <v>2.4E-2</v>
      </c>
      <c r="AF526" s="107">
        <v>2.4E-2</v>
      </c>
      <c r="AG526" s="107">
        <v>2.6000000000000002E-2</v>
      </c>
      <c r="AH526" s="107">
        <f t="shared" ref="AH526:AX526" si="184">AG526</f>
        <v>2.6000000000000002E-2</v>
      </c>
      <c r="AI526" s="107">
        <f t="shared" si="184"/>
        <v>2.6000000000000002E-2</v>
      </c>
      <c r="AJ526" s="107">
        <f t="shared" si="184"/>
        <v>2.6000000000000002E-2</v>
      </c>
      <c r="AK526" s="107">
        <f t="shared" si="184"/>
        <v>2.6000000000000002E-2</v>
      </c>
      <c r="AL526" s="107">
        <f t="shared" si="184"/>
        <v>2.6000000000000002E-2</v>
      </c>
      <c r="AM526" s="107">
        <f t="shared" si="184"/>
        <v>2.6000000000000002E-2</v>
      </c>
      <c r="AN526" s="107">
        <f t="shared" si="184"/>
        <v>2.6000000000000002E-2</v>
      </c>
      <c r="AO526" s="107">
        <f t="shared" si="184"/>
        <v>2.6000000000000002E-2</v>
      </c>
      <c r="AP526" s="107">
        <f t="shared" si="184"/>
        <v>2.6000000000000002E-2</v>
      </c>
      <c r="AQ526" s="107">
        <f t="shared" si="184"/>
        <v>2.6000000000000002E-2</v>
      </c>
      <c r="AR526" s="107">
        <f t="shared" si="184"/>
        <v>2.6000000000000002E-2</v>
      </c>
      <c r="AS526" s="107">
        <f t="shared" si="184"/>
        <v>2.6000000000000002E-2</v>
      </c>
      <c r="AT526" s="107">
        <f t="shared" si="184"/>
        <v>2.6000000000000002E-2</v>
      </c>
      <c r="AU526" s="107">
        <f t="shared" si="184"/>
        <v>2.6000000000000002E-2</v>
      </c>
      <c r="AV526" s="107">
        <f t="shared" si="184"/>
        <v>2.6000000000000002E-2</v>
      </c>
      <c r="AW526" s="107">
        <f t="shared" si="184"/>
        <v>2.6000000000000002E-2</v>
      </c>
      <c r="AX526" s="107">
        <f t="shared" si="184"/>
        <v>2.6000000000000002E-2</v>
      </c>
      <c r="AY526" s="107">
        <f>AX526</f>
        <v>2.6000000000000002E-2</v>
      </c>
      <c r="AZ526" s="107">
        <f>AY526</f>
        <v>2.6000000000000002E-2</v>
      </c>
      <c r="BA526" s="107">
        <f>AZ526</f>
        <v>2.6000000000000002E-2</v>
      </c>
      <c r="BB526" s="107">
        <f>BA526</f>
        <v>2.6000000000000002E-2</v>
      </c>
      <c r="BC526" s="107">
        <f t="shared" ref="BC526:BG526" si="185">BB526</f>
        <v>2.6000000000000002E-2</v>
      </c>
      <c r="BD526" s="107">
        <f t="shared" si="185"/>
        <v>2.6000000000000002E-2</v>
      </c>
      <c r="BE526" s="107">
        <f t="shared" si="185"/>
        <v>2.6000000000000002E-2</v>
      </c>
      <c r="BF526" s="107">
        <f t="shared" si="185"/>
        <v>2.6000000000000002E-2</v>
      </c>
      <c r="BG526" s="107">
        <f t="shared" si="185"/>
        <v>2.6000000000000002E-2</v>
      </c>
    </row>
    <row r="527" spans="1:59" s="109" customFormat="1" ht="13.75" customHeight="1">
      <c r="A527" s="141" t="s">
        <v>166</v>
      </c>
      <c r="B527" s="142" t="s">
        <v>491</v>
      </c>
      <c r="C527" s="142" t="s">
        <v>515</v>
      </c>
      <c r="D527" s="142" t="s">
        <v>98</v>
      </c>
      <c r="F527" s="168" t="s">
        <v>519</v>
      </c>
      <c r="G527" s="109" t="s">
        <v>3</v>
      </c>
      <c r="I527" s="109" t="s">
        <v>498</v>
      </c>
      <c r="X527" s="116"/>
      <c r="Y527" s="107">
        <v>1.125E-2</v>
      </c>
      <c r="Z527" s="107">
        <v>3.15E-2</v>
      </c>
      <c r="AA527" s="107">
        <v>1.9599999999999999E-2</v>
      </c>
      <c r="AB527" s="107">
        <v>4.4999999999999998E-2</v>
      </c>
      <c r="AC527" s="107">
        <v>4.4999999999999998E-2</v>
      </c>
      <c r="AD527" s="107">
        <v>4.4999999999999998E-2</v>
      </c>
      <c r="AE527" s="107">
        <f t="shared" ref="AE527:AX527" si="186">AE526</f>
        <v>2.4E-2</v>
      </c>
      <c r="AF527" s="107">
        <f t="shared" si="186"/>
        <v>2.4E-2</v>
      </c>
      <c r="AG527" s="107">
        <f t="shared" si="186"/>
        <v>2.6000000000000002E-2</v>
      </c>
      <c r="AH527" s="107">
        <f t="shared" si="186"/>
        <v>2.6000000000000002E-2</v>
      </c>
      <c r="AI527" s="107">
        <f t="shared" si="186"/>
        <v>2.6000000000000002E-2</v>
      </c>
      <c r="AJ527" s="107">
        <f t="shared" si="186"/>
        <v>2.6000000000000002E-2</v>
      </c>
      <c r="AK527" s="107">
        <f t="shared" si="186"/>
        <v>2.6000000000000002E-2</v>
      </c>
      <c r="AL527" s="107">
        <f t="shared" si="186"/>
        <v>2.6000000000000002E-2</v>
      </c>
      <c r="AM527" s="107">
        <f t="shared" si="186"/>
        <v>2.6000000000000002E-2</v>
      </c>
      <c r="AN527" s="107">
        <f t="shared" si="186"/>
        <v>2.6000000000000002E-2</v>
      </c>
      <c r="AO527" s="107">
        <f t="shared" si="186"/>
        <v>2.6000000000000002E-2</v>
      </c>
      <c r="AP527" s="107">
        <f t="shared" si="186"/>
        <v>2.6000000000000002E-2</v>
      </c>
      <c r="AQ527" s="107">
        <f t="shared" si="186"/>
        <v>2.6000000000000002E-2</v>
      </c>
      <c r="AR527" s="107">
        <f t="shared" si="186"/>
        <v>2.6000000000000002E-2</v>
      </c>
      <c r="AS527" s="107">
        <f t="shared" si="186"/>
        <v>2.6000000000000002E-2</v>
      </c>
      <c r="AT527" s="107">
        <f t="shared" si="186"/>
        <v>2.6000000000000002E-2</v>
      </c>
      <c r="AU527" s="107">
        <f t="shared" si="186"/>
        <v>2.6000000000000002E-2</v>
      </c>
      <c r="AV527" s="107">
        <f t="shared" si="186"/>
        <v>2.6000000000000002E-2</v>
      </c>
      <c r="AW527" s="107">
        <f t="shared" si="186"/>
        <v>2.6000000000000002E-2</v>
      </c>
      <c r="AX527" s="107">
        <f t="shared" si="186"/>
        <v>2.6000000000000002E-2</v>
      </c>
      <c r="AY527" s="107">
        <f>AY526</f>
        <v>2.6000000000000002E-2</v>
      </c>
      <c r="AZ527" s="107">
        <f>AZ526</f>
        <v>2.6000000000000002E-2</v>
      </c>
      <c r="BA527" s="107">
        <f>BA526</f>
        <v>2.6000000000000002E-2</v>
      </c>
      <c r="BB527" s="107">
        <f>BB526</f>
        <v>2.6000000000000002E-2</v>
      </c>
      <c r="BC527" s="107">
        <f t="shared" ref="BC527:BG527" si="187">BC526</f>
        <v>2.6000000000000002E-2</v>
      </c>
      <c r="BD527" s="107">
        <f t="shared" si="187"/>
        <v>2.6000000000000002E-2</v>
      </c>
      <c r="BE527" s="107">
        <f t="shared" si="187"/>
        <v>2.6000000000000002E-2</v>
      </c>
      <c r="BF527" s="107">
        <f t="shared" si="187"/>
        <v>2.6000000000000002E-2</v>
      </c>
      <c r="BG527" s="107">
        <f t="shared" si="187"/>
        <v>2.6000000000000002E-2</v>
      </c>
    </row>
    <row r="528" spans="1:59" s="109" customFormat="1" ht="13.75" customHeight="1">
      <c r="A528" s="141" t="s">
        <v>166</v>
      </c>
      <c r="B528" s="142" t="s">
        <v>491</v>
      </c>
      <c r="C528" s="142" t="s">
        <v>520</v>
      </c>
      <c r="D528" s="142" t="s">
        <v>87</v>
      </c>
      <c r="F528" s="168" t="s">
        <v>521</v>
      </c>
      <c r="G528" s="109" t="s">
        <v>494</v>
      </c>
      <c r="V528" s="111">
        <v>0.75301204819277101</v>
      </c>
      <c r="W528" s="111">
        <v>0.75757575757575757</v>
      </c>
      <c r="X528" s="111">
        <v>0.90102680916158218</v>
      </c>
      <c r="Y528" s="111">
        <v>0.90290869916509553</v>
      </c>
      <c r="Z528" s="111">
        <v>0.88481656490336635</v>
      </c>
      <c r="AA528" s="111">
        <v>0.84695910881422631</v>
      </c>
      <c r="AB528" s="111">
        <v>0.89336164525314177</v>
      </c>
      <c r="AC528" s="111">
        <v>0.87719298245614041</v>
      </c>
      <c r="AD528" s="111">
        <v>0.84033613445378152</v>
      </c>
      <c r="AE528" s="111">
        <f>1/AE35</f>
        <v>0.95088866070413236</v>
      </c>
      <c r="AF528" s="111">
        <f t="shared" ref="AF528:AX529" si="188">1/AF35</f>
        <v>0.92758467148997403</v>
      </c>
      <c r="AG528" s="111">
        <f t="shared" si="188"/>
        <v>0.9036144578313251</v>
      </c>
      <c r="AH528" s="111">
        <f t="shared" si="188"/>
        <v>0.9009009009009008</v>
      </c>
      <c r="AI528" s="111">
        <f t="shared" si="188"/>
        <v>0.9009009009009008</v>
      </c>
      <c r="AJ528" s="111">
        <f t="shared" si="188"/>
        <v>0.9009009009009008</v>
      </c>
      <c r="AK528" s="111">
        <f t="shared" si="188"/>
        <v>0.9009009009009008</v>
      </c>
      <c r="AL528" s="111">
        <f t="shared" si="188"/>
        <v>0.9009009009009008</v>
      </c>
      <c r="AM528" s="111">
        <f t="shared" si="188"/>
        <v>0.9009009009009008</v>
      </c>
      <c r="AN528" s="111">
        <f t="shared" si="188"/>
        <v>0.9009009009009008</v>
      </c>
      <c r="AO528" s="111">
        <f t="shared" si="188"/>
        <v>0.9009009009009008</v>
      </c>
      <c r="AP528" s="111">
        <f t="shared" si="188"/>
        <v>0.9009009009009008</v>
      </c>
      <c r="AQ528" s="111">
        <f t="shared" si="188"/>
        <v>0.9009009009009008</v>
      </c>
      <c r="AR528" s="111">
        <f t="shared" si="188"/>
        <v>0.9009009009009008</v>
      </c>
      <c r="AS528" s="111">
        <f t="shared" si="188"/>
        <v>0.9009009009009008</v>
      </c>
      <c r="AT528" s="111">
        <f t="shared" si="188"/>
        <v>0.9009009009009008</v>
      </c>
      <c r="AU528" s="111">
        <f t="shared" si="188"/>
        <v>0.9009009009009008</v>
      </c>
      <c r="AV528" s="111">
        <f t="shared" si="188"/>
        <v>0.9009009009009008</v>
      </c>
      <c r="AW528" s="111">
        <f t="shared" si="188"/>
        <v>0.9009009009009008</v>
      </c>
      <c r="AX528" s="111">
        <f t="shared" si="188"/>
        <v>0.9009009009009008</v>
      </c>
      <c r="AY528" s="111">
        <f>1/AY35</f>
        <v>0.9009009009009008</v>
      </c>
      <c r="AZ528" s="111">
        <f>1/AZ35</f>
        <v>0.9009009009009008</v>
      </c>
      <c r="BA528" s="111">
        <f>1/BA35</f>
        <v>0.9009009009009008</v>
      </c>
      <c r="BB528" s="111">
        <f>1/BB35</f>
        <v>0.9009009009009008</v>
      </c>
      <c r="BC528" s="111">
        <f t="shared" ref="BC528:BG529" si="189">1/BC35</f>
        <v>0.9009009009009008</v>
      </c>
      <c r="BD528" s="111">
        <f t="shared" si="189"/>
        <v>0.9009009009009008</v>
      </c>
      <c r="BE528" s="111">
        <f t="shared" si="189"/>
        <v>0.9009009009009008</v>
      </c>
      <c r="BF528" s="111">
        <f t="shared" si="189"/>
        <v>0.9009009009009008</v>
      </c>
      <c r="BG528" s="111">
        <f t="shared" si="189"/>
        <v>0.9009009009009008</v>
      </c>
    </row>
    <row r="529" spans="1:59" s="109" customFormat="1" ht="13.75" customHeight="1">
      <c r="A529" s="141" t="s">
        <v>166</v>
      </c>
      <c r="B529" s="142" t="s">
        <v>491</v>
      </c>
      <c r="C529" s="142" t="s">
        <v>520</v>
      </c>
      <c r="D529" s="142" t="s">
        <v>87</v>
      </c>
      <c r="F529" s="168" t="s">
        <v>522</v>
      </c>
      <c r="G529" s="109" t="s">
        <v>494</v>
      </c>
      <c r="I529" s="109" t="s">
        <v>496</v>
      </c>
      <c r="V529" s="111">
        <v>0.72727272727272729</v>
      </c>
      <c r="W529" s="111">
        <v>0.82644628099173556</v>
      </c>
      <c r="X529" s="116">
        <v>0.91743119266054995</v>
      </c>
      <c r="Y529" s="111">
        <v>0.95093191327500948</v>
      </c>
      <c r="Z529" s="111">
        <v>0.8337502084375521</v>
      </c>
      <c r="AA529" s="111">
        <v>0.87290502793296088</v>
      </c>
      <c r="AB529" s="111">
        <v>0.89190153407063855</v>
      </c>
      <c r="AC529" s="111">
        <v>0.81300813008130079</v>
      </c>
      <c r="AD529" s="111">
        <v>0.87950747581354438</v>
      </c>
      <c r="AE529" s="111">
        <f>1/AE36</f>
        <v>0.95088866070413236</v>
      </c>
      <c r="AF529" s="111">
        <f t="shared" si="188"/>
        <v>0.92758467148997403</v>
      </c>
      <c r="AG529" s="111">
        <f t="shared" si="188"/>
        <v>0.9036144578313251</v>
      </c>
      <c r="AH529" s="111">
        <f t="shared" si="188"/>
        <v>0.9036144578313251</v>
      </c>
      <c r="AI529" s="111">
        <f t="shared" si="188"/>
        <v>0.9036144578313251</v>
      </c>
      <c r="AJ529" s="111">
        <f t="shared" si="188"/>
        <v>0.9036144578313251</v>
      </c>
      <c r="AK529" s="111">
        <f t="shared" si="188"/>
        <v>0.9036144578313251</v>
      </c>
      <c r="AL529" s="111">
        <f t="shared" si="188"/>
        <v>0.9036144578313251</v>
      </c>
      <c r="AM529" s="111">
        <f t="shared" si="188"/>
        <v>0.9036144578313251</v>
      </c>
      <c r="AN529" s="111">
        <f t="shared" si="188"/>
        <v>0.9036144578313251</v>
      </c>
      <c r="AO529" s="111">
        <f t="shared" si="188"/>
        <v>0.9036144578313251</v>
      </c>
      <c r="AP529" s="111">
        <f t="shared" si="188"/>
        <v>0.9036144578313251</v>
      </c>
      <c r="AQ529" s="111">
        <f t="shared" si="188"/>
        <v>0.9036144578313251</v>
      </c>
      <c r="AR529" s="111">
        <f t="shared" si="188"/>
        <v>0.9036144578313251</v>
      </c>
      <c r="AS529" s="111">
        <f t="shared" si="188"/>
        <v>0.9036144578313251</v>
      </c>
      <c r="AT529" s="111">
        <f t="shared" si="188"/>
        <v>0.9036144578313251</v>
      </c>
      <c r="AU529" s="111">
        <f t="shared" si="188"/>
        <v>0.9036144578313251</v>
      </c>
      <c r="AV529" s="111">
        <f t="shared" si="188"/>
        <v>0.9036144578313251</v>
      </c>
      <c r="AW529" s="111">
        <f t="shared" si="188"/>
        <v>0.9036144578313251</v>
      </c>
      <c r="AX529" s="111">
        <f t="shared" si="188"/>
        <v>0.9036144578313251</v>
      </c>
      <c r="AY529" s="111">
        <f>1/AY36</f>
        <v>0.9009009009009008</v>
      </c>
      <c r="AZ529" s="111">
        <f>1/AZ36</f>
        <v>0.9009009009009008</v>
      </c>
      <c r="BA529" s="111">
        <f>1/BA36</f>
        <v>0.9009009009009008</v>
      </c>
      <c r="BB529" s="111">
        <f t="shared" ref="BB529" si="190">1/BB36</f>
        <v>0.9009009009009008</v>
      </c>
      <c r="BC529" s="111">
        <f t="shared" si="189"/>
        <v>0.9009009009009008</v>
      </c>
      <c r="BD529" s="111">
        <f t="shared" si="189"/>
        <v>0.9009009009009008</v>
      </c>
      <c r="BE529" s="111">
        <f t="shared" si="189"/>
        <v>0.9009009009009008</v>
      </c>
      <c r="BF529" s="111">
        <f t="shared" si="189"/>
        <v>0.9009009009009008</v>
      </c>
      <c r="BG529" s="111">
        <f t="shared" si="189"/>
        <v>0.9009009009009008</v>
      </c>
    </row>
    <row r="530" spans="1:59" s="109" customFormat="1" ht="13.75" customHeight="1">
      <c r="A530" s="141" t="s">
        <v>166</v>
      </c>
      <c r="B530" s="142" t="s">
        <v>491</v>
      </c>
      <c r="C530" s="142" t="s">
        <v>520</v>
      </c>
      <c r="D530" s="142" t="s">
        <v>87</v>
      </c>
      <c r="F530" s="168" t="s">
        <v>523</v>
      </c>
      <c r="G530" s="109" t="s">
        <v>3</v>
      </c>
      <c r="I530" s="109" t="s">
        <v>498</v>
      </c>
      <c r="V530" s="107">
        <v>1.9E-2</v>
      </c>
      <c r="W530" s="107">
        <v>4.0000000000000001E-3</v>
      </c>
      <c r="X530" s="107">
        <v>-8.0000000000000002E-3</v>
      </c>
      <c r="Y530" s="107">
        <v>-1E-3</v>
      </c>
      <c r="Z530" s="107">
        <v>1.3999999999999999E-2</v>
      </c>
      <c r="AA530" s="107">
        <v>1.7000000000000001E-2</v>
      </c>
      <c r="AB530" s="107">
        <v>1.6E-2</v>
      </c>
      <c r="AC530" s="107">
        <v>-2.9999999999999997E-4</v>
      </c>
      <c r="AD530" s="107">
        <v>4.9000000000000002E-2</v>
      </c>
      <c r="AE530" s="107">
        <v>1.7000000000000001E-2</v>
      </c>
      <c r="AF530" s="107">
        <v>1.8000000000000002E-2</v>
      </c>
      <c r="AG530" s="107">
        <v>1.8000000000000002E-2</v>
      </c>
      <c r="AH530" s="107">
        <f t="shared" ref="AH530:AX530" si="191">AG530</f>
        <v>1.8000000000000002E-2</v>
      </c>
      <c r="AI530" s="107">
        <f t="shared" si="191"/>
        <v>1.8000000000000002E-2</v>
      </c>
      <c r="AJ530" s="107">
        <f t="shared" si="191"/>
        <v>1.8000000000000002E-2</v>
      </c>
      <c r="AK530" s="107">
        <f t="shared" si="191"/>
        <v>1.8000000000000002E-2</v>
      </c>
      <c r="AL530" s="107">
        <f t="shared" si="191"/>
        <v>1.8000000000000002E-2</v>
      </c>
      <c r="AM530" s="107">
        <f t="shared" si="191"/>
        <v>1.8000000000000002E-2</v>
      </c>
      <c r="AN530" s="107">
        <f t="shared" si="191"/>
        <v>1.8000000000000002E-2</v>
      </c>
      <c r="AO530" s="107">
        <f t="shared" si="191"/>
        <v>1.8000000000000002E-2</v>
      </c>
      <c r="AP530" s="107">
        <f t="shared" si="191"/>
        <v>1.8000000000000002E-2</v>
      </c>
      <c r="AQ530" s="107">
        <f t="shared" si="191"/>
        <v>1.8000000000000002E-2</v>
      </c>
      <c r="AR530" s="107">
        <f t="shared" si="191"/>
        <v>1.8000000000000002E-2</v>
      </c>
      <c r="AS530" s="107">
        <f t="shared" si="191"/>
        <v>1.8000000000000002E-2</v>
      </c>
      <c r="AT530" s="107">
        <f t="shared" si="191"/>
        <v>1.8000000000000002E-2</v>
      </c>
      <c r="AU530" s="107">
        <f t="shared" si="191"/>
        <v>1.8000000000000002E-2</v>
      </c>
      <c r="AV530" s="107">
        <f t="shared" si="191"/>
        <v>1.8000000000000002E-2</v>
      </c>
      <c r="AW530" s="107">
        <f t="shared" si="191"/>
        <v>1.8000000000000002E-2</v>
      </c>
      <c r="AX530" s="107">
        <f t="shared" si="191"/>
        <v>1.8000000000000002E-2</v>
      </c>
      <c r="AY530" s="107">
        <f>AX530</f>
        <v>1.8000000000000002E-2</v>
      </c>
      <c r="AZ530" s="107">
        <f>AY530</f>
        <v>1.8000000000000002E-2</v>
      </c>
      <c r="BA530" s="107">
        <f>AZ530</f>
        <v>1.8000000000000002E-2</v>
      </c>
      <c r="BB530" s="107">
        <f>BA530</f>
        <v>1.8000000000000002E-2</v>
      </c>
      <c r="BC530" s="107">
        <f t="shared" ref="BC530:BG530" si="192">BB530</f>
        <v>1.8000000000000002E-2</v>
      </c>
      <c r="BD530" s="107">
        <f t="shared" si="192"/>
        <v>1.8000000000000002E-2</v>
      </c>
      <c r="BE530" s="107">
        <f t="shared" si="192"/>
        <v>1.8000000000000002E-2</v>
      </c>
      <c r="BF530" s="107">
        <f t="shared" si="192"/>
        <v>1.8000000000000002E-2</v>
      </c>
      <c r="BG530" s="107">
        <f t="shared" si="192"/>
        <v>1.8000000000000002E-2</v>
      </c>
    </row>
    <row r="531" spans="1:59" s="109" customFormat="1" ht="13.75" customHeight="1">
      <c r="A531" s="141" t="s">
        <v>166</v>
      </c>
      <c r="B531" s="142" t="s">
        <v>491</v>
      </c>
      <c r="C531" s="142" t="s">
        <v>520</v>
      </c>
      <c r="D531" s="142" t="s">
        <v>98</v>
      </c>
      <c r="F531" s="168" t="s">
        <v>524</v>
      </c>
      <c r="G531" s="109" t="s">
        <v>3</v>
      </c>
      <c r="I531" s="109" t="s">
        <v>498</v>
      </c>
      <c r="X531" s="116"/>
      <c r="Y531" s="116"/>
      <c r="Z531" s="107">
        <v>1.5599999999999999E-2</v>
      </c>
      <c r="AA531" s="107">
        <v>2.0667000000000001E-2</v>
      </c>
      <c r="AB531" s="107">
        <v>5.0000000000000001E-3</v>
      </c>
      <c r="AC531" s="107">
        <v>-2E-3</v>
      </c>
      <c r="AD531" s="107">
        <v>0.106</v>
      </c>
      <c r="AE531" s="107">
        <f t="shared" ref="AE531:AX531" si="193">AE530</f>
        <v>1.7000000000000001E-2</v>
      </c>
      <c r="AF531" s="107">
        <f t="shared" si="193"/>
        <v>1.8000000000000002E-2</v>
      </c>
      <c r="AG531" s="107">
        <f t="shared" si="193"/>
        <v>1.8000000000000002E-2</v>
      </c>
      <c r="AH531" s="107">
        <f t="shared" si="193"/>
        <v>1.8000000000000002E-2</v>
      </c>
      <c r="AI531" s="107">
        <f t="shared" si="193"/>
        <v>1.8000000000000002E-2</v>
      </c>
      <c r="AJ531" s="107">
        <f t="shared" si="193"/>
        <v>1.8000000000000002E-2</v>
      </c>
      <c r="AK531" s="107">
        <f t="shared" si="193"/>
        <v>1.8000000000000002E-2</v>
      </c>
      <c r="AL531" s="107">
        <f t="shared" si="193"/>
        <v>1.8000000000000002E-2</v>
      </c>
      <c r="AM531" s="107">
        <f t="shared" si="193"/>
        <v>1.8000000000000002E-2</v>
      </c>
      <c r="AN531" s="107">
        <f t="shared" si="193"/>
        <v>1.8000000000000002E-2</v>
      </c>
      <c r="AO531" s="107">
        <f t="shared" si="193"/>
        <v>1.8000000000000002E-2</v>
      </c>
      <c r="AP531" s="107">
        <f t="shared" si="193"/>
        <v>1.8000000000000002E-2</v>
      </c>
      <c r="AQ531" s="107">
        <f t="shared" si="193"/>
        <v>1.8000000000000002E-2</v>
      </c>
      <c r="AR531" s="107">
        <f t="shared" si="193"/>
        <v>1.8000000000000002E-2</v>
      </c>
      <c r="AS531" s="107">
        <f t="shared" si="193"/>
        <v>1.8000000000000002E-2</v>
      </c>
      <c r="AT531" s="107">
        <f t="shared" si="193"/>
        <v>1.8000000000000002E-2</v>
      </c>
      <c r="AU531" s="107">
        <f t="shared" si="193"/>
        <v>1.8000000000000002E-2</v>
      </c>
      <c r="AV531" s="107">
        <f t="shared" si="193"/>
        <v>1.8000000000000002E-2</v>
      </c>
      <c r="AW531" s="107">
        <f t="shared" si="193"/>
        <v>1.8000000000000002E-2</v>
      </c>
      <c r="AX531" s="107">
        <f t="shared" si="193"/>
        <v>1.8000000000000002E-2</v>
      </c>
      <c r="AY531" s="107">
        <f>AY530</f>
        <v>1.8000000000000002E-2</v>
      </c>
      <c r="AZ531" s="107">
        <f>AZ530</f>
        <v>1.8000000000000002E-2</v>
      </c>
      <c r="BA531" s="107">
        <f>BA530</f>
        <v>1.8000000000000002E-2</v>
      </c>
      <c r="BB531" s="107">
        <f>BB530</f>
        <v>1.8000000000000002E-2</v>
      </c>
      <c r="BC531" s="107">
        <f t="shared" ref="BC531:BG531" si="194">BC530</f>
        <v>1.8000000000000002E-2</v>
      </c>
      <c r="BD531" s="107">
        <f t="shared" si="194"/>
        <v>1.8000000000000002E-2</v>
      </c>
      <c r="BE531" s="107">
        <f t="shared" si="194"/>
        <v>1.8000000000000002E-2</v>
      </c>
      <c r="BF531" s="107">
        <f t="shared" si="194"/>
        <v>1.8000000000000002E-2</v>
      </c>
      <c r="BG531" s="107">
        <f t="shared" si="194"/>
        <v>1.8000000000000002E-2</v>
      </c>
    </row>
    <row r="532" spans="1:59" s="109" customFormat="1" ht="13.75" customHeight="1">
      <c r="A532" s="141" t="s">
        <v>166</v>
      </c>
      <c r="B532" s="142" t="s">
        <v>491</v>
      </c>
      <c r="C532" s="142" t="s">
        <v>525</v>
      </c>
      <c r="D532" s="142" t="s">
        <v>87</v>
      </c>
      <c r="F532" s="168" t="s">
        <v>526</v>
      </c>
      <c r="G532" s="109" t="s">
        <v>494</v>
      </c>
      <c r="U532" s="109">
        <v>1.5225</v>
      </c>
      <c r="V532" s="111">
        <v>1.4727409638554216</v>
      </c>
      <c r="W532" s="111">
        <v>1.4716328066215201</v>
      </c>
      <c r="X532" s="116">
        <v>1.7619819819819817</v>
      </c>
      <c r="Y532" s="111">
        <v>1.7676462696066966</v>
      </c>
      <c r="Z532" s="111">
        <v>1.7282999999999999</v>
      </c>
      <c r="AA532" s="111">
        <v>1.65</v>
      </c>
      <c r="AB532" s="111">
        <v>1.75</v>
      </c>
      <c r="AC532" s="111">
        <v>1.6050684043594996</v>
      </c>
      <c r="AD532" s="111">
        <v>1.6388335233995801</v>
      </c>
      <c r="AE532" s="111">
        <v>1.6504641350210969</v>
      </c>
      <c r="AF532" s="111">
        <v>1.6366527196652723</v>
      </c>
      <c r="AG532" s="111">
        <v>1.623070539419087</v>
      </c>
      <c r="AH532" s="111">
        <f>AVERAGE(AG533:AH533)</f>
        <v>1.6130566977909635</v>
      </c>
      <c r="AI532" s="111">
        <f>AVERAGE(AH533:AI533)</f>
        <v>1.6069326971396583</v>
      </c>
      <c r="AJ532" s="111">
        <f t="shared" ref="AJ532:AX532" si="195">AVERAGE(AI533:AJ533)</f>
        <v>1.6008337548273524</v>
      </c>
      <c r="AK532" s="111">
        <f t="shared" si="195"/>
        <v>1.5942834232396097</v>
      </c>
      <c r="AL532" s="111">
        <f t="shared" si="195"/>
        <v>1.5877598944624527</v>
      </c>
      <c r="AM532" s="111">
        <f t="shared" si="195"/>
        <v>1.5812630588234704</v>
      </c>
      <c r="AN532" s="111">
        <f t="shared" si="195"/>
        <v>1.5747928070990129</v>
      </c>
      <c r="AO532" s="111">
        <f t="shared" si="195"/>
        <v>1.5683490305123535</v>
      </c>
      <c r="AP532" s="111">
        <f t="shared" si="195"/>
        <v>1.5619316207318619</v>
      </c>
      <c r="AQ532" s="111">
        <f t="shared" si="195"/>
        <v>1.5555404698691806</v>
      </c>
      <c r="AR532" s="111">
        <f t="shared" si="195"/>
        <v>1.5491754704774139</v>
      </c>
      <c r="AS532" s="111">
        <f t="shared" si="195"/>
        <v>1.5428365155493184</v>
      </c>
      <c r="AT532" s="111">
        <f t="shared" si="195"/>
        <v>1.536523498515507</v>
      </c>
      <c r="AU532" s="111">
        <f t="shared" si="195"/>
        <v>1.5302363132426553</v>
      </c>
      <c r="AV532" s="111">
        <f t="shared" si="195"/>
        <v>1.5239748540317173</v>
      </c>
      <c r="AW532" s="111">
        <f t="shared" si="195"/>
        <v>1.5177390156161499</v>
      </c>
      <c r="AX532" s="111">
        <f t="shared" si="195"/>
        <v>1.5115286931601422</v>
      </c>
      <c r="AY532" s="111">
        <f>AVERAGE(AX533:AY533)</f>
        <v>1.5057901455231895</v>
      </c>
      <c r="AZ532" s="111">
        <f>AVERAGE(AY533:AZ533)</f>
        <v>1.5005198800138582</v>
      </c>
      <c r="BA532" s="111">
        <f>AVERAGE(AZ533:BA533)</f>
        <v>1.4952680604338096</v>
      </c>
      <c r="BB532" s="111">
        <f>AVERAGE(BA533:BB533)</f>
        <v>1.4900346222222911</v>
      </c>
      <c r="BC532" s="111">
        <f t="shared" ref="BC532:BG532" si="196">AVERAGE(BB533:BC533)</f>
        <v>1.4848195010445129</v>
      </c>
      <c r="BD532" s="111">
        <f t="shared" si="196"/>
        <v>1.479622632790857</v>
      </c>
      <c r="BE532" s="111">
        <f t="shared" si="196"/>
        <v>1.4744439535760892</v>
      </c>
      <c r="BF532" s="111">
        <f t="shared" si="196"/>
        <v>1.4692833997385728</v>
      </c>
      <c r="BG532" s="111">
        <f t="shared" si="196"/>
        <v>1.4641409078394876</v>
      </c>
    </row>
    <row r="533" spans="1:59" s="109" customFormat="1" ht="13.75" customHeight="1">
      <c r="A533" s="141" t="s">
        <v>166</v>
      </c>
      <c r="B533" s="142" t="s">
        <v>491</v>
      </c>
      <c r="C533" s="142" t="s">
        <v>525</v>
      </c>
      <c r="D533" s="142" t="s">
        <v>87</v>
      </c>
      <c r="F533" s="168" t="s">
        <v>527</v>
      </c>
      <c r="G533" s="109" t="s">
        <v>494</v>
      </c>
      <c r="I533" s="109" t="s">
        <v>496</v>
      </c>
      <c r="U533" s="109">
        <v>1.48</v>
      </c>
      <c r="V533" s="111">
        <v>1.4223999999999999</v>
      </c>
      <c r="W533" s="111">
        <v>1.6163636363636364</v>
      </c>
      <c r="X533" s="116">
        <v>1.7943119266055045</v>
      </c>
      <c r="Y533" s="111">
        <v>1.8603633596499574</v>
      </c>
      <c r="Z533" s="111">
        <v>1.6301000000000001</v>
      </c>
      <c r="AA533" s="111">
        <v>1.71</v>
      </c>
      <c r="AB533" s="111">
        <v>1.74</v>
      </c>
      <c r="AC533" s="111">
        <v>1.6031147540983606</v>
      </c>
      <c r="AD533" s="111">
        <v>1.7261</v>
      </c>
      <c r="AE533" s="111">
        <v>1.6435294117647059</v>
      </c>
      <c r="AF533" s="111">
        <v>1.6298333333333335</v>
      </c>
      <c r="AG533" s="111">
        <v>1.6163636363636364</v>
      </c>
      <c r="AH533" s="112">
        <f>AG533*(1+AH534-AH$4)</f>
        <v>1.6097497592182903</v>
      </c>
      <c r="AI533" s="112">
        <f t="shared" ref="AI533:AR533" si="197">AH533*(1+AI534-AI$4)</f>
        <v>1.6041156350610262</v>
      </c>
      <c r="AJ533" s="112">
        <f t="shared" si="197"/>
        <v>1.5975518745936783</v>
      </c>
      <c r="AK533" s="112">
        <f t="shared" si="197"/>
        <v>1.5910149718855411</v>
      </c>
      <c r="AL533" s="112">
        <f t="shared" si="197"/>
        <v>1.5845048170393641</v>
      </c>
      <c r="AM533" s="112">
        <f t="shared" si="197"/>
        <v>1.5780213006075767</v>
      </c>
      <c r="AN533" s="112">
        <f t="shared" si="197"/>
        <v>1.5715643135904489</v>
      </c>
      <c r="AO533" s="112">
        <f t="shared" si="197"/>
        <v>1.5651337474342581</v>
      </c>
      <c r="AP533" s="112">
        <f t="shared" si="197"/>
        <v>1.5587294940294654</v>
      </c>
      <c r="AQ533" s="112">
        <f t="shared" si="197"/>
        <v>1.552351445708896</v>
      </c>
      <c r="AR533" s="112">
        <f t="shared" si="197"/>
        <v>1.5459994952459315</v>
      </c>
      <c r="AS533" s="112">
        <f>AR533*(1+AS534-AS$4)</f>
        <v>1.5396735358527054</v>
      </c>
      <c r="AT533" s="112">
        <f t="shared" ref="AT533:AX533" si="198">AS533*(1+AT534-AT$4)</f>
        <v>1.5333734611783087</v>
      </c>
      <c r="AU533" s="112">
        <f t="shared" si="198"/>
        <v>1.5270991653070016</v>
      </c>
      <c r="AV533" s="112">
        <f t="shared" si="198"/>
        <v>1.5208505427564329</v>
      </c>
      <c r="AW533" s="112">
        <f t="shared" si="198"/>
        <v>1.514627488475867</v>
      </c>
      <c r="AX533" s="112">
        <f t="shared" si="198"/>
        <v>1.5084298978444173</v>
      </c>
      <c r="AY533" s="112">
        <f>AX533*(1+AY534-AY$4)</f>
        <v>1.5031503932019616</v>
      </c>
      <c r="AZ533" s="112">
        <f>AY533*(1+AZ534-AZ$4)</f>
        <v>1.4978893668257547</v>
      </c>
      <c r="BA533" s="112">
        <f>AZ533*(1+BA534-BA$4)</f>
        <v>1.4926467540418644</v>
      </c>
      <c r="BB533" s="112">
        <f>BA533*(1+BB534-BB$4)</f>
        <v>1.4874224904027178</v>
      </c>
      <c r="BC533" s="112">
        <f t="shared" ref="BC533:BG533" si="199">BB533*(1+BC534-BC$4)</f>
        <v>1.4822165116863082</v>
      </c>
      <c r="BD533" s="112">
        <f t="shared" si="199"/>
        <v>1.4770287538954061</v>
      </c>
      <c r="BE533" s="112">
        <f t="shared" si="199"/>
        <v>1.4718591532567722</v>
      </c>
      <c r="BF533" s="112">
        <f t="shared" si="199"/>
        <v>1.4667076462203734</v>
      </c>
      <c r="BG533" s="112">
        <f t="shared" si="199"/>
        <v>1.461574169458602</v>
      </c>
    </row>
    <row r="534" spans="1:59" s="109" customFormat="1" ht="13.75" customHeight="1">
      <c r="A534" s="141" t="s">
        <v>166</v>
      </c>
      <c r="B534" s="142" t="s">
        <v>491</v>
      </c>
      <c r="C534" s="142" t="s">
        <v>525</v>
      </c>
      <c r="D534" s="142" t="s">
        <v>87</v>
      </c>
      <c r="F534" s="168" t="s">
        <v>528</v>
      </c>
      <c r="G534" s="109" t="s">
        <v>3</v>
      </c>
      <c r="I534" s="109" t="s">
        <v>498</v>
      </c>
      <c r="U534" s="107">
        <v>2.1000000000000001E-2</v>
      </c>
      <c r="V534" s="107">
        <v>-1E-3</v>
      </c>
      <c r="W534" s="107">
        <v>-9.0000000000000011E-3</v>
      </c>
      <c r="X534" s="107">
        <v>-0.01</v>
      </c>
      <c r="Y534" s="107">
        <v>-1.0749999999999999E-2</v>
      </c>
      <c r="Z534" s="107">
        <v>1.7000000000000001E-2</v>
      </c>
      <c r="AA534" s="107">
        <v>1.3999999999999999E-2</v>
      </c>
      <c r="AB534" s="107">
        <v>5.5000000000000005E-3</v>
      </c>
      <c r="AC534" s="107">
        <v>-0.01</v>
      </c>
      <c r="AD534" s="107">
        <v>1.8189999999999998E-2</v>
      </c>
      <c r="AE534" s="107">
        <v>1.2E-2</v>
      </c>
      <c r="AF534" s="107">
        <v>1.325E-2</v>
      </c>
      <c r="AG534" s="107">
        <v>1.6500000000000001E-2</v>
      </c>
      <c r="AH534" s="107">
        <f t="shared" ref="AH534:AX534" si="200">AG534</f>
        <v>1.6500000000000001E-2</v>
      </c>
      <c r="AI534" s="107">
        <f t="shared" si="200"/>
        <v>1.6500000000000001E-2</v>
      </c>
      <c r="AJ534" s="107">
        <f t="shared" si="200"/>
        <v>1.6500000000000001E-2</v>
      </c>
      <c r="AK534" s="107">
        <f t="shared" si="200"/>
        <v>1.6500000000000001E-2</v>
      </c>
      <c r="AL534" s="107">
        <f t="shared" si="200"/>
        <v>1.6500000000000001E-2</v>
      </c>
      <c r="AM534" s="107">
        <f t="shared" si="200"/>
        <v>1.6500000000000001E-2</v>
      </c>
      <c r="AN534" s="107">
        <f t="shared" si="200"/>
        <v>1.6500000000000001E-2</v>
      </c>
      <c r="AO534" s="107">
        <f t="shared" si="200"/>
        <v>1.6500000000000001E-2</v>
      </c>
      <c r="AP534" s="107">
        <f t="shared" si="200"/>
        <v>1.6500000000000001E-2</v>
      </c>
      <c r="AQ534" s="107">
        <f t="shared" si="200"/>
        <v>1.6500000000000001E-2</v>
      </c>
      <c r="AR534" s="107">
        <f t="shared" si="200"/>
        <v>1.6500000000000001E-2</v>
      </c>
      <c r="AS534" s="107">
        <f t="shared" si="200"/>
        <v>1.6500000000000001E-2</v>
      </c>
      <c r="AT534" s="107">
        <f t="shared" si="200"/>
        <v>1.6500000000000001E-2</v>
      </c>
      <c r="AU534" s="107">
        <f t="shared" si="200"/>
        <v>1.6500000000000001E-2</v>
      </c>
      <c r="AV534" s="107">
        <f t="shared" si="200"/>
        <v>1.6500000000000001E-2</v>
      </c>
      <c r="AW534" s="107">
        <f t="shared" si="200"/>
        <v>1.6500000000000001E-2</v>
      </c>
      <c r="AX534" s="107">
        <f t="shared" si="200"/>
        <v>1.6500000000000001E-2</v>
      </c>
      <c r="AY534" s="107">
        <f>AX534</f>
        <v>1.6500000000000001E-2</v>
      </c>
      <c r="AZ534" s="107">
        <f>AY534</f>
        <v>1.6500000000000001E-2</v>
      </c>
      <c r="BA534" s="107">
        <f>AZ534</f>
        <v>1.6500000000000001E-2</v>
      </c>
      <c r="BB534" s="107">
        <f>BA534</f>
        <v>1.6500000000000001E-2</v>
      </c>
      <c r="BC534" s="107">
        <f t="shared" ref="BC534:BG534" si="201">BB534</f>
        <v>1.6500000000000001E-2</v>
      </c>
      <c r="BD534" s="107">
        <f t="shared" si="201"/>
        <v>1.6500000000000001E-2</v>
      </c>
      <c r="BE534" s="107">
        <f t="shared" si="201"/>
        <v>1.6500000000000001E-2</v>
      </c>
      <c r="BF534" s="107">
        <f t="shared" si="201"/>
        <v>1.6500000000000001E-2</v>
      </c>
      <c r="BG534" s="107">
        <f t="shared" si="201"/>
        <v>1.6500000000000001E-2</v>
      </c>
    </row>
    <row r="535" spans="1:59" s="109" customFormat="1" ht="13.75" customHeight="1">
      <c r="A535" s="141" t="s">
        <v>166</v>
      </c>
      <c r="B535" s="142" t="s">
        <v>491</v>
      </c>
      <c r="C535" s="142" t="s">
        <v>525</v>
      </c>
      <c r="D535" s="142" t="s">
        <v>98</v>
      </c>
      <c r="F535" s="168" t="s">
        <v>529</v>
      </c>
      <c r="G535" s="109" t="s">
        <v>3</v>
      </c>
      <c r="I535" s="109" t="s">
        <v>498</v>
      </c>
      <c r="X535" s="116"/>
      <c r="Y535" s="116"/>
      <c r="Z535" s="107">
        <v>1.7000000000000001E-2</v>
      </c>
      <c r="AA535" s="107">
        <v>1.3999999999999999E-2</v>
      </c>
      <c r="AB535" s="107">
        <v>1.942E-2</v>
      </c>
      <c r="AC535" s="107">
        <v>-0.01</v>
      </c>
      <c r="AD535" s="107">
        <v>1.8189999999999998E-2</v>
      </c>
      <c r="AE535" s="107">
        <f t="shared" ref="AE535:AX535" si="202">AE534</f>
        <v>1.2E-2</v>
      </c>
      <c r="AF535" s="107">
        <f t="shared" si="202"/>
        <v>1.325E-2</v>
      </c>
      <c r="AG535" s="107">
        <f t="shared" si="202"/>
        <v>1.6500000000000001E-2</v>
      </c>
      <c r="AH535" s="107">
        <f t="shared" si="202"/>
        <v>1.6500000000000001E-2</v>
      </c>
      <c r="AI535" s="107">
        <f t="shared" si="202"/>
        <v>1.6500000000000001E-2</v>
      </c>
      <c r="AJ535" s="107">
        <f t="shared" si="202"/>
        <v>1.6500000000000001E-2</v>
      </c>
      <c r="AK535" s="107">
        <f t="shared" si="202"/>
        <v>1.6500000000000001E-2</v>
      </c>
      <c r="AL535" s="107">
        <f t="shared" si="202"/>
        <v>1.6500000000000001E-2</v>
      </c>
      <c r="AM535" s="107">
        <f t="shared" si="202"/>
        <v>1.6500000000000001E-2</v>
      </c>
      <c r="AN535" s="107">
        <f t="shared" si="202"/>
        <v>1.6500000000000001E-2</v>
      </c>
      <c r="AO535" s="107">
        <f t="shared" si="202"/>
        <v>1.6500000000000001E-2</v>
      </c>
      <c r="AP535" s="107">
        <f t="shared" si="202"/>
        <v>1.6500000000000001E-2</v>
      </c>
      <c r="AQ535" s="107">
        <f t="shared" si="202"/>
        <v>1.6500000000000001E-2</v>
      </c>
      <c r="AR535" s="107">
        <f t="shared" si="202"/>
        <v>1.6500000000000001E-2</v>
      </c>
      <c r="AS535" s="107">
        <f t="shared" si="202"/>
        <v>1.6500000000000001E-2</v>
      </c>
      <c r="AT535" s="107">
        <f t="shared" si="202"/>
        <v>1.6500000000000001E-2</v>
      </c>
      <c r="AU535" s="107">
        <f t="shared" si="202"/>
        <v>1.6500000000000001E-2</v>
      </c>
      <c r="AV535" s="107">
        <f t="shared" si="202"/>
        <v>1.6500000000000001E-2</v>
      </c>
      <c r="AW535" s="107">
        <f t="shared" si="202"/>
        <v>1.6500000000000001E-2</v>
      </c>
      <c r="AX535" s="107">
        <f t="shared" si="202"/>
        <v>1.6500000000000001E-2</v>
      </c>
      <c r="AY535" s="107">
        <f>AY534</f>
        <v>1.6500000000000001E-2</v>
      </c>
      <c r="AZ535" s="107">
        <f>AZ534</f>
        <v>1.6500000000000001E-2</v>
      </c>
      <c r="BA535" s="107">
        <f>BA534</f>
        <v>1.6500000000000001E-2</v>
      </c>
      <c r="BB535" s="107">
        <f>BB534</f>
        <v>1.6500000000000001E-2</v>
      </c>
      <c r="BC535" s="107">
        <f t="shared" ref="BC535:BG535" si="203">BC534</f>
        <v>1.6500000000000001E-2</v>
      </c>
      <c r="BD535" s="107">
        <f t="shared" si="203"/>
        <v>1.6500000000000001E-2</v>
      </c>
      <c r="BE535" s="107">
        <f t="shared" si="203"/>
        <v>1.6500000000000001E-2</v>
      </c>
      <c r="BF535" s="107">
        <f t="shared" si="203"/>
        <v>1.6500000000000001E-2</v>
      </c>
      <c r="BG535" s="107">
        <f t="shared" si="203"/>
        <v>1.6500000000000001E-2</v>
      </c>
    </row>
    <row r="536" spans="1:59" ht="13.75" customHeight="1" outlineLevel="1">
      <c r="F536" s="168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AG536" s="116"/>
      <c r="AH536" s="116"/>
    </row>
    <row r="537" spans="1:59" ht="13.75" customHeight="1" outlineLevel="1">
      <c r="F537" s="168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AG537" s="116"/>
      <c r="AH537" s="116"/>
    </row>
    <row r="538" spans="1:59" ht="13.75" customHeight="1" outlineLevel="1">
      <c r="F538" s="168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AG538" s="116"/>
      <c r="AH538" s="116"/>
    </row>
    <row r="539" spans="1:59" ht="13.75" customHeight="1" outlineLevel="1">
      <c r="F539" s="168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AG539" s="116"/>
      <c r="AH539" s="116"/>
    </row>
    <row r="540" spans="1:59" ht="13.75" customHeight="1" outlineLevel="1">
      <c r="F540" s="168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AG540" s="116"/>
      <c r="AH540" s="116"/>
    </row>
    <row r="541" spans="1:59" ht="13.75" customHeight="1" outlineLevel="1">
      <c r="F541" s="168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AG541" s="116"/>
      <c r="AH541" s="116"/>
    </row>
    <row r="542" spans="1:59" ht="13.75" customHeight="1" outlineLevel="1">
      <c r="F542" s="168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AG542" s="116"/>
      <c r="AH542" s="116"/>
    </row>
    <row r="543" spans="1:59" ht="13.75" customHeight="1" outlineLevel="1">
      <c r="F543" s="168"/>
      <c r="I543" s="109">
        <v>100</v>
      </c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AG543" s="116"/>
      <c r="AH543" s="116"/>
    </row>
    <row r="544" spans="1:59" ht="13.75" customHeight="1" outlineLevel="1">
      <c r="F544" s="168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AG544" s="116"/>
      <c r="AH544" s="116"/>
    </row>
    <row r="545" spans="1:59" ht="13.75" customHeight="1">
      <c r="A545" s="141" t="s">
        <v>166</v>
      </c>
      <c r="B545" s="142" t="s">
        <v>530</v>
      </c>
      <c r="D545" s="142" t="s">
        <v>87</v>
      </c>
      <c r="E545" s="174">
        <v>42108</v>
      </c>
      <c r="F545" s="168" t="s">
        <v>531</v>
      </c>
      <c r="G545" s="109" t="s">
        <v>532</v>
      </c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23">
        <v>2.7E-2</v>
      </c>
      <c r="X545" s="107">
        <v>-9.9999999999999978E-2</v>
      </c>
      <c r="Y545" s="107">
        <v>-4.599999999999993E-2</v>
      </c>
      <c r="Z545" s="107">
        <v>1.2999999999999901E-2</v>
      </c>
      <c r="AA545" s="107">
        <v>2.8250000000000001E-2</v>
      </c>
      <c r="AB545" s="107">
        <v>1.8666666666666672E-2</v>
      </c>
      <c r="AC545" s="107">
        <v>-3.2000000000000008E-2</v>
      </c>
      <c r="AD545" s="107">
        <v>8.7666666666666657E-2</v>
      </c>
      <c r="AE545" s="107">
        <v>-6.008333333333335E-2</v>
      </c>
      <c r="AF545" s="107">
        <v>5.7851669572795653E-2</v>
      </c>
      <c r="AG545" s="107">
        <v>5.3373846570055859E-2</v>
      </c>
      <c r="AH545" s="107">
        <v>2.787618229433534E-2</v>
      </c>
      <c r="AI545" s="107">
        <v>1.4999999999999441E-2</v>
      </c>
      <c r="AJ545" s="107">
        <f t="shared" ref="AJ545:AX545" si="204">AJ2</f>
        <v>0.02</v>
      </c>
      <c r="AK545" s="107">
        <f t="shared" si="204"/>
        <v>0.02</v>
      </c>
      <c r="AL545" s="107">
        <f t="shared" si="204"/>
        <v>0.02</v>
      </c>
      <c r="AM545" s="107">
        <f t="shared" si="204"/>
        <v>0.02</v>
      </c>
      <c r="AN545" s="107">
        <f t="shared" si="204"/>
        <v>0.02</v>
      </c>
      <c r="AO545" s="107">
        <f t="shared" si="204"/>
        <v>0.02</v>
      </c>
      <c r="AP545" s="107">
        <f t="shared" si="204"/>
        <v>0.02</v>
      </c>
      <c r="AQ545" s="107">
        <f t="shared" si="204"/>
        <v>0.02</v>
      </c>
      <c r="AR545" s="107">
        <f t="shared" si="204"/>
        <v>0.02</v>
      </c>
      <c r="AS545" s="107">
        <f t="shared" si="204"/>
        <v>0.02</v>
      </c>
      <c r="AT545" s="107">
        <f t="shared" si="204"/>
        <v>0.02</v>
      </c>
      <c r="AU545" s="107">
        <f t="shared" si="204"/>
        <v>0.02</v>
      </c>
      <c r="AV545" s="107">
        <f t="shared" si="204"/>
        <v>0.02</v>
      </c>
      <c r="AW545" s="107">
        <f t="shared" si="204"/>
        <v>0.02</v>
      </c>
      <c r="AX545" s="107">
        <f t="shared" si="204"/>
        <v>0.02</v>
      </c>
      <c r="AY545" s="107">
        <f>AY2</f>
        <v>0.02</v>
      </c>
      <c r="AZ545" s="107">
        <f>AZ2</f>
        <v>0.02</v>
      </c>
      <c r="BA545" s="107">
        <f t="shared" ref="BA545:BG545" si="205">BA2</f>
        <v>0.02</v>
      </c>
      <c r="BB545" s="107">
        <f t="shared" si="205"/>
        <v>0.02</v>
      </c>
      <c r="BC545" s="107">
        <f t="shared" si="205"/>
        <v>0.02</v>
      </c>
      <c r="BD545" s="107">
        <f t="shared" si="205"/>
        <v>0.02</v>
      </c>
      <c r="BE545" s="107">
        <f t="shared" si="205"/>
        <v>0.02</v>
      </c>
      <c r="BF545" s="107">
        <f t="shared" si="205"/>
        <v>0.02</v>
      </c>
      <c r="BG545" s="107">
        <f t="shared" si="205"/>
        <v>0.02</v>
      </c>
    </row>
    <row r="546" spans="1:59" ht="13.75" customHeight="1">
      <c r="A546" s="141" t="s">
        <v>166</v>
      </c>
      <c r="B546" s="142" t="s">
        <v>530</v>
      </c>
      <c r="D546" s="142" t="s">
        <v>87</v>
      </c>
      <c r="E546" s="174">
        <v>42108</v>
      </c>
      <c r="F546" s="168" t="s">
        <v>533</v>
      </c>
      <c r="G546" s="109" t="s">
        <v>3</v>
      </c>
      <c r="I546" s="175" t="s">
        <v>534</v>
      </c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7">
        <v>-1.2000000000000028E-2</v>
      </c>
      <c r="X546" s="107">
        <v>-2.4000000000000056E-2</v>
      </c>
      <c r="Y546" s="107">
        <v>-4.4999999999999998E-2</v>
      </c>
      <c r="Z546" s="107">
        <v>-5.0000000000000001E-3</v>
      </c>
      <c r="AA546" s="107">
        <v>7.9999999999998291E-4</v>
      </c>
      <c r="AB546" s="107">
        <v>9.0250000000000347E-3</v>
      </c>
      <c r="AC546" s="107">
        <v>-2.7749999999999986E-2</v>
      </c>
      <c r="AD546" s="107">
        <v>3.7814280447421314E-2</v>
      </c>
      <c r="AE546" s="107">
        <f t="shared" ref="AE546:BG546" si="206">AE9</f>
        <v>-9.4520199691621159E-3</v>
      </c>
      <c r="AF546" s="107">
        <f t="shared" si="206"/>
        <v>4.4452944161055614E-2</v>
      </c>
      <c r="AG546" s="107">
        <f t="shared" si="206"/>
        <v>2.3433408699334812E-2</v>
      </c>
      <c r="AH546" s="107">
        <f t="shared" si="206"/>
        <v>1.7514334392040865E-2</v>
      </c>
      <c r="AI546" s="107">
        <f t="shared" si="206"/>
        <v>1.2255913486399608E-2</v>
      </c>
      <c r="AJ546" s="107">
        <f t="shared" si="206"/>
        <v>1.2255913486399608E-2</v>
      </c>
      <c r="AK546" s="107">
        <f t="shared" si="206"/>
        <v>1.2255913486399608E-2</v>
      </c>
      <c r="AL546" s="107">
        <f t="shared" si="206"/>
        <v>1.2255913486399608E-2</v>
      </c>
      <c r="AM546" s="107">
        <f t="shared" si="206"/>
        <v>1.2255913486399608E-2</v>
      </c>
      <c r="AN546" s="107">
        <f t="shared" si="206"/>
        <v>1.2255913486399608E-2</v>
      </c>
      <c r="AO546" s="107">
        <f t="shared" si="206"/>
        <v>1.2255913486399608E-2</v>
      </c>
      <c r="AP546" s="107">
        <f t="shared" si="206"/>
        <v>1.2255913486399608E-2</v>
      </c>
      <c r="AQ546" s="107">
        <f t="shared" si="206"/>
        <v>1.2255913486399608E-2</v>
      </c>
      <c r="AR546" s="107">
        <f t="shared" si="206"/>
        <v>1.2255913486399608E-2</v>
      </c>
      <c r="AS546" s="107">
        <f t="shared" si="206"/>
        <v>1.2255913486399608E-2</v>
      </c>
      <c r="AT546" s="107">
        <f t="shared" si="206"/>
        <v>1.2255913486399608E-2</v>
      </c>
      <c r="AU546" s="107">
        <f t="shared" si="206"/>
        <v>1.2255913486399608E-2</v>
      </c>
      <c r="AV546" s="107">
        <f t="shared" si="206"/>
        <v>1.2255913486399608E-2</v>
      </c>
      <c r="AW546" s="107">
        <f t="shared" si="206"/>
        <v>1.2255913486399608E-2</v>
      </c>
      <c r="AX546" s="107">
        <f t="shared" si="206"/>
        <v>1.2255913486399608E-2</v>
      </c>
      <c r="AY546" s="107">
        <f t="shared" si="206"/>
        <v>1.2255913486399608E-2</v>
      </c>
      <c r="AZ546" s="107">
        <f t="shared" si="206"/>
        <v>1.2255913486399608E-2</v>
      </c>
      <c r="BA546" s="107">
        <f t="shared" si="206"/>
        <v>1.2255913486399608E-2</v>
      </c>
      <c r="BB546" s="107">
        <f t="shared" si="206"/>
        <v>1.2255913486399608E-2</v>
      </c>
      <c r="BC546" s="107">
        <f t="shared" si="206"/>
        <v>1.2255913486399608E-2</v>
      </c>
      <c r="BD546" s="107">
        <f t="shared" si="206"/>
        <v>1.2255913486399608E-2</v>
      </c>
      <c r="BE546" s="107">
        <f t="shared" si="206"/>
        <v>1.2255913486399608E-2</v>
      </c>
      <c r="BF546" s="107">
        <f t="shared" si="206"/>
        <v>1.2255913486399608E-2</v>
      </c>
      <c r="BG546" s="107">
        <f t="shared" si="206"/>
        <v>1.2255913486399608E-2</v>
      </c>
    </row>
    <row r="547" spans="1:59" ht="13.75" customHeight="1">
      <c r="A547" s="141" t="s">
        <v>166</v>
      </c>
      <c r="B547" s="142" t="s">
        <v>530</v>
      </c>
      <c r="D547" s="142" t="s">
        <v>87</v>
      </c>
      <c r="E547" s="174">
        <v>42108</v>
      </c>
      <c r="F547" s="168" t="s">
        <v>535</v>
      </c>
      <c r="G547" s="109" t="s">
        <v>3</v>
      </c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23">
        <v>1.6E-2</v>
      </c>
      <c r="X547" s="107">
        <v>-6.0000000000000001E-3</v>
      </c>
      <c r="Y547" s="107">
        <v>1.325E-2</v>
      </c>
      <c r="Z547" s="107">
        <v>2.1000000000000001E-2</v>
      </c>
      <c r="AA547" s="107">
        <v>3.5083333333333334E-2</v>
      </c>
      <c r="AB547" s="107">
        <v>3.3916666666666678E-2</v>
      </c>
      <c r="AC547" s="107">
        <v>-2.0666666666666677E-2</v>
      </c>
      <c r="AD547" s="107">
        <v>6.5964206019097388E-2</v>
      </c>
      <c r="AE547" s="107">
        <v>6.9677409349179235E-3</v>
      </c>
      <c r="AF547" s="107">
        <v>3.500739907380887E-2</v>
      </c>
      <c r="AG547" s="107">
        <v>3.5316879499625364E-2</v>
      </c>
      <c r="AH547" s="107">
        <v>2.2208731823438035E-2</v>
      </c>
      <c r="AI547" s="107">
        <v>1.6662040409842999E-2</v>
      </c>
      <c r="AJ547" s="107">
        <f t="shared" ref="AJ547:BG547" si="207">AJ$2</f>
        <v>0.02</v>
      </c>
      <c r="AK547" s="107">
        <f t="shared" si="207"/>
        <v>0.02</v>
      </c>
      <c r="AL547" s="107">
        <f t="shared" si="207"/>
        <v>0.02</v>
      </c>
      <c r="AM547" s="107">
        <f t="shared" si="207"/>
        <v>0.02</v>
      </c>
      <c r="AN547" s="107">
        <f t="shared" si="207"/>
        <v>0.02</v>
      </c>
      <c r="AO547" s="107">
        <f t="shared" si="207"/>
        <v>0.02</v>
      </c>
      <c r="AP547" s="107">
        <f t="shared" si="207"/>
        <v>0.02</v>
      </c>
      <c r="AQ547" s="107">
        <f t="shared" si="207"/>
        <v>0.02</v>
      </c>
      <c r="AR547" s="107">
        <f t="shared" si="207"/>
        <v>0.02</v>
      </c>
      <c r="AS547" s="107">
        <f t="shared" si="207"/>
        <v>0.02</v>
      </c>
      <c r="AT547" s="107">
        <f t="shared" si="207"/>
        <v>0.02</v>
      </c>
      <c r="AU547" s="107">
        <f t="shared" si="207"/>
        <v>0.02</v>
      </c>
      <c r="AV547" s="107">
        <f t="shared" si="207"/>
        <v>0.02</v>
      </c>
      <c r="AW547" s="107">
        <f t="shared" si="207"/>
        <v>0.02</v>
      </c>
      <c r="AX547" s="107">
        <f t="shared" si="207"/>
        <v>0.02</v>
      </c>
      <c r="AY547" s="107">
        <f t="shared" si="207"/>
        <v>0.02</v>
      </c>
      <c r="AZ547" s="107">
        <f t="shared" si="207"/>
        <v>0.02</v>
      </c>
      <c r="BA547" s="107">
        <f t="shared" si="207"/>
        <v>0.02</v>
      </c>
      <c r="BB547" s="107">
        <f t="shared" si="207"/>
        <v>0.02</v>
      </c>
      <c r="BC547" s="107">
        <f t="shared" si="207"/>
        <v>0.02</v>
      </c>
      <c r="BD547" s="107">
        <f t="shared" si="207"/>
        <v>0.02</v>
      </c>
      <c r="BE547" s="107">
        <f t="shared" si="207"/>
        <v>0.02</v>
      </c>
      <c r="BF547" s="107">
        <f t="shared" si="207"/>
        <v>0.02</v>
      </c>
      <c r="BG547" s="107">
        <f t="shared" si="207"/>
        <v>0.02</v>
      </c>
    </row>
    <row r="548" spans="1:59" ht="13.75" customHeight="1">
      <c r="A548" s="141" t="s">
        <v>166</v>
      </c>
      <c r="B548" s="142" t="s">
        <v>530</v>
      </c>
      <c r="D548" s="142" t="s">
        <v>87</v>
      </c>
      <c r="E548" s="174">
        <v>42108</v>
      </c>
      <c r="F548" s="168" t="s">
        <v>536</v>
      </c>
      <c r="G548" s="109" t="s">
        <v>3</v>
      </c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23">
        <v>5.1999999999999998E-2</v>
      </c>
      <c r="X548" s="107">
        <v>5.6000000000000008E-2</v>
      </c>
      <c r="Y548" s="107">
        <v>5.525E-2</v>
      </c>
      <c r="Z548" s="107">
        <v>5.1999999999999998E-2</v>
      </c>
      <c r="AA548" s="107">
        <v>4.7963292941278955E-2</v>
      </c>
      <c r="AB548" s="107">
        <v>4.5902612031517458E-2</v>
      </c>
      <c r="AC548" s="107">
        <v>5.7743860180995581E-2</v>
      </c>
      <c r="AD548" s="107">
        <v>4.8178062363303908E-2</v>
      </c>
      <c r="AE548" s="107">
        <v>3.9411367738333335E-2</v>
      </c>
      <c r="AF548" s="107">
        <v>3.2238222596666671E-2</v>
      </c>
      <c r="AG548" s="107">
        <v>3.1E-2</v>
      </c>
      <c r="AH548" s="107">
        <v>3.1E-2</v>
      </c>
      <c r="AI548" s="107">
        <v>3.1E-2</v>
      </c>
      <c r="AJ548" s="107">
        <f t="shared" ref="AJ548:AX548" si="208">AI548</f>
        <v>3.1E-2</v>
      </c>
      <c r="AK548" s="107">
        <f t="shared" si="208"/>
        <v>3.1E-2</v>
      </c>
      <c r="AL548" s="107">
        <f t="shared" si="208"/>
        <v>3.1E-2</v>
      </c>
      <c r="AM548" s="107">
        <f t="shared" si="208"/>
        <v>3.1E-2</v>
      </c>
      <c r="AN548" s="107">
        <f t="shared" si="208"/>
        <v>3.1E-2</v>
      </c>
      <c r="AO548" s="107">
        <f t="shared" si="208"/>
        <v>3.1E-2</v>
      </c>
      <c r="AP548" s="107">
        <f t="shared" si="208"/>
        <v>3.1E-2</v>
      </c>
      <c r="AQ548" s="107">
        <f t="shared" si="208"/>
        <v>3.1E-2</v>
      </c>
      <c r="AR548" s="107">
        <f t="shared" si="208"/>
        <v>3.1E-2</v>
      </c>
      <c r="AS548" s="107">
        <f t="shared" si="208"/>
        <v>3.1E-2</v>
      </c>
      <c r="AT548" s="107">
        <f t="shared" si="208"/>
        <v>3.1E-2</v>
      </c>
      <c r="AU548" s="107">
        <f t="shared" si="208"/>
        <v>3.1E-2</v>
      </c>
      <c r="AV548" s="107">
        <f t="shared" si="208"/>
        <v>3.1E-2</v>
      </c>
      <c r="AW548" s="107">
        <f t="shared" si="208"/>
        <v>3.1E-2</v>
      </c>
      <c r="AX548" s="107">
        <f t="shared" si="208"/>
        <v>3.1E-2</v>
      </c>
      <c r="AY548" s="107">
        <f>AX548</f>
        <v>3.1E-2</v>
      </c>
      <c r="AZ548" s="107">
        <f>AY548</f>
        <v>3.1E-2</v>
      </c>
      <c r="BA548" s="107">
        <f>AZ548</f>
        <v>3.1E-2</v>
      </c>
      <c r="BB548" s="107">
        <f>BA548</f>
        <v>3.1E-2</v>
      </c>
      <c r="BC548" s="107">
        <f t="shared" ref="BC548:BG548" si="209">BB548</f>
        <v>3.1E-2</v>
      </c>
      <c r="BD548" s="107">
        <f t="shared" si="209"/>
        <v>3.1E-2</v>
      </c>
      <c r="BE548" s="107">
        <f t="shared" si="209"/>
        <v>3.1E-2</v>
      </c>
      <c r="BF548" s="107">
        <f t="shared" si="209"/>
        <v>3.1E-2</v>
      </c>
      <c r="BG548" s="107">
        <f t="shared" si="209"/>
        <v>3.1E-2</v>
      </c>
    </row>
    <row r="549" spans="1:59" ht="13.75" customHeight="1">
      <c r="A549" s="141" t="s">
        <v>166</v>
      </c>
      <c r="B549" s="142" t="s">
        <v>530</v>
      </c>
      <c r="C549" s="170" t="s">
        <v>537</v>
      </c>
      <c r="D549" s="170" t="s">
        <v>168</v>
      </c>
      <c r="E549" s="174">
        <v>42170</v>
      </c>
      <c r="F549" s="168" t="s">
        <v>538</v>
      </c>
      <c r="G549" s="109" t="s">
        <v>539</v>
      </c>
      <c r="I549" s="109" t="s">
        <v>540</v>
      </c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28">
        <v>21251</v>
      </c>
      <c r="W549" s="128">
        <v>24096</v>
      </c>
      <c r="X549" s="128">
        <v>18657</v>
      </c>
      <c r="Y549" s="128">
        <v>34602</v>
      </c>
      <c r="Z549" s="128">
        <v>51298</v>
      </c>
      <c r="AA549" s="128">
        <v>77855</v>
      </c>
      <c r="AB549" s="128">
        <v>74937</v>
      </c>
      <c r="AC549" s="128">
        <v>79216.4677379481</v>
      </c>
      <c r="AD549" s="128">
        <v>102593.93310830084</v>
      </c>
      <c r="AE549" s="128">
        <v>86963.829162308641</v>
      </c>
      <c r="AF549" s="128">
        <v>106257.06676976765</v>
      </c>
      <c r="AG549" s="128">
        <v>96346.052990423719</v>
      </c>
      <c r="AH549" s="128">
        <v>99773.081994206092</v>
      </c>
      <c r="AI549" s="128">
        <v>102467.54965949427</v>
      </c>
      <c r="AJ549" s="128">
        <v>105084.41168084806</v>
      </c>
      <c r="AK549" s="128">
        <v>107650.67929520417</v>
      </c>
      <c r="AL549" s="128">
        <v>110171.14306180493</v>
      </c>
      <c r="AM549" s="128">
        <v>112643.8387666598</v>
      </c>
      <c r="AN549" s="128">
        <v>115066.9973519755</v>
      </c>
      <c r="AO549" s="128">
        <v>117439.04570670669</v>
      </c>
      <c r="AP549" s="128">
        <v>119758.60601910303</v>
      </c>
      <c r="AQ549" s="128">
        <v>122024.49377891293</v>
      </c>
      <c r="AR549" s="128">
        <v>124235.71452886084</v>
      </c>
      <c r="AS549" s="128">
        <v>126391.45947440671</v>
      </c>
      <c r="AT549" s="128">
        <v>128491.1000676523</v>
      </c>
      <c r="AU549" s="128">
        <v>130534.18168565839</v>
      </c>
      <c r="AV549" s="128">
        <v>132520.41652552187</v>
      </c>
      <c r="AW549" s="128">
        <v>134449.67583850649</v>
      </c>
      <c r="AX549" s="128">
        <v>136321.98162354541</v>
      </c>
      <c r="AY549" s="128">
        <v>138137.49789675948</v>
      </c>
      <c r="AZ549" s="128">
        <v>139977.19295096726</v>
      </c>
      <c r="BA549" s="128">
        <v>141841.38879564838</v>
      </c>
      <c r="BB549" s="128">
        <v>143730.4117287577</v>
      </c>
      <c r="BC549" s="128">
        <f t="shared" ref="BC549:BG599" si="210">BB549*(1+((BB549-BA549)/BA549))</f>
        <v>145644.59239383871</v>
      </c>
      <c r="BD549" s="128">
        <f t="shared" si="210"/>
        <v>147584.26583789737</v>
      </c>
      <c r="BE549" s="128">
        <f t="shared" si="210"/>
        <v>149549.77157004687</v>
      </c>
      <c r="BF549" s="128">
        <f t="shared" si="210"/>
        <v>151541.45362093317</v>
      </c>
      <c r="BG549" s="128">
        <f t="shared" si="210"/>
        <v>153559.6606029523</v>
      </c>
    </row>
    <row r="550" spans="1:59" ht="13.75" customHeight="1">
      <c r="A550" s="141" t="s">
        <v>166</v>
      </c>
      <c r="B550" s="142" t="s">
        <v>530</v>
      </c>
      <c r="C550" s="170" t="s">
        <v>537</v>
      </c>
      <c r="D550" s="170" t="s">
        <v>377</v>
      </c>
      <c r="E550" s="174">
        <v>42170</v>
      </c>
      <c r="F550" s="168" t="s">
        <v>541</v>
      </c>
      <c r="G550" s="109" t="s">
        <v>3</v>
      </c>
      <c r="I550" s="109" t="s">
        <v>542</v>
      </c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X550" s="107">
        <v>-0.1</v>
      </c>
      <c r="Y550" s="107">
        <v>-0.05</v>
      </c>
      <c r="Z550" s="107">
        <v>-1.2027357856432386E-2</v>
      </c>
      <c r="AA550" s="107">
        <v>5.8743262987340561E-2</v>
      </c>
      <c r="AB550" s="107">
        <v>0.16248794340150852</v>
      </c>
      <c r="AC550" s="107">
        <v>0.22457006049217587</v>
      </c>
      <c r="AD550" s="107">
        <v>0.26220347263749333</v>
      </c>
      <c r="AE550" s="107">
        <v>6.9578874458237072E-2</v>
      </c>
      <c r="AF550" s="107">
        <v>2.4543335073936579E-3</v>
      </c>
      <c r="AG550" s="107">
        <v>2.9139150027380989E-2</v>
      </c>
      <c r="AH550" s="107">
        <v>4.6571729994907107E-2</v>
      </c>
      <c r="AI550" s="107">
        <v>3.4048367860024076E-2</v>
      </c>
      <c r="AJ550" s="107">
        <v>3.4403104344531421E-2</v>
      </c>
      <c r="AK550" s="107">
        <v>3.4996869051125312E-2</v>
      </c>
      <c r="AL550" s="107">
        <v>3.5580457790483022E-2</v>
      </c>
      <c r="AM550" s="107">
        <v>3.6153392846433485E-2</v>
      </c>
      <c r="AN550" s="107">
        <v>3.6715240887982059E-2</v>
      </c>
      <c r="AO550" s="107">
        <v>3.7265613367819084E-2</v>
      </c>
      <c r="AP550" s="107">
        <v>3.7804166580503562E-2</v>
      </c>
      <c r="AQ550" s="107">
        <v>3.8330601398365083E-2</v>
      </c>
      <c r="AR550" s="107">
        <v>3.8844662706271738E-2</v>
      </c>
      <c r="AS550" s="107">
        <v>3.9346138558942423E-2</v>
      </c>
      <c r="AT550" s="107">
        <v>3.9834859086412822E-2</v>
      </c>
      <c r="AU550" s="107">
        <v>4.0310695174619271E-2</v>
      </c>
      <c r="AV550" s="107">
        <v>4.0773556948888734E-2</v>
      </c>
      <c r="AW550" s="107">
        <v>4.1223392088399757E-2</v>
      </c>
      <c r="AX550" s="107">
        <v>4.1660183999501221E-2</v>
      </c>
      <c r="AY550" s="107">
        <v>4.2083949875180604E-2</v>
      </c>
      <c r="AZ550" s="107">
        <v>4.2083949875180604E-2</v>
      </c>
      <c r="BA550" s="107">
        <v>4.2083949875180604E-2</v>
      </c>
      <c r="BB550" s="107">
        <v>4.2083949875180604E-2</v>
      </c>
      <c r="BC550" s="107">
        <f t="shared" si="210"/>
        <v>4.2083949875180604E-2</v>
      </c>
      <c r="BD550" s="107">
        <f t="shared" si="210"/>
        <v>4.2083949875180604E-2</v>
      </c>
      <c r="BE550" s="107">
        <f t="shared" si="210"/>
        <v>4.2083949875180604E-2</v>
      </c>
      <c r="BF550" s="107">
        <f t="shared" si="210"/>
        <v>4.2083949875180604E-2</v>
      </c>
      <c r="BG550" s="107">
        <f t="shared" si="210"/>
        <v>4.2083949875180604E-2</v>
      </c>
    </row>
    <row r="551" spans="1:59" ht="13.75" customHeight="1">
      <c r="A551" s="141" t="s">
        <v>166</v>
      </c>
      <c r="B551" s="142" t="s">
        <v>530</v>
      </c>
      <c r="C551" s="170" t="s">
        <v>543</v>
      </c>
      <c r="D551" s="142" t="s">
        <v>168</v>
      </c>
      <c r="F551" s="168" t="s">
        <v>544</v>
      </c>
      <c r="G551" s="109" t="s">
        <v>3</v>
      </c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AG551" s="116"/>
      <c r="AH551" s="116"/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  <c r="AU551" s="116"/>
      <c r="AV551" s="116"/>
      <c r="AW551" s="116"/>
      <c r="AX551" s="116"/>
      <c r="AY551" s="116"/>
      <c r="AZ551" s="116"/>
      <c r="BA551" s="116"/>
      <c r="BB551" s="116"/>
      <c r="BC551" s="116"/>
      <c r="BD551" s="116"/>
      <c r="BE551" s="116"/>
      <c r="BF551" s="116"/>
      <c r="BG551" s="116"/>
    </row>
    <row r="552" spans="1:59" ht="13.75" customHeight="1">
      <c r="A552" s="141" t="s">
        <v>166</v>
      </c>
      <c r="B552" s="142" t="s">
        <v>530</v>
      </c>
      <c r="C552" s="170" t="s">
        <v>543</v>
      </c>
      <c r="D552" s="142" t="s">
        <v>377</v>
      </c>
      <c r="F552" s="168" t="s">
        <v>545</v>
      </c>
      <c r="G552" s="109" t="s">
        <v>3</v>
      </c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X552" s="110"/>
      <c r="Y552" s="110"/>
      <c r="Z552" s="110">
        <v>0.09</v>
      </c>
      <c r="AA552" s="110">
        <v>0.09</v>
      </c>
      <c r="AB552" s="110">
        <v>0.09</v>
      </c>
      <c r="AC552" s="110">
        <v>0.09</v>
      </c>
      <c r="AD552" s="110">
        <v>0.09</v>
      </c>
      <c r="AE552" s="110">
        <v>9.2499999999999999E-2</v>
      </c>
      <c r="AF552" s="110">
        <v>9.0000000000000011E-2</v>
      </c>
      <c r="AG552" s="110">
        <v>0.08</v>
      </c>
      <c r="AH552" s="110">
        <v>7.5000000000000011E-2</v>
      </c>
      <c r="AI552" s="110">
        <v>7.5000000000000011E-2</v>
      </c>
      <c r="AJ552" s="110">
        <v>7.5000000000000011E-2</v>
      </c>
      <c r="AK552" s="110">
        <v>7.5000000000000011E-2</v>
      </c>
      <c r="AL552" s="110">
        <v>7.5000000000000011E-2</v>
      </c>
      <c r="AM552" s="110">
        <v>7.5000000000000011E-2</v>
      </c>
      <c r="AN552" s="110">
        <v>7.5000000000000011E-2</v>
      </c>
      <c r="AO552" s="110">
        <v>7.5000000000000011E-2</v>
      </c>
      <c r="AP552" s="110">
        <v>7.5000000000000011E-2</v>
      </c>
      <c r="AQ552" s="110">
        <v>7.5000000000000011E-2</v>
      </c>
      <c r="AR552" s="110">
        <v>7.5000000000000011E-2</v>
      </c>
      <c r="AS552" s="110">
        <v>7.5000000000000011E-2</v>
      </c>
      <c r="AT552" s="110">
        <v>7.5000000000000011E-2</v>
      </c>
      <c r="AU552" s="110">
        <v>7.5000000000000011E-2</v>
      </c>
      <c r="AV552" s="110">
        <v>7.5000000000000011E-2</v>
      </c>
      <c r="AW552" s="110">
        <v>7.5000000000000011E-2</v>
      </c>
      <c r="AX552" s="110">
        <v>7.5000000000000011E-2</v>
      </c>
      <c r="AY552" s="110">
        <v>7.5000000000000011E-2</v>
      </c>
      <c r="AZ552" s="110">
        <v>7.5000000000000011E-2</v>
      </c>
      <c r="BA552" s="110">
        <v>7.5000000000000011E-2</v>
      </c>
      <c r="BB552" s="110">
        <v>7.5000000000000011E-2</v>
      </c>
      <c r="BC552" s="110">
        <f t="shared" si="210"/>
        <v>7.5000000000000011E-2</v>
      </c>
      <c r="BD552" s="110">
        <f t="shared" si="210"/>
        <v>7.5000000000000011E-2</v>
      </c>
      <c r="BE552" s="110">
        <f t="shared" si="210"/>
        <v>7.5000000000000011E-2</v>
      </c>
      <c r="BF552" s="110">
        <f t="shared" si="210"/>
        <v>7.5000000000000011E-2</v>
      </c>
      <c r="BG552" s="110">
        <f t="shared" si="210"/>
        <v>7.5000000000000011E-2</v>
      </c>
    </row>
    <row r="553" spans="1:59" ht="13.75" customHeight="1">
      <c r="A553" s="141" t="s">
        <v>166</v>
      </c>
      <c r="B553" s="142" t="s">
        <v>530</v>
      </c>
      <c r="C553" s="170" t="s">
        <v>543</v>
      </c>
      <c r="D553" s="142" t="s">
        <v>377</v>
      </c>
      <c r="F553" s="168" t="s">
        <v>546</v>
      </c>
      <c r="G553" s="109" t="s">
        <v>3</v>
      </c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X553" s="110"/>
      <c r="Y553" s="110"/>
      <c r="Z553" s="110">
        <v>0.12</v>
      </c>
      <c r="AA553" s="110">
        <v>0.12</v>
      </c>
      <c r="AB553" s="110">
        <v>0.10249999999999999</v>
      </c>
      <c r="AC553" s="110">
        <v>0.1075</v>
      </c>
      <c r="AD553" s="110">
        <v>0.1075</v>
      </c>
      <c r="AE553" s="110">
        <v>0.10750000000000001</v>
      </c>
      <c r="AF553" s="110">
        <v>0.10750000000000001</v>
      </c>
      <c r="AG553" s="110">
        <v>9.7500000000000003E-2</v>
      </c>
      <c r="AH553" s="110">
        <v>9.2499999999999999E-2</v>
      </c>
      <c r="AI553" s="110">
        <v>9.2499999999999999E-2</v>
      </c>
      <c r="AJ553" s="110">
        <v>9.2499999999999999E-2</v>
      </c>
      <c r="AK553" s="110">
        <v>9.2499999999999999E-2</v>
      </c>
      <c r="AL553" s="110">
        <v>9.2499999999999999E-2</v>
      </c>
      <c r="AM553" s="110">
        <v>9.2499999999999999E-2</v>
      </c>
      <c r="AN553" s="110">
        <v>9.2499999999999999E-2</v>
      </c>
      <c r="AO553" s="110">
        <v>9.2499999999999999E-2</v>
      </c>
      <c r="AP553" s="110">
        <v>9.2499999999999999E-2</v>
      </c>
      <c r="AQ553" s="110">
        <v>9.2499999999999999E-2</v>
      </c>
      <c r="AR553" s="110">
        <v>9.2499999999999999E-2</v>
      </c>
      <c r="AS553" s="110">
        <v>9.2499999999999999E-2</v>
      </c>
      <c r="AT553" s="110">
        <v>9.2499999999999999E-2</v>
      </c>
      <c r="AU553" s="110">
        <v>9.2499999999999999E-2</v>
      </c>
      <c r="AV553" s="110">
        <v>9.2499999999999999E-2</v>
      </c>
      <c r="AW553" s="110">
        <v>9.2499999999999999E-2</v>
      </c>
      <c r="AX553" s="110">
        <v>9.2499999999999999E-2</v>
      </c>
      <c r="AY553" s="110">
        <v>9.2499999999999999E-2</v>
      </c>
      <c r="AZ553" s="110">
        <v>9.2499999999999999E-2</v>
      </c>
      <c r="BA553" s="110">
        <v>9.2499999999999999E-2</v>
      </c>
      <c r="BB553" s="110">
        <v>9.2499999999999999E-2</v>
      </c>
      <c r="BC553" s="110">
        <f t="shared" si="210"/>
        <v>9.2499999999999999E-2</v>
      </c>
      <c r="BD553" s="110">
        <f t="shared" si="210"/>
        <v>9.2499999999999999E-2</v>
      </c>
      <c r="BE553" s="110">
        <f t="shared" si="210"/>
        <v>9.2499999999999999E-2</v>
      </c>
      <c r="BF553" s="110">
        <f t="shared" si="210"/>
        <v>9.2499999999999999E-2</v>
      </c>
      <c r="BG553" s="110">
        <f t="shared" si="210"/>
        <v>9.2499999999999999E-2</v>
      </c>
    </row>
    <row r="554" spans="1:59" ht="13.75" customHeight="1">
      <c r="A554" s="141" t="s">
        <v>166</v>
      </c>
      <c r="B554" s="142" t="s">
        <v>530</v>
      </c>
      <c r="C554" s="142" t="s">
        <v>547</v>
      </c>
      <c r="D554" s="142" t="s">
        <v>377</v>
      </c>
      <c r="F554" s="168" t="s">
        <v>548</v>
      </c>
      <c r="G554" s="142" t="s">
        <v>3</v>
      </c>
      <c r="H554" s="142"/>
      <c r="I554" s="142" t="s">
        <v>549</v>
      </c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X554" s="110"/>
      <c r="Y554" s="110"/>
      <c r="Z554" s="110">
        <v>9.5000000000000001E-2</v>
      </c>
      <c r="AA554" s="110">
        <v>9.5000000000000001E-2</v>
      </c>
      <c r="AB554" s="110">
        <v>0.09</v>
      </c>
      <c r="AC554" s="110">
        <v>8.7499999999999994E-2</v>
      </c>
      <c r="AD554" s="110">
        <v>8.7499999999999994E-2</v>
      </c>
      <c r="AE554" s="110">
        <v>9.5000000000000001E-2</v>
      </c>
      <c r="AF554" s="110">
        <v>9.5000000000000001E-2</v>
      </c>
      <c r="AG554" s="110">
        <v>8.4999999999999992E-2</v>
      </c>
      <c r="AH554" s="110">
        <v>0.08</v>
      </c>
      <c r="AI554" s="110">
        <v>0.08</v>
      </c>
      <c r="AJ554" s="110">
        <v>0.08</v>
      </c>
      <c r="AK554" s="110">
        <v>0.08</v>
      </c>
      <c r="AL554" s="110">
        <v>0.08</v>
      </c>
      <c r="AM554" s="110">
        <v>0.08</v>
      </c>
      <c r="AN554" s="110">
        <v>0.08</v>
      </c>
      <c r="AO554" s="110">
        <v>0.08</v>
      </c>
      <c r="AP554" s="110">
        <v>0.08</v>
      </c>
      <c r="AQ554" s="110">
        <v>0.08</v>
      </c>
      <c r="AR554" s="110">
        <v>0.08</v>
      </c>
      <c r="AS554" s="110">
        <v>0.08</v>
      </c>
      <c r="AT554" s="110">
        <v>0.08</v>
      </c>
      <c r="AU554" s="110">
        <v>0.08</v>
      </c>
      <c r="AV554" s="110">
        <v>0.08</v>
      </c>
      <c r="AW554" s="110">
        <v>0.08</v>
      </c>
      <c r="AX554" s="110">
        <v>0.08</v>
      </c>
      <c r="AY554" s="110">
        <v>0.08</v>
      </c>
      <c r="AZ554" s="110">
        <v>0.08</v>
      </c>
      <c r="BA554" s="110">
        <v>0.08</v>
      </c>
      <c r="BB554" s="110">
        <v>0.08</v>
      </c>
      <c r="BC554" s="110">
        <f t="shared" si="210"/>
        <v>0.08</v>
      </c>
      <c r="BD554" s="110">
        <f t="shared" si="210"/>
        <v>0.08</v>
      </c>
      <c r="BE554" s="110">
        <f t="shared" si="210"/>
        <v>0.08</v>
      </c>
      <c r="BF554" s="110">
        <f t="shared" si="210"/>
        <v>0.08</v>
      </c>
      <c r="BG554" s="110">
        <f t="shared" si="210"/>
        <v>0.08</v>
      </c>
    </row>
    <row r="555" spans="1:59" ht="13.75" customHeight="1">
      <c r="A555" s="141" t="s">
        <v>166</v>
      </c>
      <c r="B555" s="142" t="s">
        <v>530</v>
      </c>
      <c r="C555" s="142" t="s">
        <v>547</v>
      </c>
      <c r="D555" s="142" t="s">
        <v>377</v>
      </c>
      <c r="F555" s="168" t="s">
        <v>550</v>
      </c>
      <c r="G555" s="142" t="s">
        <v>3</v>
      </c>
      <c r="H555" s="142"/>
      <c r="I555" s="142" t="s">
        <v>549</v>
      </c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X555" s="110"/>
      <c r="Y555" s="110"/>
      <c r="Z555" s="110">
        <v>0.11749999999999999</v>
      </c>
      <c r="AA555" s="110">
        <v>0.11749999999999999</v>
      </c>
      <c r="AB555" s="110">
        <v>0.115</v>
      </c>
      <c r="AC555" s="110">
        <v>0.1125</v>
      </c>
      <c r="AD555" s="110">
        <v>0.1125</v>
      </c>
      <c r="AE555" s="110">
        <v>0.11750000000000001</v>
      </c>
      <c r="AF555" s="110">
        <v>0.11750000000000001</v>
      </c>
      <c r="AG555" s="110">
        <v>0.1075</v>
      </c>
      <c r="AH555" s="110">
        <v>0.10250000000000001</v>
      </c>
      <c r="AI555" s="110">
        <v>0.10250000000000001</v>
      </c>
      <c r="AJ555" s="110">
        <v>0.10250000000000001</v>
      </c>
      <c r="AK555" s="110">
        <v>0.10250000000000001</v>
      </c>
      <c r="AL555" s="110">
        <v>0.10250000000000001</v>
      </c>
      <c r="AM555" s="110">
        <v>0.10250000000000001</v>
      </c>
      <c r="AN555" s="110">
        <v>0.10250000000000001</v>
      </c>
      <c r="AO555" s="110">
        <v>0.10250000000000001</v>
      </c>
      <c r="AP555" s="110">
        <v>0.10250000000000001</v>
      </c>
      <c r="AQ555" s="110">
        <v>0.10250000000000001</v>
      </c>
      <c r="AR555" s="110">
        <v>0.10250000000000001</v>
      </c>
      <c r="AS555" s="110">
        <v>0.10250000000000001</v>
      </c>
      <c r="AT555" s="110">
        <v>0.10250000000000001</v>
      </c>
      <c r="AU555" s="110">
        <v>0.10250000000000001</v>
      </c>
      <c r="AV555" s="110">
        <v>0.10250000000000001</v>
      </c>
      <c r="AW555" s="110">
        <v>0.10250000000000001</v>
      </c>
      <c r="AX555" s="110">
        <v>0.10250000000000001</v>
      </c>
      <c r="AY555" s="110">
        <v>0.10250000000000001</v>
      </c>
      <c r="AZ555" s="110">
        <v>0.10250000000000001</v>
      </c>
      <c r="BA555" s="110">
        <v>0.10250000000000001</v>
      </c>
      <c r="BB555" s="110">
        <v>0.10250000000000001</v>
      </c>
      <c r="BC555" s="110">
        <f t="shared" si="210"/>
        <v>0.10250000000000001</v>
      </c>
      <c r="BD555" s="110">
        <f t="shared" si="210"/>
        <v>0.10250000000000001</v>
      </c>
      <c r="BE555" s="110">
        <f t="shared" si="210"/>
        <v>0.10250000000000001</v>
      </c>
      <c r="BF555" s="110">
        <f t="shared" si="210"/>
        <v>0.10250000000000001</v>
      </c>
      <c r="BG555" s="110">
        <f t="shared" si="210"/>
        <v>0.10250000000000001</v>
      </c>
    </row>
    <row r="556" spans="1:59" ht="13.75" customHeight="1">
      <c r="A556" s="141" t="s">
        <v>166</v>
      </c>
      <c r="B556" s="142" t="s">
        <v>530</v>
      </c>
      <c r="C556" s="142" t="s">
        <v>551</v>
      </c>
      <c r="D556" s="142" t="s">
        <v>377</v>
      </c>
      <c r="F556" s="168" t="s">
        <v>552</v>
      </c>
      <c r="G556" s="142" t="s">
        <v>3</v>
      </c>
      <c r="H556" s="142"/>
      <c r="I556" s="142" t="s">
        <v>549</v>
      </c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X556" s="110"/>
      <c r="Y556" s="110"/>
      <c r="Z556" s="110">
        <v>0.11499999999999999</v>
      </c>
      <c r="AA556" s="110">
        <v>0.11499999999999999</v>
      </c>
      <c r="AB556" s="110">
        <v>0.11</v>
      </c>
      <c r="AC556" s="110">
        <v>0.105</v>
      </c>
      <c r="AD556" s="110">
        <v>0.10249999999999999</v>
      </c>
      <c r="AE556" s="110">
        <v>0.1075</v>
      </c>
      <c r="AF556" s="110">
        <v>0.1075</v>
      </c>
      <c r="AG556" s="110">
        <v>9.9999999999999992E-2</v>
      </c>
      <c r="AH556" s="110">
        <v>9.5000000000000001E-2</v>
      </c>
      <c r="AI556" s="110">
        <v>9.5000000000000001E-2</v>
      </c>
      <c r="AJ556" s="110">
        <v>9.5000000000000001E-2</v>
      </c>
      <c r="AK556" s="110">
        <v>9.5000000000000001E-2</v>
      </c>
      <c r="AL556" s="110">
        <v>9.5000000000000001E-2</v>
      </c>
      <c r="AM556" s="110">
        <v>9.5000000000000001E-2</v>
      </c>
      <c r="AN556" s="110">
        <v>9.5000000000000001E-2</v>
      </c>
      <c r="AO556" s="110">
        <v>9.5000000000000001E-2</v>
      </c>
      <c r="AP556" s="110">
        <v>9.5000000000000001E-2</v>
      </c>
      <c r="AQ556" s="110">
        <v>9.5000000000000001E-2</v>
      </c>
      <c r="AR556" s="110">
        <v>9.5000000000000001E-2</v>
      </c>
      <c r="AS556" s="110">
        <v>9.5000000000000001E-2</v>
      </c>
      <c r="AT556" s="110">
        <v>9.5000000000000001E-2</v>
      </c>
      <c r="AU556" s="110">
        <v>9.5000000000000001E-2</v>
      </c>
      <c r="AV556" s="110">
        <v>9.5000000000000001E-2</v>
      </c>
      <c r="AW556" s="110">
        <v>9.5000000000000001E-2</v>
      </c>
      <c r="AX556" s="110">
        <v>9.5000000000000001E-2</v>
      </c>
      <c r="AY556" s="110">
        <v>9.5000000000000001E-2</v>
      </c>
      <c r="AZ556" s="110">
        <v>9.5000000000000001E-2</v>
      </c>
      <c r="BA556" s="110">
        <v>9.5000000000000001E-2</v>
      </c>
      <c r="BB556" s="110">
        <v>9.5000000000000001E-2</v>
      </c>
      <c r="BC556" s="110">
        <f t="shared" si="210"/>
        <v>9.5000000000000001E-2</v>
      </c>
      <c r="BD556" s="110">
        <f t="shared" si="210"/>
        <v>9.5000000000000001E-2</v>
      </c>
      <c r="BE556" s="110">
        <f t="shared" si="210"/>
        <v>9.5000000000000001E-2</v>
      </c>
      <c r="BF556" s="110">
        <f t="shared" si="210"/>
        <v>9.5000000000000001E-2</v>
      </c>
      <c r="BG556" s="110">
        <f t="shared" si="210"/>
        <v>9.5000000000000001E-2</v>
      </c>
    </row>
    <row r="557" spans="1:59" ht="13.75" customHeight="1">
      <c r="A557" s="141" t="s">
        <v>166</v>
      </c>
      <c r="B557" s="142" t="s">
        <v>530</v>
      </c>
      <c r="C557" s="142" t="s">
        <v>551</v>
      </c>
      <c r="D557" s="142" t="s">
        <v>377</v>
      </c>
      <c r="F557" s="168" t="s">
        <v>553</v>
      </c>
      <c r="G557" s="142" t="s">
        <v>3</v>
      </c>
      <c r="H557" s="142"/>
      <c r="I557" s="142" t="s">
        <v>549</v>
      </c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X557" s="110"/>
      <c r="Y557" s="110"/>
      <c r="Z557" s="110">
        <v>0.13500000000000001</v>
      </c>
      <c r="AA557" s="110">
        <v>0.13500000000000001</v>
      </c>
      <c r="AB557" s="110">
        <v>0.13250000000000001</v>
      </c>
      <c r="AC557" s="110">
        <v>0.1275</v>
      </c>
      <c r="AD557" s="110">
        <v>0.125</v>
      </c>
      <c r="AE557" s="110">
        <v>0.13</v>
      </c>
      <c r="AF557" s="110">
        <v>0.13</v>
      </c>
      <c r="AG557" s="110">
        <v>0.1225</v>
      </c>
      <c r="AH557" s="110">
        <v>0.11750000000000001</v>
      </c>
      <c r="AI557" s="110">
        <v>0.11750000000000001</v>
      </c>
      <c r="AJ557" s="110">
        <v>0.11750000000000001</v>
      </c>
      <c r="AK557" s="110">
        <v>0.11750000000000001</v>
      </c>
      <c r="AL557" s="110">
        <v>0.11750000000000001</v>
      </c>
      <c r="AM557" s="110">
        <v>0.11750000000000001</v>
      </c>
      <c r="AN557" s="110">
        <v>0.11750000000000001</v>
      </c>
      <c r="AO557" s="110">
        <v>0.11750000000000001</v>
      </c>
      <c r="AP557" s="110">
        <v>0.11750000000000001</v>
      </c>
      <c r="AQ557" s="110">
        <v>0.11750000000000001</v>
      </c>
      <c r="AR557" s="110">
        <v>0.11750000000000001</v>
      </c>
      <c r="AS557" s="110">
        <v>0.11750000000000001</v>
      </c>
      <c r="AT557" s="110">
        <v>0.11750000000000001</v>
      </c>
      <c r="AU557" s="110">
        <v>0.11750000000000001</v>
      </c>
      <c r="AV557" s="110">
        <v>0.11750000000000001</v>
      </c>
      <c r="AW557" s="110">
        <v>0.11750000000000001</v>
      </c>
      <c r="AX557" s="110">
        <v>0.11750000000000001</v>
      </c>
      <c r="AY557" s="110">
        <v>0.11750000000000001</v>
      </c>
      <c r="AZ557" s="110">
        <v>0.11750000000000001</v>
      </c>
      <c r="BA557" s="110">
        <v>0.11750000000000001</v>
      </c>
      <c r="BB557" s="110">
        <v>0.11750000000000001</v>
      </c>
      <c r="BC557" s="110">
        <f t="shared" si="210"/>
        <v>0.11750000000000001</v>
      </c>
      <c r="BD557" s="110">
        <f t="shared" si="210"/>
        <v>0.11750000000000001</v>
      </c>
      <c r="BE557" s="110">
        <f t="shared" si="210"/>
        <v>0.11750000000000001</v>
      </c>
      <c r="BF557" s="110">
        <f t="shared" si="210"/>
        <v>0.11750000000000001</v>
      </c>
      <c r="BG557" s="110">
        <f t="shared" si="210"/>
        <v>0.11750000000000001</v>
      </c>
    </row>
    <row r="558" spans="1:59" ht="13.75" customHeight="1">
      <c r="A558" s="141" t="s">
        <v>166</v>
      </c>
      <c r="B558" s="142" t="s">
        <v>530</v>
      </c>
      <c r="C558" s="170" t="s">
        <v>554</v>
      </c>
      <c r="D558" s="142" t="s">
        <v>377</v>
      </c>
      <c r="F558" s="168" t="s">
        <v>555</v>
      </c>
      <c r="G558" s="109" t="s">
        <v>3</v>
      </c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X558" s="110"/>
      <c r="Y558" s="110">
        <v>0.1</v>
      </c>
      <c r="Z558" s="110">
        <v>9.5000000000000001E-2</v>
      </c>
      <c r="AA558" s="110">
        <v>9.5000000000000001E-2</v>
      </c>
      <c r="AB558" s="110">
        <v>9.2499999999999999E-2</v>
      </c>
      <c r="AC558" s="110">
        <v>0.09</v>
      </c>
      <c r="AD558" s="110">
        <v>0.09</v>
      </c>
      <c r="AE558" s="110">
        <v>9.5000000000000001E-2</v>
      </c>
      <c r="AF558" s="110">
        <v>9.5000000000000001E-2</v>
      </c>
      <c r="AG558" s="110">
        <v>8.4999999999999992E-2</v>
      </c>
      <c r="AH558" s="110">
        <v>0.08</v>
      </c>
      <c r="AI558" s="110">
        <v>0.08</v>
      </c>
      <c r="AJ558" s="110">
        <v>0.08</v>
      </c>
      <c r="AK558" s="110">
        <v>0.08</v>
      </c>
      <c r="AL558" s="110">
        <v>0.08</v>
      </c>
      <c r="AM558" s="110">
        <v>0.08</v>
      </c>
      <c r="AN558" s="110">
        <v>0.08</v>
      </c>
      <c r="AO558" s="110">
        <v>0.08</v>
      </c>
      <c r="AP558" s="110">
        <v>0.08</v>
      </c>
      <c r="AQ558" s="110">
        <v>0.08</v>
      </c>
      <c r="AR558" s="110">
        <v>0.08</v>
      </c>
      <c r="AS558" s="110">
        <v>0.08</v>
      </c>
      <c r="AT558" s="110">
        <v>0.08</v>
      </c>
      <c r="AU558" s="110">
        <v>0.08</v>
      </c>
      <c r="AV558" s="110">
        <v>0.08</v>
      </c>
      <c r="AW558" s="110">
        <v>0.08</v>
      </c>
      <c r="AX558" s="110">
        <v>0.08</v>
      </c>
      <c r="AY558" s="110">
        <v>0.08</v>
      </c>
      <c r="AZ558" s="110">
        <v>0.08</v>
      </c>
      <c r="BA558" s="110">
        <v>0.08</v>
      </c>
      <c r="BB558" s="110">
        <v>0.08</v>
      </c>
      <c r="BC558" s="110">
        <f t="shared" si="210"/>
        <v>0.08</v>
      </c>
      <c r="BD558" s="110">
        <f t="shared" si="210"/>
        <v>0.08</v>
      </c>
      <c r="BE558" s="110">
        <f t="shared" si="210"/>
        <v>0.08</v>
      </c>
      <c r="BF558" s="110">
        <f t="shared" si="210"/>
        <v>0.08</v>
      </c>
      <c r="BG558" s="110">
        <f t="shared" si="210"/>
        <v>0.08</v>
      </c>
    </row>
    <row r="559" spans="1:59" ht="13.75" customHeight="1">
      <c r="A559" s="141" t="s">
        <v>166</v>
      </c>
      <c r="B559" s="142" t="s">
        <v>530</v>
      </c>
      <c r="C559" s="170" t="s">
        <v>554</v>
      </c>
      <c r="D559" s="142" t="s">
        <v>377</v>
      </c>
      <c r="F559" s="168" t="s">
        <v>556</v>
      </c>
      <c r="G559" s="109" t="s">
        <v>3</v>
      </c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X559" s="110"/>
      <c r="Y559" s="110">
        <v>0.125</v>
      </c>
      <c r="Z559" s="110">
        <v>0.11</v>
      </c>
      <c r="AA559" s="110">
        <v>0.11</v>
      </c>
      <c r="AB559" s="110">
        <v>0.1075</v>
      </c>
      <c r="AC559" s="110">
        <v>0.105</v>
      </c>
      <c r="AD559" s="110">
        <v>0.105</v>
      </c>
      <c r="AE559" s="110">
        <v>0.11</v>
      </c>
      <c r="AF559" s="110">
        <v>0.11</v>
      </c>
      <c r="AG559" s="110">
        <v>9.9999999999999992E-2</v>
      </c>
      <c r="AH559" s="110">
        <v>9.5000000000000001E-2</v>
      </c>
      <c r="AI559" s="110">
        <v>9.5000000000000001E-2</v>
      </c>
      <c r="AJ559" s="110">
        <v>9.5000000000000001E-2</v>
      </c>
      <c r="AK559" s="110">
        <v>9.5000000000000001E-2</v>
      </c>
      <c r="AL559" s="110">
        <v>9.5000000000000001E-2</v>
      </c>
      <c r="AM559" s="110">
        <v>9.5000000000000001E-2</v>
      </c>
      <c r="AN559" s="110">
        <v>9.5000000000000001E-2</v>
      </c>
      <c r="AO559" s="110">
        <v>9.5000000000000001E-2</v>
      </c>
      <c r="AP559" s="110">
        <v>9.5000000000000001E-2</v>
      </c>
      <c r="AQ559" s="110">
        <v>9.5000000000000001E-2</v>
      </c>
      <c r="AR559" s="110">
        <v>9.5000000000000001E-2</v>
      </c>
      <c r="AS559" s="110">
        <v>9.5000000000000001E-2</v>
      </c>
      <c r="AT559" s="110">
        <v>9.5000000000000001E-2</v>
      </c>
      <c r="AU559" s="110">
        <v>9.5000000000000001E-2</v>
      </c>
      <c r="AV559" s="110">
        <v>9.5000000000000001E-2</v>
      </c>
      <c r="AW559" s="110">
        <v>9.5000000000000001E-2</v>
      </c>
      <c r="AX559" s="110">
        <v>9.5000000000000001E-2</v>
      </c>
      <c r="AY559" s="110">
        <v>9.5000000000000001E-2</v>
      </c>
      <c r="AZ559" s="110">
        <v>9.5000000000000001E-2</v>
      </c>
      <c r="BA559" s="110">
        <v>9.5000000000000001E-2</v>
      </c>
      <c r="BB559" s="110">
        <v>9.5000000000000001E-2</v>
      </c>
      <c r="BC559" s="110">
        <f t="shared" si="210"/>
        <v>9.5000000000000001E-2</v>
      </c>
      <c r="BD559" s="110">
        <f t="shared" si="210"/>
        <v>9.5000000000000001E-2</v>
      </c>
      <c r="BE559" s="110">
        <f t="shared" si="210"/>
        <v>9.5000000000000001E-2</v>
      </c>
      <c r="BF559" s="110">
        <f t="shared" si="210"/>
        <v>9.5000000000000001E-2</v>
      </c>
      <c r="BG559" s="110">
        <f t="shared" si="210"/>
        <v>9.5000000000000001E-2</v>
      </c>
    </row>
    <row r="560" spans="1:59" ht="13.75" customHeight="1">
      <c r="A560" s="141" t="s">
        <v>166</v>
      </c>
      <c r="B560" s="142" t="s">
        <v>530</v>
      </c>
      <c r="C560" s="170" t="s">
        <v>543</v>
      </c>
      <c r="D560" s="142" t="s">
        <v>377</v>
      </c>
      <c r="F560" s="168" t="s">
        <v>557</v>
      </c>
      <c r="G560" s="109" t="s">
        <v>3</v>
      </c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X560" s="107"/>
      <c r="Y560" s="107"/>
      <c r="Z560" s="107">
        <v>0.29166666666666663</v>
      </c>
      <c r="AA560" s="107">
        <v>0.2340000000000001</v>
      </c>
      <c r="AB560" s="107">
        <v>0.21799999999999997</v>
      </c>
      <c r="AC560" s="107">
        <v>0.61499999999999999</v>
      </c>
      <c r="AD560" s="107">
        <v>0.39500000000000002</v>
      </c>
      <c r="AE560" s="107">
        <v>0.43299999999999994</v>
      </c>
      <c r="AF560" s="107">
        <v>0.42299999999999993</v>
      </c>
      <c r="AG560" s="110">
        <v>0.24299999999999997</v>
      </c>
      <c r="AH560" s="110">
        <v>0.21299999999999997</v>
      </c>
      <c r="AI560" s="110">
        <v>0.21299999999999997</v>
      </c>
      <c r="AJ560" s="110">
        <v>0.21299999999999997</v>
      </c>
      <c r="AK560" s="110">
        <v>0.21299999999999997</v>
      </c>
      <c r="AL560" s="110">
        <v>0.21299999999999997</v>
      </c>
      <c r="AM560" s="110">
        <v>0.21299999999999997</v>
      </c>
      <c r="AN560" s="110">
        <v>0.21299999999999997</v>
      </c>
      <c r="AO560" s="110">
        <v>0.21299999999999997</v>
      </c>
      <c r="AP560" s="110">
        <v>0.21299999999999997</v>
      </c>
      <c r="AQ560" s="110">
        <v>0.21299999999999997</v>
      </c>
      <c r="AR560" s="110">
        <v>0.21299999999999997</v>
      </c>
      <c r="AS560" s="110">
        <v>0.21299999999999997</v>
      </c>
      <c r="AT560" s="110">
        <v>0.21299999999999997</v>
      </c>
      <c r="AU560" s="110">
        <v>0.21299999999999997</v>
      </c>
      <c r="AV560" s="110">
        <v>0.21299999999999997</v>
      </c>
      <c r="AW560" s="110">
        <v>0.21299999999999997</v>
      </c>
      <c r="AX560" s="110">
        <v>0.21299999999999997</v>
      </c>
      <c r="AY560" s="110">
        <v>0.21299999999999997</v>
      </c>
      <c r="AZ560" s="110">
        <v>0.21299999999999997</v>
      </c>
      <c r="BA560" s="110">
        <v>0.21299999999999997</v>
      </c>
      <c r="BB560" s="110">
        <v>0.21299999999999997</v>
      </c>
      <c r="BC560" s="110">
        <f t="shared" si="210"/>
        <v>0.21299999999999997</v>
      </c>
      <c r="BD560" s="110">
        <f t="shared" si="210"/>
        <v>0.21299999999999997</v>
      </c>
      <c r="BE560" s="110">
        <f t="shared" si="210"/>
        <v>0.21299999999999997</v>
      </c>
      <c r="BF560" s="110">
        <f t="shared" si="210"/>
        <v>0.21299999999999997</v>
      </c>
      <c r="BG560" s="110">
        <f t="shared" si="210"/>
        <v>0.21299999999999997</v>
      </c>
    </row>
    <row r="561" spans="1:59" ht="13.75" customHeight="1">
      <c r="A561" s="141" t="s">
        <v>166</v>
      </c>
      <c r="B561" s="142" t="s">
        <v>530</v>
      </c>
      <c r="C561" s="142" t="s">
        <v>547</v>
      </c>
      <c r="D561" s="142" t="s">
        <v>377</v>
      </c>
      <c r="F561" s="168" t="s">
        <v>558</v>
      </c>
      <c r="G561" s="142" t="s">
        <v>3</v>
      </c>
      <c r="H561" s="142"/>
      <c r="I561" s="142" t="s">
        <v>549</v>
      </c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10">
        <v>0.105045</v>
      </c>
      <c r="AA561" s="110">
        <v>8.7044999999999997E-2</v>
      </c>
      <c r="AB561" s="110">
        <v>8.1192500000000001E-2</v>
      </c>
      <c r="AC561" s="110">
        <v>0.11863294520547944</v>
      </c>
      <c r="AD561" s="110">
        <v>0.11444731598029825</v>
      </c>
      <c r="AE561" s="110">
        <v>0.1082</v>
      </c>
      <c r="AF561" s="110">
        <v>0.1039787118816598</v>
      </c>
      <c r="AG561" s="110">
        <v>8.7171058803456811E-2</v>
      </c>
      <c r="AH561" s="110">
        <v>7.8152117215962186E-2</v>
      </c>
      <c r="AI561" s="110">
        <v>7.0896264166686859E-2</v>
      </c>
      <c r="AJ561" s="110">
        <v>7.0896264166686859E-2</v>
      </c>
      <c r="AK561" s="110">
        <v>7.0896264166686859E-2</v>
      </c>
      <c r="AL561" s="110">
        <v>7.0896264166686859E-2</v>
      </c>
      <c r="AM561" s="110">
        <v>7.0896264166686859E-2</v>
      </c>
      <c r="AN561" s="110">
        <v>7.0896264166686859E-2</v>
      </c>
      <c r="AO561" s="110">
        <v>7.0896264166686859E-2</v>
      </c>
      <c r="AP561" s="110">
        <v>7.0896264166686859E-2</v>
      </c>
      <c r="AQ561" s="110">
        <v>7.0896264166686859E-2</v>
      </c>
      <c r="AR561" s="110">
        <v>7.0896264166686859E-2</v>
      </c>
      <c r="AS561" s="110">
        <v>7.0896264166686859E-2</v>
      </c>
      <c r="AT561" s="110">
        <v>7.0896264166686859E-2</v>
      </c>
      <c r="AU561" s="110">
        <v>7.0896264166686859E-2</v>
      </c>
      <c r="AV561" s="110">
        <v>7.0896264166686859E-2</v>
      </c>
      <c r="AW561" s="110">
        <v>7.0896264166686859E-2</v>
      </c>
      <c r="AX561" s="110">
        <v>7.0896264166686859E-2</v>
      </c>
      <c r="AY561" s="110">
        <v>7.0896264166686859E-2</v>
      </c>
      <c r="AZ561" s="110">
        <v>7.0896264166686859E-2</v>
      </c>
      <c r="BA561" s="110">
        <v>7.0896264166686859E-2</v>
      </c>
      <c r="BB561" s="110">
        <v>7.0896264166686859E-2</v>
      </c>
      <c r="BC561" s="110">
        <f t="shared" si="210"/>
        <v>7.0896264166686859E-2</v>
      </c>
      <c r="BD561" s="110">
        <f t="shared" si="210"/>
        <v>7.0896264166686859E-2</v>
      </c>
      <c r="BE561" s="110">
        <f t="shared" si="210"/>
        <v>7.0896264166686859E-2</v>
      </c>
      <c r="BF561" s="110">
        <f t="shared" si="210"/>
        <v>7.0896264166686859E-2</v>
      </c>
      <c r="BG561" s="110">
        <f t="shared" si="210"/>
        <v>7.0896264166686859E-2</v>
      </c>
    </row>
    <row r="562" spans="1:59" ht="13.75" customHeight="1">
      <c r="A562" s="141" t="s">
        <v>166</v>
      </c>
      <c r="B562" s="142" t="s">
        <v>530</v>
      </c>
      <c r="C562" s="142" t="s">
        <v>551</v>
      </c>
      <c r="D562" s="142" t="s">
        <v>377</v>
      </c>
      <c r="F562" s="168" t="s">
        <v>559</v>
      </c>
      <c r="G562" s="142" t="s">
        <v>3</v>
      </c>
      <c r="H562" s="142"/>
      <c r="I562" s="142" t="s">
        <v>549</v>
      </c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X562" s="107"/>
      <c r="Y562" s="107"/>
      <c r="Z562" s="110">
        <v>7.9000000000000001E-2</v>
      </c>
      <c r="AA562" s="110">
        <v>6.2E-2</v>
      </c>
      <c r="AB562" s="110">
        <v>3.6999999999999998E-2</v>
      </c>
      <c r="AC562" s="110">
        <v>3.4999999999999996E-2</v>
      </c>
      <c r="AD562" s="110">
        <v>0.01</v>
      </c>
      <c r="AE562" s="110">
        <v>1.7999999999999999E-2</v>
      </c>
      <c r="AF562" s="110">
        <v>3.0264701918325171E-2</v>
      </c>
      <c r="AG562" s="110">
        <v>2.7999999999999997E-2</v>
      </c>
      <c r="AH562" s="110">
        <v>2.7999999999999997E-2</v>
      </c>
      <c r="AI562" s="110">
        <v>2.7999999999999997E-2</v>
      </c>
      <c r="AJ562" s="110">
        <v>2.7999999999999997E-2</v>
      </c>
      <c r="AK562" s="110">
        <v>2.7999999999999997E-2</v>
      </c>
      <c r="AL562" s="110">
        <v>2.7999999999999997E-2</v>
      </c>
      <c r="AM562" s="110">
        <v>2.7999999999999997E-2</v>
      </c>
      <c r="AN562" s="110">
        <v>2.7999999999999997E-2</v>
      </c>
      <c r="AO562" s="110">
        <v>2.7999999999999997E-2</v>
      </c>
      <c r="AP562" s="110">
        <v>2.7999999999999997E-2</v>
      </c>
      <c r="AQ562" s="110">
        <v>2.7999999999999997E-2</v>
      </c>
      <c r="AR562" s="110">
        <v>2.7999999999999997E-2</v>
      </c>
      <c r="AS562" s="110">
        <v>2.7999999999999997E-2</v>
      </c>
      <c r="AT562" s="110">
        <v>2.7999999999999997E-2</v>
      </c>
      <c r="AU562" s="110">
        <v>2.7999999999999997E-2</v>
      </c>
      <c r="AV562" s="110">
        <v>2.7999999999999997E-2</v>
      </c>
      <c r="AW562" s="110">
        <v>2.7999999999999997E-2</v>
      </c>
      <c r="AX562" s="110">
        <v>2.7999999999999997E-2</v>
      </c>
      <c r="AY562" s="110">
        <v>2.7999999999999997E-2</v>
      </c>
      <c r="AZ562" s="110">
        <v>2.7999999999999997E-2</v>
      </c>
      <c r="BA562" s="110">
        <v>2.7999999999999997E-2</v>
      </c>
      <c r="BB562" s="110">
        <v>2.7999999999999997E-2</v>
      </c>
      <c r="BC562" s="110">
        <f t="shared" si="210"/>
        <v>2.7999999999999997E-2</v>
      </c>
      <c r="BD562" s="110">
        <f t="shared" si="210"/>
        <v>2.7999999999999997E-2</v>
      </c>
      <c r="BE562" s="110">
        <f t="shared" si="210"/>
        <v>2.7999999999999997E-2</v>
      </c>
      <c r="BF562" s="110">
        <f t="shared" si="210"/>
        <v>2.7999999999999997E-2</v>
      </c>
      <c r="BG562" s="110">
        <f t="shared" si="210"/>
        <v>2.7999999999999997E-2</v>
      </c>
    </row>
    <row r="563" spans="1:59" ht="13.75" customHeight="1">
      <c r="A563" s="141" t="s">
        <v>166</v>
      </c>
      <c r="B563" s="142" t="s">
        <v>530</v>
      </c>
      <c r="C563" s="170" t="s">
        <v>554</v>
      </c>
      <c r="D563" s="142" t="s">
        <v>377</v>
      </c>
      <c r="F563" s="168" t="s">
        <v>560</v>
      </c>
      <c r="G563" s="109" t="s">
        <v>3</v>
      </c>
      <c r="J563" s="109"/>
      <c r="K563" s="109"/>
      <c r="L563" s="107">
        <v>1.6E-2</v>
      </c>
      <c r="M563" s="107">
        <v>1.2999999999999999E-2</v>
      </c>
      <c r="N563" s="107">
        <v>7.0000000000000001E-3</v>
      </c>
      <c r="O563" s="107">
        <v>7.0000000000000001E-3</v>
      </c>
      <c r="P563" s="107">
        <v>0.01</v>
      </c>
      <c r="Q563" s="107">
        <v>0.03</v>
      </c>
      <c r="R563" s="107">
        <v>0.06</v>
      </c>
      <c r="S563" s="107">
        <v>0.05</v>
      </c>
      <c r="T563" s="107">
        <v>0.03</v>
      </c>
      <c r="U563" s="107">
        <v>0.02</v>
      </c>
      <c r="V563" s="107">
        <v>2.8000000000000001E-2</v>
      </c>
      <c r="W563" s="107">
        <v>0.06</v>
      </c>
      <c r="X563" s="107">
        <v>0.08</v>
      </c>
      <c r="Y563" s="107">
        <v>0.11</v>
      </c>
      <c r="Z563" s="107">
        <v>0.10100000000000001</v>
      </c>
      <c r="AA563" s="107">
        <v>8.5999999999999993E-2</v>
      </c>
      <c r="AB563" s="107">
        <v>9.0999999999999998E-2</v>
      </c>
      <c r="AC563" s="107">
        <v>0.107</v>
      </c>
      <c r="AD563" s="107">
        <v>0.115</v>
      </c>
      <c r="AE563" s="107">
        <v>0.14899999999999999</v>
      </c>
      <c r="AF563" s="107">
        <v>0.1349251546518038</v>
      </c>
      <c r="AG563" s="110">
        <v>0.1001402553397471</v>
      </c>
      <c r="AH563" s="110">
        <v>8.6201818505972569E-2</v>
      </c>
      <c r="AI563" s="110">
        <v>7.6201818505972574E-2</v>
      </c>
      <c r="AJ563" s="110">
        <v>7.6201818505972574E-2</v>
      </c>
      <c r="AK563" s="110">
        <v>7.6201818505972574E-2</v>
      </c>
      <c r="AL563" s="110">
        <v>7.6201818505972574E-2</v>
      </c>
      <c r="AM563" s="110">
        <v>7.6201818505972574E-2</v>
      </c>
      <c r="AN563" s="110">
        <v>7.6201818505972574E-2</v>
      </c>
      <c r="AO563" s="110">
        <v>7.6201818505972574E-2</v>
      </c>
      <c r="AP563" s="110">
        <v>7.6201818505972574E-2</v>
      </c>
      <c r="AQ563" s="110">
        <v>7.6201818505972574E-2</v>
      </c>
      <c r="AR563" s="110">
        <v>7.6201818505972574E-2</v>
      </c>
      <c r="AS563" s="110">
        <v>7.6201818505972574E-2</v>
      </c>
      <c r="AT563" s="110">
        <v>7.6201818505972574E-2</v>
      </c>
      <c r="AU563" s="110">
        <v>7.6201818505972574E-2</v>
      </c>
      <c r="AV563" s="110">
        <v>7.6201818505972574E-2</v>
      </c>
      <c r="AW563" s="110">
        <v>7.6201818505972574E-2</v>
      </c>
      <c r="AX563" s="110">
        <v>7.6201818505972574E-2</v>
      </c>
      <c r="AY563" s="110">
        <v>7.6201818505972574E-2</v>
      </c>
      <c r="AZ563" s="110">
        <v>7.6201818505972574E-2</v>
      </c>
      <c r="BA563" s="110">
        <v>7.6201818505972574E-2</v>
      </c>
      <c r="BB563" s="110">
        <v>7.6201818505972574E-2</v>
      </c>
      <c r="BC563" s="110">
        <f t="shared" si="210"/>
        <v>7.6201818505972574E-2</v>
      </c>
      <c r="BD563" s="110">
        <f t="shared" si="210"/>
        <v>7.6201818505972574E-2</v>
      </c>
      <c r="BE563" s="110">
        <f t="shared" si="210"/>
        <v>7.6201818505972574E-2</v>
      </c>
      <c r="BF563" s="110">
        <f t="shared" si="210"/>
        <v>7.6201818505972574E-2</v>
      </c>
      <c r="BG563" s="110">
        <f t="shared" si="210"/>
        <v>7.6201818505972574E-2</v>
      </c>
    </row>
    <row r="564" spans="1:59" ht="13.75" customHeight="1">
      <c r="A564" s="141" t="s">
        <v>166</v>
      </c>
      <c r="B564" s="142" t="s">
        <v>530</v>
      </c>
      <c r="C564" s="170" t="s">
        <v>547</v>
      </c>
      <c r="D564" s="142" t="s">
        <v>377</v>
      </c>
      <c r="F564" s="168" t="s">
        <v>561</v>
      </c>
      <c r="G564" s="109" t="s">
        <v>3</v>
      </c>
      <c r="J564" s="109"/>
      <c r="K564" s="107">
        <v>3.9912762829645843E-3</v>
      </c>
      <c r="L564" s="107">
        <v>-1.6236345590277201E-2</v>
      </c>
      <c r="M564" s="107">
        <v>7.9434971955183453E-2</v>
      </c>
      <c r="N564" s="107">
        <v>3.3884496513613804E-2</v>
      </c>
      <c r="O564" s="107">
        <v>9.3034814507108043E-2</v>
      </c>
      <c r="P564" s="107">
        <v>0.1357363168061263</v>
      </c>
      <c r="Q564" s="107">
        <v>0.22483711565783127</v>
      </c>
      <c r="R564" s="107">
        <v>-0.36156967974364462</v>
      </c>
      <c r="S564" s="107">
        <v>-3.2156469509323493E-3</v>
      </c>
      <c r="T564" s="107">
        <v>2.5428474290161152E-2</v>
      </c>
      <c r="U564" s="107">
        <v>0.14825567168483622</v>
      </c>
      <c r="V564" s="107">
        <v>0.10912804589846958</v>
      </c>
      <c r="W564" s="107">
        <v>-6.226708243569079E-2</v>
      </c>
      <c r="X564" s="107">
        <v>9.1848319743374374E-2</v>
      </c>
      <c r="Y564" s="107">
        <v>-9.3389758904701581E-2</v>
      </c>
      <c r="Z564" s="107">
        <v>-1.8338295531031057E-2</v>
      </c>
      <c r="AA564" s="107">
        <v>7.9562799246192473E-2</v>
      </c>
      <c r="AB564" s="107">
        <v>4.3439390574297992E-2</v>
      </c>
      <c r="AC564" s="107">
        <v>1.2999999999999999E-2</v>
      </c>
      <c r="AD564" s="107">
        <v>3.3212445123115053E-2</v>
      </c>
      <c r="AE564" s="107">
        <v>-0.05</v>
      </c>
      <c r="AF564" s="107">
        <v>0</v>
      </c>
      <c r="AG564" s="110">
        <v>3.4236774755352473E-2</v>
      </c>
      <c r="AH564" s="110">
        <v>5.9788148349705139E-2</v>
      </c>
      <c r="AI564" s="110">
        <v>6.9359331790116219E-2</v>
      </c>
      <c r="AJ564" s="110">
        <v>5.5000000000000035E-2</v>
      </c>
      <c r="AK564" s="110">
        <v>4.0000000000000036E-2</v>
      </c>
      <c r="AL564" s="110">
        <v>4.0000000000000036E-2</v>
      </c>
      <c r="AM564" s="110">
        <v>4.0000000000000036E-2</v>
      </c>
      <c r="AN564" s="110">
        <v>4.0000000000000036E-2</v>
      </c>
      <c r="AO564" s="110">
        <v>4.0000000000000036E-2</v>
      </c>
      <c r="AP564" s="110">
        <v>4.0000000000000036E-2</v>
      </c>
      <c r="AQ564" s="110">
        <v>4.0000000000000036E-2</v>
      </c>
      <c r="AR564" s="110">
        <v>4.0000000000000036E-2</v>
      </c>
      <c r="AS564" s="110">
        <v>4.0000000000000036E-2</v>
      </c>
      <c r="AT564" s="110">
        <v>4.0000000000000036E-2</v>
      </c>
      <c r="AU564" s="110">
        <v>4.0000000000000036E-2</v>
      </c>
      <c r="AV564" s="110">
        <v>4.0000000000000036E-2</v>
      </c>
      <c r="AW564" s="110">
        <v>4.0000000000000036E-2</v>
      </c>
      <c r="AX564" s="110">
        <v>4.0000000000000036E-2</v>
      </c>
      <c r="AY564" s="110">
        <v>4.0000000000000036E-2</v>
      </c>
      <c r="AZ564" s="110">
        <v>4.0000000000000036E-2</v>
      </c>
      <c r="BA564" s="110">
        <v>4.0000000000000036E-2</v>
      </c>
      <c r="BB564" s="110">
        <v>4.0000000000000036E-2</v>
      </c>
      <c r="BC564" s="110">
        <f t="shared" si="210"/>
        <v>4.0000000000000036E-2</v>
      </c>
      <c r="BD564" s="110">
        <f t="shared" si="210"/>
        <v>4.0000000000000036E-2</v>
      </c>
      <c r="BE564" s="110">
        <f t="shared" si="210"/>
        <v>4.0000000000000036E-2</v>
      </c>
      <c r="BF564" s="110">
        <f t="shared" si="210"/>
        <v>4.0000000000000036E-2</v>
      </c>
      <c r="BG564" s="110">
        <f t="shared" si="210"/>
        <v>4.0000000000000036E-2</v>
      </c>
    </row>
    <row r="565" spans="1:59" ht="13.75" customHeight="1">
      <c r="A565" s="141" t="s">
        <v>166</v>
      </c>
      <c r="B565" s="142" t="s">
        <v>530</v>
      </c>
      <c r="C565" s="170" t="s">
        <v>551</v>
      </c>
      <c r="D565" s="142" t="s">
        <v>377</v>
      </c>
      <c r="F565" s="168" t="s">
        <v>562</v>
      </c>
      <c r="G565" s="109" t="s">
        <v>3</v>
      </c>
      <c r="J565" s="109"/>
      <c r="K565" s="107">
        <v>0.18436140886486641</v>
      </c>
      <c r="L565" s="107">
        <v>0.15875134903481358</v>
      </c>
      <c r="M565" s="107">
        <v>3.7879122856574243E-2</v>
      </c>
      <c r="N565" s="107">
        <v>-4.6577196215583427E-2</v>
      </c>
      <c r="O565" s="107">
        <v>-9.3842391275719139E-3</v>
      </c>
      <c r="P565" s="107">
        <v>-8.723978634740337E-2</v>
      </c>
      <c r="Q565" s="107">
        <v>7.2181893334628544E-2</v>
      </c>
      <c r="R565" s="107">
        <v>-0.10451875792389653</v>
      </c>
      <c r="S565" s="107">
        <v>6.1520691116587756E-2</v>
      </c>
      <c r="T565" s="107">
        <v>0.17531098096333575</v>
      </c>
      <c r="U565" s="107">
        <v>7.2582762430523085E-2</v>
      </c>
      <c r="V565" s="107">
        <v>2.6669640717010612E-2</v>
      </c>
      <c r="W565" s="107">
        <v>1.3155296347179268E-2</v>
      </c>
      <c r="X565" s="107">
        <v>-6.6761320365148813E-2</v>
      </c>
      <c r="Y565" s="107">
        <v>-4.148350807071044E-2</v>
      </c>
      <c r="Z565" s="107">
        <v>-6.2559708389305579E-2</v>
      </c>
      <c r="AA565" s="107">
        <v>2.7804678561840657E-2</v>
      </c>
      <c r="AB565" s="107">
        <v>7.1428571428571397E-2</v>
      </c>
      <c r="AC565" s="107">
        <v>5.3333333333333233E-2</v>
      </c>
      <c r="AD565" s="107">
        <v>0.31645569620253156</v>
      </c>
      <c r="AE565" s="107">
        <v>0</v>
      </c>
      <c r="AF565" s="107">
        <v>0.05</v>
      </c>
      <c r="AG565" s="110">
        <v>8.8798370672097837E-2</v>
      </c>
      <c r="AH565" s="110">
        <v>4.0456092585854364E-2</v>
      </c>
      <c r="AI565" s="110">
        <v>4.0391390824965789E-2</v>
      </c>
      <c r="AJ565" s="110">
        <v>4.0000000000000036E-2</v>
      </c>
      <c r="AK565" s="110">
        <v>4.0000000000000036E-2</v>
      </c>
      <c r="AL565" s="110">
        <v>4.0000000000000036E-2</v>
      </c>
      <c r="AM565" s="110">
        <v>4.0000000000000036E-2</v>
      </c>
      <c r="AN565" s="110">
        <v>4.0000000000000036E-2</v>
      </c>
      <c r="AO565" s="110">
        <v>4.0000000000000036E-2</v>
      </c>
      <c r="AP565" s="110">
        <v>4.0000000000000036E-2</v>
      </c>
      <c r="AQ565" s="110">
        <v>4.0000000000000036E-2</v>
      </c>
      <c r="AR565" s="110">
        <v>4.0000000000000036E-2</v>
      </c>
      <c r="AS565" s="110">
        <v>4.0000000000000036E-2</v>
      </c>
      <c r="AT565" s="110">
        <v>4.0000000000000036E-2</v>
      </c>
      <c r="AU565" s="110">
        <v>4.0000000000000036E-2</v>
      </c>
      <c r="AV565" s="110">
        <v>4.0000000000000036E-2</v>
      </c>
      <c r="AW565" s="110">
        <v>4.0000000000000036E-2</v>
      </c>
      <c r="AX565" s="110">
        <v>4.0000000000000036E-2</v>
      </c>
      <c r="AY565" s="110">
        <v>4.0000000000000036E-2</v>
      </c>
      <c r="AZ565" s="110">
        <v>4.0000000000000036E-2</v>
      </c>
      <c r="BA565" s="110">
        <v>4.0000000000000036E-2</v>
      </c>
      <c r="BB565" s="110">
        <v>4.0000000000000036E-2</v>
      </c>
      <c r="BC565" s="110">
        <f t="shared" si="210"/>
        <v>4.0000000000000036E-2</v>
      </c>
      <c r="BD565" s="110">
        <f t="shared" si="210"/>
        <v>4.0000000000000036E-2</v>
      </c>
      <c r="BE565" s="110">
        <f t="shared" si="210"/>
        <v>4.0000000000000036E-2</v>
      </c>
      <c r="BF565" s="110">
        <f t="shared" si="210"/>
        <v>4.0000000000000036E-2</v>
      </c>
      <c r="BG565" s="110">
        <f t="shared" si="210"/>
        <v>4.0000000000000036E-2</v>
      </c>
    </row>
    <row r="566" spans="1:59" ht="13.75" customHeight="1">
      <c r="A566" s="141" t="s">
        <v>166</v>
      </c>
      <c r="B566" s="142" t="s">
        <v>530</v>
      </c>
      <c r="C566" s="170" t="s">
        <v>554</v>
      </c>
      <c r="D566" s="142" t="s">
        <v>377</v>
      </c>
      <c r="F566" s="168" t="s">
        <v>563</v>
      </c>
      <c r="G566" s="109" t="s">
        <v>3</v>
      </c>
      <c r="J566" s="109"/>
      <c r="K566" s="109"/>
      <c r="L566" s="109"/>
      <c r="M566" s="109"/>
      <c r="N566" s="109"/>
      <c r="O566" s="109"/>
      <c r="P566" s="107">
        <v>-3.1687546057479699E-2</v>
      </c>
      <c r="Q566" s="107">
        <v>8.1539465101108988E-2</v>
      </c>
      <c r="R566" s="107">
        <v>-0.12175311620426221</v>
      </c>
      <c r="S566" s="107">
        <v>8.4012453072062065E-3</v>
      </c>
      <c r="T566" s="107">
        <v>0.20092619917822518</v>
      </c>
      <c r="U566" s="107">
        <v>8.6527919549355348E-2</v>
      </c>
      <c r="V566" s="107">
        <v>5.4793448098887421E-2</v>
      </c>
      <c r="W566" s="107">
        <v>5.0487390522687248E-2</v>
      </c>
      <c r="X566" s="107">
        <v>0.25162505887894482</v>
      </c>
      <c r="Y566" s="107">
        <v>-9.0521350795323419E-2</v>
      </c>
      <c r="Z566" s="107">
        <v>3.4482758620689724E-2</v>
      </c>
      <c r="AA566" s="107">
        <v>3.3333333333333437E-2</v>
      </c>
      <c r="AB566" s="107">
        <v>6.0606060606060552E-2</v>
      </c>
      <c r="AC566" s="107">
        <v>0</v>
      </c>
      <c r="AD566" s="107">
        <v>0</v>
      </c>
      <c r="AE566" s="107">
        <v>-0.05</v>
      </c>
      <c r="AF566" s="107">
        <v>0</v>
      </c>
      <c r="AG566" s="110">
        <v>6.3160595141384501E-2</v>
      </c>
      <c r="AH566" s="110">
        <v>6.2208770677309566E-2</v>
      </c>
      <c r="AI566" s="110">
        <v>6.3286688451626327E-2</v>
      </c>
      <c r="AJ566" s="110">
        <v>5.04E-2</v>
      </c>
      <c r="AK566" s="110">
        <v>5.04E-2</v>
      </c>
      <c r="AL566" s="110">
        <v>5.04E-2</v>
      </c>
      <c r="AM566" s="110">
        <v>5.04E-2</v>
      </c>
      <c r="AN566" s="110">
        <v>5.04E-2</v>
      </c>
      <c r="AO566" s="110">
        <v>5.04E-2</v>
      </c>
      <c r="AP566" s="110">
        <v>5.04E-2</v>
      </c>
      <c r="AQ566" s="110">
        <v>5.04E-2</v>
      </c>
      <c r="AR566" s="110">
        <v>5.04E-2</v>
      </c>
      <c r="AS566" s="110">
        <v>5.04E-2</v>
      </c>
      <c r="AT566" s="110">
        <v>5.04E-2</v>
      </c>
      <c r="AU566" s="110">
        <v>5.04E-2</v>
      </c>
      <c r="AV566" s="110">
        <v>5.04E-2</v>
      </c>
      <c r="AW566" s="110">
        <v>5.04E-2</v>
      </c>
      <c r="AX566" s="110">
        <v>5.04E-2</v>
      </c>
      <c r="AY566" s="110">
        <v>5.04E-2</v>
      </c>
      <c r="AZ566" s="110">
        <v>5.04E-2</v>
      </c>
      <c r="BA566" s="110">
        <v>5.04E-2</v>
      </c>
      <c r="BB566" s="110">
        <v>5.04E-2</v>
      </c>
      <c r="BC566" s="110">
        <f t="shared" si="210"/>
        <v>5.04E-2</v>
      </c>
      <c r="BD566" s="110">
        <f t="shared" si="210"/>
        <v>5.04E-2</v>
      </c>
      <c r="BE566" s="110">
        <f t="shared" si="210"/>
        <v>5.04E-2</v>
      </c>
      <c r="BF566" s="110">
        <f t="shared" si="210"/>
        <v>5.04E-2</v>
      </c>
      <c r="BG566" s="110">
        <f t="shared" si="210"/>
        <v>5.04E-2</v>
      </c>
    </row>
    <row r="567" spans="1:59" ht="13.75" customHeight="1">
      <c r="A567" s="141" t="s">
        <v>166</v>
      </c>
      <c r="B567" s="142" t="s">
        <v>530</v>
      </c>
      <c r="C567" s="170" t="s">
        <v>543</v>
      </c>
      <c r="D567" s="142" t="s">
        <v>377</v>
      </c>
      <c r="E567" s="176"/>
      <c r="F567" s="168" t="s">
        <v>564</v>
      </c>
      <c r="G567" s="109" t="s">
        <v>3</v>
      </c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X567" s="107">
        <v>0</v>
      </c>
      <c r="Y567" s="107">
        <v>6.8000000000000005E-2</v>
      </c>
      <c r="Z567" s="107">
        <v>6.8000000000000005E-2</v>
      </c>
      <c r="AA567" s="107">
        <v>0.54800000000000004</v>
      </c>
      <c r="AB567" s="107">
        <v>-0.19658530800816298</v>
      </c>
      <c r="AC567" s="107">
        <v>-0.23</v>
      </c>
      <c r="AD567" s="107">
        <v>0.22</v>
      </c>
      <c r="AE567" s="107">
        <v>0.03</v>
      </c>
      <c r="AF567" s="107">
        <v>6.785009571876488E-2</v>
      </c>
      <c r="AG567" s="110">
        <v>6.2973776187284169E-2</v>
      </c>
      <c r="AH567" s="110">
        <v>6.2353196787676576E-2</v>
      </c>
      <c r="AI567" s="110">
        <v>6.0391390824965793E-2</v>
      </c>
      <c r="AJ567" s="110">
        <v>6.0000000000000039E-2</v>
      </c>
      <c r="AK567" s="110">
        <v>6.0000000000000039E-2</v>
      </c>
      <c r="AL567" s="110">
        <v>6.0000000000000039E-2</v>
      </c>
      <c r="AM567" s="110">
        <v>6.0000000000000039E-2</v>
      </c>
      <c r="AN567" s="110">
        <v>6.0000000000000039E-2</v>
      </c>
      <c r="AO567" s="110">
        <v>6.0000000000000039E-2</v>
      </c>
      <c r="AP567" s="110">
        <v>6.0000000000000039E-2</v>
      </c>
      <c r="AQ567" s="110">
        <v>6.0000000000000039E-2</v>
      </c>
      <c r="AR567" s="110">
        <v>6.0000000000000039E-2</v>
      </c>
      <c r="AS567" s="110">
        <v>6.0000000000000039E-2</v>
      </c>
      <c r="AT567" s="110">
        <v>6.0000000000000039E-2</v>
      </c>
      <c r="AU567" s="110">
        <v>6.0000000000000039E-2</v>
      </c>
      <c r="AV567" s="110">
        <v>6.0000000000000039E-2</v>
      </c>
      <c r="AW567" s="110">
        <v>6.0000000000000039E-2</v>
      </c>
      <c r="AX567" s="110">
        <v>6.0000000000000039E-2</v>
      </c>
      <c r="AY567" s="110">
        <v>6.0000000000000039E-2</v>
      </c>
      <c r="AZ567" s="110">
        <v>6.0000000000000039E-2</v>
      </c>
      <c r="BA567" s="110">
        <v>6.0000000000000039E-2</v>
      </c>
      <c r="BB567" s="110">
        <v>6.0000000000000039E-2</v>
      </c>
      <c r="BC567" s="110">
        <f t="shared" si="210"/>
        <v>6.0000000000000039E-2</v>
      </c>
      <c r="BD567" s="110">
        <f t="shared" si="210"/>
        <v>6.0000000000000039E-2</v>
      </c>
      <c r="BE567" s="110">
        <f t="shared" si="210"/>
        <v>6.0000000000000039E-2</v>
      </c>
      <c r="BF567" s="110">
        <f t="shared" si="210"/>
        <v>6.0000000000000039E-2</v>
      </c>
      <c r="BG567" s="110">
        <f t="shared" si="210"/>
        <v>6.0000000000000039E-2</v>
      </c>
    </row>
    <row r="568" spans="1:59" ht="13.75" customHeight="1">
      <c r="A568" s="141" t="s">
        <v>166</v>
      </c>
      <c r="B568" s="142" t="s">
        <v>530</v>
      </c>
      <c r="C568" s="170" t="s">
        <v>547</v>
      </c>
      <c r="D568" s="142" t="s">
        <v>377</v>
      </c>
      <c r="E568" s="176"/>
      <c r="F568" s="168" t="s">
        <v>565</v>
      </c>
      <c r="G568" s="109" t="s">
        <v>3</v>
      </c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X568" s="107">
        <v>0.05</v>
      </c>
      <c r="Y568" s="107">
        <v>0.05</v>
      </c>
      <c r="Z568" s="107">
        <v>0.05</v>
      </c>
      <c r="AA568" s="107">
        <v>0.05</v>
      </c>
      <c r="AB568" s="107">
        <v>5.3439390574297994E-2</v>
      </c>
      <c r="AC568" s="107">
        <v>2.3E-2</v>
      </c>
      <c r="AD568" s="107">
        <v>4.3212445123115055E-2</v>
      </c>
      <c r="AE568" s="107">
        <v>-0.04</v>
      </c>
      <c r="AF568" s="107">
        <v>0.01</v>
      </c>
      <c r="AG568" s="110">
        <v>4.4236774755352475E-2</v>
      </c>
      <c r="AH568" s="110">
        <v>6.9788148349705134E-2</v>
      </c>
      <c r="AI568" s="110">
        <v>7.9359331790116214E-2</v>
      </c>
      <c r="AJ568" s="110">
        <v>6.500000000000003E-2</v>
      </c>
      <c r="AK568" s="110">
        <v>5.0000000000000037E-2</v>
      </c>
      <c r="AL568" s="110">
        <v>5.0000000000000037E-2</v>
      </c>
      <c r="AM568" s="110">
        <v>5.0000000000000037E-2</v>
      </c>
      <c r="AN568" s="110">
        <v>5.0000000000000037E-2</v>
      </c>
      <c r="AO568" s="110">
        <v>5.0000000000000037E-2</v>
      </c>
      <c r="AP568" s="110">
        <v>5.0000000000000037E-2</v>
      </c>
      <c r="AQ568" s="110">
        <v>5.0000000000000037E-2</v>
      </c>
      <c r="AR568" s="110">
        <v>5.0000000000000037E-2</v>
      </c>
      <c r="AS568" s="110">
        <v>5.0000000000000037E-2</v>
      </c>
      <c r="AT568" s="110">
        <v>5.0000000000000037E-2</v>
      </c>
      <c r="AU568" s="110">
        <v>5.0000000000000037E-2</v>
      </c>
      <c r="AV568" s="110">
        <v>5.0000000000000037E-2</v>
      </c>
      <c r="AW568" s="110">
        <v>5.0000000000000037E-2</v>
      </c>
      <c r="AX568" s="110">
        <v>5.0000000000000037E-2</v>
      </c>
      <c r="AY568" s="110">
        <v>5.0000000000000037E-2</v>
      </c>
      <c r="AZ568" s="110">
        <v>5.0000000000000037E-2</v>
      </c>
      <c r="BA568" s="110">
        <v>5.0000000000000037E-2</v>
      </c>
      <c r="BB568" s="110">
        <v>5.0000000000000037E-2</v>
      </c>
      <c r="BC568" s="110">
        <f t="shared" si="210"/>
        <v>5.0000000000000037E-2</v>
      </c>
      <c r="BD568" s="110">
        <f t="shared" si="210"/>
        <v>5.0000000000000037E-2</v>
      </c>
      <c r="BE568" s="110">
        <f t="shared" si="210"/>
        <v>5.0000000000000037E-2</v>
      </c>
      <c r="BF568" s="110">
        <f t="shared" si="210"/>
        <v>5.0000000000000037E-2</v>
      </c>
      <c r="BG568" s="110">
        <f t="shared" si="210"/>
        <v>5.0000000000000037E-2</v>
      </c>
    </row>
    <row r="569" spans="1:59" ht="13.75" customHeight="1">
      <c r="A569" s="141" t="s">
        <v>166</v>
      </c>
      <c r="B569" s="142" t="s">
        <v>530</v>
      </c>
      <c r="C569" s="170" t="s">
        <v>551</v>
      </c>
      <c r="D569" s="142" t="s">
        <v>377</v>
      </c>
      <c r="E569" s="176"/>
      <c r="F569" s="168" t="s">
        <v>566</v>
      </c>
      <c r="G569" s="109" t="s">
        <v>3</v>
      </c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X569" s="107">
        <v>-1.676132036514881E-2</v>
      </c>
      <c r="Y569" s="107">
        <v>0</v>
      </c>
      <c r="Z569" s="107">
        <v>0.04</v>
      </c>
      <c r="AA569" s="107">
        <v>0.05</v>
      </c>
      <c r="AB569" s="107">
        <v>8.1428571428571392E-2</v>
      </c>
      <c r="AC569" s="107">
        <v>6.3333333333333228E-2</v>
      </c>
      <c r="AD569" s="107">
        <v>0.32645569620253156</v>
      </c>
      <c r="AE569" s="107">
        <v>0</v>
      </c>
      <c r="AF569" s="107">
        <v>6.0000000000000005E-2</v>
      </c>
      <c r="AG569" s="110">
        <v>9.8798370672097832E-2</v>
      </c>
      <c r="AH569" s="110">
        <v>5.0456092585854366E-2</v>
      </c>
      <c r="AI569" s="110">
        <v>5.0391390824965791E-2</v>
      </c>
      <c r="AJ569" s="110">
        <v>5.0000000000000037E-2</v>
      </c>
      <c r="AK569" s="110">
        <v>5.0000000000000037E-2</v>
      </c>
      <c r="AL569" s="110">
        <v>5.0000000000000037E-2</v>
      </c>
      <c r="AM569" s="110">
        <v>5.0000000000000037E-2</v>
      </c>
      <c r="AN569" s="110">
        <v>5.0000000000000037E-2</v>
      </c>
      <c r="AO569" s="110">
        <v>5.0000000000000037E-2</v>
      </c>
      <c r="AP569" s="110">
        <v>5.0000000000000037E-2</v>
      </c>
      <c r="AQ569" s="110">
        <v>5.0000000000000037E-2</v>
      </c>
      <c r="AR569" s="110">
        <v>5.0000000000000037E-2</v>
      </c>
      <c r="AS569" s="110">
        <v>5.0000000000000037E-2</v>
      </c>
      <c r="AT569" s="110">
        <v>5.0000000000000037E-2</v>
      </c>
      <c r="AU569" s="110">
        <v>5.0000000000000037E-2</v>
      </c>
      <c r="AV569" s="110">
        <v>5.0000000000000037E-2</v>
      </c>
      <c r="AW569" s="110">
        <v>5.0000000000000037E-2</v>
      </c>
      <c r="AX569" s="110">
        <v>5.0000000000000037E-2</v>
      </c>
      <c r="AY569" s="110">
        <v>5.0000000000000037E-2</v>
      </c>
      <c r="AZ569" s="110">
        <v>5.0000000000000037E-2</v>
      </c>
      <c r="BA569" s="110">
        <v>5.0000000000000037E-2</v>
      </c>
      <c r="BB569" s="110">
        <v>5.0000000000000037E-2</v>
      </c>
      <c r="BC569" s="110">
        <f t="shared" si="210"/>
        <v>5.0000000000000037E-2</v>
      </c>
      <c r="BD569" s="110">
        <f t="shared" si="210"/>
        <v>5.0000000000000037E-2</v>
      </c>
      <c r="BE569" s="110">
        <f t="shared" si="210"/>
        <v>5.0000000000000037E-2</v>
      </c>
      <c r="BF569" s="110">
        <f t="shared" si="210"/>
        <v>5.0000000000000037E-2</v>
      </c>
      <c r="BG569" s="110">
        <f t="shared" si="210"/>
        <v>5.0000000000000037E-2</v>
      </c>
    </row>
    <row r="570" spans="1:59" ht="13.75" customHeight="1">
      <c r="A570" s="141" t="s">
        <v>166</v>
      </c>
      <c r="B570" s="142" t="s">
        <v>530</v>
      </c>
      <c r="C570" s="170" t="s">
        <v>554</v>
      </c>
      <c r="D570" s="142" t="s">
        <v>377</v>
      </c>
      <c r="E570" s="176"/>
      <c r="F570" s="168" t="s">
        <v>567</v>
      </c>
      <c r="G570" s="109" t="s">
        <v>3</v>
      </c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X570" s="107">
        <v>0</v>
      </c>
      <c r="Y570" s="107">
        <v>0</v>
      </c>
      <c r="Z570" s="107">
        <v>0.04</v>
      </c>
      <c r="AA570" s="107">
        <v>0.05</v>
      </c>
      <c r="AB570" s="107">
        <v>7.0606060606060547E-2</v>
      </c>
      <c r="AC570" s="107">
        <v>-3.846105287452229E-2</v>
      </c>
      <c r="AD570" s="107">
        <v>0.01</v>
      </c>
      <c r="AE570" s="107">
        <v>-0.04</v>
      </c>
      <c r="AF570" s="107">
        <v>0.01</v>
      </c>
      <c r="AG570" s="110">
        <v>7.3160595141384496E-2</v>
      </c>
      <c r="AH570" s="110">
        <v>7.2208770677309561E-2</v>
      </c>
      <c r="AI570" s="110">
        <v>7.3286688451626322E-2</v>
      </c>
      <c r="AJ570" s="110">
        <v>6.0400000000000002E-2</v>
      </c>
      <c r="AK570" s="110">
        <v>6.0400000000000002E-2</v>
      </c>
      <c r="AL570" s="110">
        <v>6.0400000000000002E-2</v>
      </c>
      <c r="AM570" s="110">
        <v>6.0400000000000002E-2</v>
      </c>
      <c r="AN570" s="110">
        <v>6.0400000000000002E-2</v>
      </c>
      <c r="AO570" s="110">
        <v>6.0400000000000002E-2</v>
      </c>
      <c r="AP570" s="110">
        <v>6.0400000000000002E-2</v>
      </c>
      <c r="AQ570" s="110">
        <v>6.0400000000000002E-2</v>
      </c>
      <c r="AR570" s="110">
        <v>6.0400000000000002E-2</v>
      </c>
      <c r="AS570" s="110">
        <v>6.0400000000000002E-2</v>
      </c>
      <c r="AT570" s="110">
        <v>6.0400000000000002E-2</v>
      </c>
      <c r="AU570" s="110">
        <v>6.0400000000000002E-2</v>
      </c>
      <c r="AV570" s="110">
        <v>6.0400000000000002E-2</v>
      </c>
      <c r="AW570" s="110">
        <v>6.0400000000000002E-2</v>
      </c>
      <c r="AX570" s="110">
        <v>6.0400000000000002E-2</v>
      </c>
      <c r="AY570" s="110">
        <v>6.0400000000000002E-2</v>
      </c>
      <c r="AZ570" s="110">
        <v>6.0400000000000002E-2</v>
      </c>
      <c r="BA570" s="110">
        <v>6.0400000000000002E-2</v>
      </c>
      <c r="BB570" s="110">
        <v>6.0400000000000002E-2</v>
      </c>
      <c r="BC570" s="110">
        <f t="shared" si="210"/>
        <v>6.0400000000000002E-2</v>
      </c>
      <c r="BD570" s="110">
        <f t="shared" si="210"/>
        <v>6.0400000000000002E-2</v>
      </c>
      <c r="BE570" s="110">
        <f t="shared" si="210"/>
        <v>6.0400000000000002E-2</v>
      </c>
      <c r="BF570" s="110">
        <f t="shared" si="210"/>
        <v>6.0400000000000002E-2</v>
      </c>
      <c r="BG570" s="110">
        <f t="shared" si="210"/>
        <v>6.0400000000000002E-2</v>
      </c>
    </row>
    <row r="571" spans="1:59" ht="13.75" customHeight="1" outlineLevel="1">
      <c r="A571" s="141" t="s">
        <v>166</v>
      </c>
      <c r="B571" s="142" t="s">
        <v>530</v>
      </c>
      <c r="C571" s="170" t="s">
        <v>547</v>
      </c>
      <c r="D571" s="142" t="s">
        <v>377</v>
      </c>
      <c r="F571" s="168" t="s">
        <v>568</v>
      </c>
      <c r="G571" s="109" t="s">
        <v>3</v>
      </c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Z571" s="110">
        <v>9.5000000000000001E-2</v>
      </c>
      <c r="AA571" s="110">
        <v>9.5000000000000001E-2</v>
      </c>
      <c r="AB571" s="110">
        <v>0.09</v>
      </c>
      <c r="AC571" s="110">
        <v>8.7499999999999994E-2</v>
      </c>
      <c r="AD571" s="110">
        <v>8.7499999999999994E-2</v>
      </c>
      <c r="AE571" s="110">
        <v>9.5000000000000001E-2</v>
      </c>
      <c r="AF571" s="110">
        <v>9.5000000000000001E-2</v>
      </c>
      <c r="AG571" s="110">
        <v>8.4999999999999992E-2</v>
      </c>
      <c r="AH571" s="110">
        <v>0.08</v>
      </c>
      <c r="AI571" s="110">
        <v>0.08</v>
      </c>
      <c r="AJ571" s="110">
        <v>0.08</v>
      </c>
      <c r="AK571" s="110">
        <v>0.08</v>
      </c>
      <c r="AL571" s="110">
        <v>0.08</v>
      </c>
      <c r="AM571" s="110">
        <v>0.08</v>
      </c>
      <c r="AN571" s="110">
        <v>0.08</v>
      </c>
      <c r="AO571" s="110">
        <v>0.08</v>
      </c>
      <c r="AP571" s="110">
        <v>0.08</v>
      </c>
      <c r="AQ571" s="110">
        <v>0.08</v>
      </c>
      <c r="AR571" s="110">
        <v>0.08</v>
      </c>
      <c r="AS571" s="110">
        <v>0.08</v>
      </c>
      <c r="AT571" s="110">
        <v>0.08</v>
      </c>
      <c r="AU571" s="110">
        <v>0.08</v>
      </c>
      <c r="AV571" s="110">
        <v>0.08</v>
      </c>
      <c r="AW571" s="110">
        <v>0.08</v>
      </c>
      <c r="AX571" s="110">
        <v>0.08</v>
      </c>
      <c r="AY571" s="110">
        <v>0.08</v>
      </c>
      <c r="AZ571" s="110">
        <v>0.08</v>
      </c>
      <c r="BA571" s="110">
        <v>0.08</v>
      </c>
      <c r="BB571" s="110">
        <v>0.08</v>
      </c>
      <c r="BC571" s="110">
        <f t="shared" si="210"/>
        <v>0.08</v>
      </c>
      <c r="BD571" s="110">
        <f t="shared" si="210"/>
        <v>0.08</v>
      </c>
      <c r="BE571" s="110">
        <f t="shared" si="210"/>
        <v>0.08</v>
      </c>
      <c r="BF571" s="110">
        <f t="shared" si="210"/>
        <v>0.08</v>
      </c>
      <c r="BG571" s="110">
        <f t="shared" si="210"/>
        <v>0.08</v>
      </c>
    </row>
    <row r="572" spans="1:59" ht="13.75" customHeight="1" outlineLevel="1">
      <c r="A572" s="141" t="s">
        <v>166</v>
      </c>
      <c r="B572" s="142" t="s">
        <v>530</v>
      </c>
      <c r="C572" s="170" t="s">
        <v>547</v>
      </c>
      <c r="D572" s="142" t="s">
        <v>377</v>
      </c>
      <c r="F572" s="168" t="s">
        <v>569</v>
      </c>
      <c r="G572" s="109" t="s">
        <v>3</v>
      </c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Z572" s="110">
        <v>0.105</v>
      </c>
      <c r="AA572" s="110">
        <v>0.105</v>
      </c>
      <c r="AB572" s="110">
        <v>0.10249999999999999</v>
      </c>
      <c r="AC572" s="110">
        <v>9.9999999999999992E-2</v>
      </c>
      <c r="AD572" s="110">
        <v>9.9999999999999992E-2</v>
      </c>
      <c r="AE572" s="110">
        <v>0.105</v>
      </c>
      <c r="AF572" s="110">
        <v>0.105</v>
      </c>
      <c r="AG572" s="110">
        <v>9.4999999999999987E-2</v>
      </c>
      <c r="AH572" s="110">
        <v>0.09</v>
      </c>
      <c r="AI572" s="110">
        <v>0.09</v>
      </c>
      <c r="AJ572" s="110">
        <v>0.09</v>
      </c>
      <c r="AK572" s="110">
        <v>0.09</v>
      </c>
      <c r="AL572" s="110">
        <v>0.09</v>
      </c>
      <c r="AM572" s="110">
        <v>0.09</v>
      </c>
      <c r="AN572" s="110">
        <v>0.09</v>
      </c>
      <c r="AO572" s="110">
        <v>0.09</v>
      </c>
      <c r="AP572" s="110">
        <v>0.09</v>
      </c>
      <c r="AQ572" s="110">
        <v>0.09</v>
      </c>
      <c r="AR572" s="110">
        <v>0.09</v>
      </c>
      <c r="AS572" s="110">
        <v>0.09</v>
      </c>
      <c r="AT572" s="110">
        <v>0.09</v>
      </c>
      <c r="AU572" s="110">
        <v>0.09</v>
      </c>
      <c r="AV572" s="110">
        <v>0.09</v>
      </c>
      <c r="AW572" s="110">
        <v>0.09</v>
      </c>
      <c r="AX572" s="110">
        <v>0.09</v>
      </c>
      <c r="AY572" s="110">
        <v>0.09</v>
      </c>
      <c r="AZ572" s="110">
        <v>0.09</v>
      </c>
      <c r="BA572" s="110">
        <v>0.09</v>
      </c>
      <c r="BB572" s="110">
        <v>0.09</v>
      </c>
      <c r="BC572" s="110">
        <f t="shared" si="210"/>
        <v>0.09</v>
      </c>
      <c r="BD572" s="110">
        <f t="shared" si="210"/>
        <v>0.09</v>
      </c>
      <c r="BE572" s="110">
        <f t="shared" si="210"/>
        <v>0.09</v>
      </c>
      <c r="BF572" s="110">
        <f t="shared" si="210"/>
        <v>0.09</v>
      </c>
      <c r="BG572" s="110">
        <f t="shared" si="210"/>
        <v>0.09</v>
      </c>
    </row>
    <row r="573" spans="1:59" ht="13.75" customHeight="1" outlineLevel="1">
      <c r="A573" s="141" t="s">
        <v>166</v>
      </c>
      <c r="B573" s="142" t="s">
        <v>530</v>
      </c>
      <c r="C573" s="170" t="s">
        <v>547</v>
      </c>
      <c r="D573" s="142" t="s">
        <v>377</v>
      </c>
      <c r="F573" s="168" t="s">
        <v>570</v>
      </c>
      <c r="G573" s="109" t="s">
        <v>3</v>
      </c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Z573" s="110">
        <v>0.10249999999999999</v>
      </c>
      <c r="AA573" s="110">
        <v>0.10249999999999999</v>
      </c>
      <c r="AB573" s="110">
        <v>0.1</v>
      </c>
      <c r="AC573" s="110">
        <v>9.7500000000000003E-2</v>
      </c>
      <c r="AD573" s="110">
        <v>9.7500000000000003E-2</v>
      </c>
      <c r="AE573" s="110">
        <v>0.10250000000000001</v>
      </c>
      <c r="AF573" s="110">
        <v>0.10250000000000001</v>
      </c>
      <c r="AG573" s="110">
        <v>9.2499999999999999E-2</v>
      </c>
      <c r="AH573" s="110">
        <v>8.7500000000000008E-2</v>
      </c>
      <c r="AI573" s="110">
        <v>8.7500000000000008E-2</v>
      </c>
      <c r="AJ573" s="110">
        <v>8.7500000000000008E-2</v>
      </c>
      <c r="AK573" s="110">
        <v>8.7500000000000008E-2</v>
      </c>
      <c r="AL573" s="110">
        <v>8.7500000000000008E-2</v>
      </c>
      <c r="AM573" s="110">
        <v>8.7500000000000008E-2</v>
      </c>
      <c r="AN573" s="110">
        <v>8.7500000000000008E-2</v>
      </c>
      <c r="AO573" s="110">
        <v>8.7500000000000008E-2</v>
      </c>
      <c r="AP573" s="110">
        <v>8.7500000000000008E-2</v>
      </c>
      <c r="AQ573" s="110">
        <v>8.7500000000000008E-2</v>
      </c>
      <c r="AR573" s="110">
        <v>8.7500000000000008E-2</v>
      </c>
      <c r="AS573" s="110">
        <v>8.7500000000000008E-2</v>
      </c>
      <c r="AT573" s="110">
        <v>8.7500000000000008E-2</v>
      </c>
      <c r="AU573" s="110">
        <v>8.7500000000000008E-2</v>
      </c>
      <c r="AV573" s="110">
        <v>8.7500000000000008E-2</v>
      </c>
      <c r="AW573" s="110">
        <v>8.7500000000000008E-2</v>
      </c>
      <c r="AX573" s="110">
        <v>8.7500000000000008E-2</v>
      </c>
      <c r="AY573" s="110">
        <v>8.7500000000000008E-2</v>
      </c>
      <c r="AZ573" s="110">
        <v>8.7500000000000008E-2</v>
      </c>
      <c r="BA573" s="110">
        <v>8.7500000000000008E-2</v>
      </c>
      <c r="BB573" s="110">
        <v>8.7500000000000008E-2</v>
      </c>
      <c r="BC573" s="110">
        <f t="shared" si="210"/>
        <v>8.7500000000000008E-2</v>
      </c>
      <c r="BD573" s="110">
        <f t="shared" si="210"/>
        <v>8.7500000000000008E-2</v>
      </c>
      <c r="BE573" s="110">
        <f t="shared" si="210"/>
        <v>8.7500000000000008E-2</v>
      </c>
      <c r="BF573" s="110">
        <f t="shared" si="210"/>
        <v>8.7500000000000008E-2</v>
      </c>
      <c r="BG573" s="110">
        <f t="shared" si="210"/>
        <v>8.7500000000000008E-2</v>
      </c>
    </row>
    <row r="574" spans="1:59" ht="13.75" customHeight="1" outlineLevel="1">
      <c r="A574" s="141" t="s">
        <v>166</v>
      </c>
      <c r="B574" s="142" t="s">
        <v>530</v>
      </c>
      <c r="C574" s="170" t="s">
        <v>547</v>
      </c>
      <c r="D574" s="142" t="s">
        <v>377</v>
      </c>
      <c r="F574" s="168" t="s">
        <v>571</v>
      </c>
      <c r="G574" s="109" t="s">
        <v>3</v>
      </c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Z574" s="110">
        <v>0.11749999999999999</v>
      </c>
      <c r="AA574" s="110">
        <v>0.11749999999999999</v>
      </c>
      <c r="AB574" s="110">
        <v>0.115</v>
      </c>
      <c r="AC574" s="110">
        <v>0.1125</v>
      </c>
      <c r="AD574" s="110">
        <v>0.1125</v>
      </c>
      <c r="AE574" s="110">
        <v>0.11750000000000001</v>
      </c>
      <c r="AF574" s="110">
        <v>0.11750000000000001</v>
      </c>
      <c r="AG574" s="110">
        <v>0.1075</v>
      </c>
      <c r="AH574" s="110">
        <v>0.10250000000000001</v>
      </c>
      <c r="AI574" s="110">
        <v>0.10250000000000001</v>
      </c>
      <c r="AJ574" s="110">
        <v>0.10250000000000001</v>
      </c>
      <c r="AK574" s="110">
        <v>0.10250000000000001</v>
      </c>
      <c r="AL574" s="110">
        <v>0.10250000000000001</v>
      </c>
      <c r="AM574" s="110">
        <v>0.10250000000000001</v>
      </c>
      <c r="AN574" s="110">
        <v>0.10250000000000001</v>
      </c>
      <c r="AO574" s="110">
        <v>0.10250000000000001</v>
      </c>
      <c r="AP574" s="110">
        <v>0.10250000000000001</v>
      </c>
      <c r="AQ574" s="110">
        <v>0.10250000000000001</v>
      </c>
      <c r="AR574" s="110">
        <v>0.10250000000000001</v>
      </c>
      <c r="AS574" s="110">
        <v>0.10250000000000001</v>
      </c>
      <c r="AT574" s="110">
        <v>0.10250000000000001</v>
      </c>
      <c r="AU574" s="110">
        <v>0.10250000000000001</v>
      </c>
      <c r="AV574" s="110">
        <v>0.10250000000000001</v>
      </c>
      <c r="AW574" s="110">
        <v>0.10250000000000001</v>
      </c>
      <c r="AX574" s="110">
        <v>0.10250000000000001</v>
      </c>
      <c r="AY574" s="110">
        <v>0.10250000000000001</v>
      </c>
      <c r="AZ574" s="110">
        <v>0.10250000000000001</v>
      </c>
      <c r="BA574" s="110">
        <v>0.10250000000000001</v>
      </c>
      <c r="BB574" s="110">
        <v>0.10250000000000001</v>
      </c>
      <c r="BC574" s="110">
        <f t="shared" si="210"/>
        <v>0.10250000000000001</v>
      </c>
      <c r="BD574" s="110">
        <f t="shared" si="210"/>
        <v>0.10250000000000001</v>
      </c>
      <c r="BE574" s="110">
        <f t="shared" si="210"/>
        <v>0.10250000000000001</v>
      </c>
      <c r="BF574" s="110">
        <f t="shared" si="210"/>
        <v>0.10250000000000001</v>
      </c>
      <c r="BG574" s="110">
        <f t="shared" si="210"/>
        <v>0.10250000000000001</v>
      </c>
    </row>
    <row r="575" spans="1:59" ht="13.75" customHeight="1" outlineLevel="1">
      <c r="A575" s="141" t="s">
        <v>166</v>
      </c>
      <c r="B575" s="142" t="s">
        <v>530</v>
      </c>
      <c r="C575" s="170" t="s">
        <v>551</v>
      </c>
      <c r="D575" s="142" t="s">
        <v>377</v>
      </c>
      <c r="F575" s="168" t="s">
        <v>572</v>
      </c>
      <c r="G575" s="109" t="s">
        <v>3</v>
      </c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Z575" s="110">
        <v>0.11499999999999999</v>
      </c>
      <c r="AA575" s="110">
        <v>0.11499999999999999</v>
      </c>
      <c r="AB575" s="110">
        <v>0.11</v>
      </c>
      <c r="AC575" s="110">
        <v>0.105</v>
      </c>
      <c r="AD575" s="110">
        <v>0.10249999999999999</v>
      </c>
      <c r="AE575" s="110">
        <v>0.1075</v>
      </c>
      <c r="AF575" s="110">
        <v>0.1075</v>
      </c>
      <c r="AG575" s="110">
        <v>9.9999999999999992E-2</v>
      </c>
      <c r="AH575" s="110">
        <v>9.5000000000000001E-2</v>
      </c>
      <c r="AI575" s="110">
        <v>9.5000000000000001E-2</v>
      </c>
      <c r="AJ575" s="110">
        <v>9.5000000000000001E-2</v>
      </c>
      <c r="AK575" s="110">
        <v>9.5000000000000001E-2</v>
      </c>
      <c r="AL575" s="110">
        <v>9.5000000000000001E-2</v>
      </c>
      <c r="AM575" s="110">
        <v>9.5000000000000001E-2</v>
      </c>
      <c r="AN575" s="110">
        <v>9.5000000000000001E-2</v>
      </c>
      <c r="AO575" s="110">
        <v>9.5000000000000001E-2</v>
      </c>
      <c r="AP575" s="110">
        <v>9.5000000000000001E-2</v>
      </c>
      <c r="AQ575" s="110">
        <v>9.5000000000000001E-2</v>
      </c>
      <c r="AR575" s="110">
        <v>9.5000000000000001E-2</v>
      </c>
      <c r="AS575" s="110">
        <v>9.5000000000000001E-2</v>
      </c>
      <c r="AT575" s="110">
        <v>9.5000000000000001E-2</v>
      </c>
      <c r="AU575" s="110">
        <v>9.5000000000000001E-2</v>
      </c>
      <c r="AV575" s="110">
        <v>9.5000000000000001E-2</v>
      </c>
      <c r="AW575" s="110">
        <v>9.5000000000000001E-2</v>
      </c>
      <c r="AX575" s="110">
        <v>9.5000000000000001E-2</v>
      </c>
      <c r="AY575" s="110">
        <v>9.5000000000000001E-2</v>
      </c>
      <c r="AZ575" s="110">
        <v>9.5000000000000001E-2</v>
      </c>
      <c r="BA575" s="110">
        <v>9.5000000000000001E-2</v>
      </c>
      <c r="BB575" s="110">
        <v>9.5000000000000001E-2</v>
      </c>
      <c r="BC575" s="110">
        <f t="shared" si="210"/>
        <v>9.5000000000000001E-2</v>
      </c>
      <c r="BD575" s="110">
        <f t="shared" si="210"/>
        <v>9.5000000000000001E-2</v>
      </c>
      <c r="BE575" s="110">
        <f t="shared" si="210"/>
        <v>9.5000000000000001E-2</v>
      </c>
      <c r="BF575" s="110">
        <f t="shared" si="210"/>
        <v>9.5000000000000001E-2</v>
      </c>
      <c r="BG575" s="110">
        <f t="shared" si="210"/>
        <v>9.5000000000000001E-2</v>
      </c>
    </row>
    <row r="576" spans="1:59" ht="13.75" customHeight="1" outlineLevel="1">
      <c r="A576" s="141" t="s">
        <v>166</v>
      </c>
      <c r="B576" s="142" t="s">
        <v>530</v>
      </c>
      <c r="C576" s="170" t="s">
        <v>551</v>
      </c>
      <c r="D576" s="142" t="s">
        <v>377</v>
      </c>
      <c r="F576" s="168" t="s">
        <v>573</v>
      </c>
      <c r="G576" s="109" t="s">
        <v>3</v>
      </c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Z576" s="110">
        <v>0.13</v>
      </c>
      <c r="AA576" s="110">
        <v>0.13</v>
      </c>
      <c r="AB576" s="110">
        <v>0.1225</v>
      </c>
      <c r="AC576" s="110">
        <v>0.11749999999999999</v>
      </c>
      <c r="AD576" s="110">
        <v>0.11499999999999999</v>
      </c>
      <c r="AE576" s="110">
        <v>0.12</v>
      </c>
      <c r="AF576" s="110">
        <v>0.12</v>
      </c>
      <c r="AG576" s="110">
        <v>0.11249999999999999</v>
      </c>
      <c r="AH576" s="110">
        <v>0.1075</v>
      </c>
      <c r="AI576" s="110">
        <v>0.1075</v>
      </c>
      <c r="AJ576" s="110">
        <v>0.1075</v>
      </c>
      <c r="AK576" s="110">
        <v>0.1075</v>
      </c>
      <c r="AL576" s="110">
        <v>0.1075</v>
      </c>
      <c r="AM576" s="110">
        <v>0.1075</v>
      </c>
      <c r="AN576" s="110">
        <v>0.1075</v>
      </c>
      <c r="AO576" s="110">
        <v>0.1075</v>
      </c>
      <c r="AP576" s="110">
        <v>0.1075</v>
      </c>
      <c r="AQ576" s="110">
        <v>0.1075</v>
      </c>
      <c r="AR576" s="110">
        <v>0.1075</v>
      </c>
      <c r="AS576" s="110">
        <v>0.1075</v>
      </c>
      <c r="AT576" s="110">
        <v>0.1075</v>
      </c>
      <c r="AU576" s="110">
        <v>0.1075</v>
      </c>
      <c r="AV576" s="110">
        <v>0.1075</v>
      </c>
      <c r="AW576" s="110">
        <v>0.1075</v>
      </c>
      <c r="AX576" s="110">
        <v>0.1075</v>
      </c>
      <c r="AY576" s="110">
        <v>0.1075</v>
      </c>
      <c r="AZ576" s="110">
        <v>0.1075</v>
      </c>
      <c r="BA576" s="110">
        <v>0.1075</v>
      </c>
      <c r="BB576" s="110">
        <v>0.1075</v>
      </c>
      <c r="BC576" s="110">
        <f t="shared" si="210"/>
        <v>0.1075</v>
      </c>
      <c r="BD576" s="110">
        <f t="shared" si="210"/>
        <v>0.1075</v>
      </c>
      <c r="BE576" s="110">
        <f t="shared" si="210"/>
        <v>0.1075</v>
      </c>
      <c r="BF576" s="110">
        <f t="shared" si="210"/>
        <v>0.1075</v>
      </c>
      <c r="BG576" s="110">
        <f t="shared" si="210"/>
        <v>0.1075</v>
      </c>
    </row>
    <row r="577" spans="1:59" ht="13.75" customHeight="1" outlineLevel="1">
      <c r="A577" s="141" t="s">
        <v>166</v>
      </c>
      <c r="B577" s="142" t="s">
        <v>530</v>
      </c>
      <c r="C577" s="170" t="s">
        <v>551</v>
      </c>
      <c r="D577" s="142" t="s">
        <v>377</v>
      </c>
      <c r="F577" s="168" t="s">
        <v>574</v>
      </c>
      <c r="G577" s="109" t="s">
        <v>3</v>
      </c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Z577" s="110">
        <v>0.12</v>
      </c>
      <c r="AA577" s="110">
        <v>0.12</v>
      </c>
      <c r="AB577" s="110">
        <v>0.11749999999999999</v>
      </c>
      <c r="AC577" s="110">
        <v>0.11249999999999999</v>
      </c>
      <c r="AD577" s="110">
        <v>0.10999999999999999</v>
      </c>
      <c r="AE577" s="110">
        <v>0.11499999999999999</v>
      </c>
      <c r="AF577" s="110">
        <v>0.11499999999999999</v>
      </c>
      <c r="AG577" s="110">
        <v>0.10749999999999998</v>
      </c>
      <c r="AH577" s="110">
        <v>0.10249999999999999</v>
      </c>
      <c r="AI577" s="110">
        <v>0.10249999999999999</v>
      </c>
      <c r="AJ577" s="110">
        <v>0.10249999999999999</v>
      </c>
      <c r="AK577" s="110">
        <v>0.10249999999999999</v>
      </c>
      <c r="AL577" s="110">
        <v>0.10249999999999999</v>
      </c>
      <c r="AM577" s="110">
        <v>0.10249999999999999</v>
      </c>
      <c r="AN577" s="110">
        <v>0.10249999999999999</v>
      </c>
      <c r="AO577" s="110">
        <v>0.10249999999999999</v>
      </c>
      <c r="AP577" s="110">
        <v>0.10249999999999999</v>
      </c>
      <c r="AQ577" s="110">
        <v>0.10249999999999999</v>
      </c>
      <c r="AR577" s="110">
        <v>0.10249999999999999</v>
      </c>
      <c r="AS577" s="110">
        <v>0.10249999999999999</v>
      </c>
      <c r="AT577" s="110">
        <v>0.10249999999999999</v>
      </c>
      <c r="AU577" s="110">
        <v>0.10249999999999999</v>
      </c>
      <c r="AV577" s="110">
        <v>0.10249999999999999</v>
      </c>
      <c r="AW577" s="110">
        <v>0.10249999999999999</v>
      </c>
      <c r="AX577" s="110">
        <v>0.10249999999999999</v>
      </c>
      <c r="AY577" s="110">
        <v>0.10249999999999999</v>
      </c>
      <c r="AZ577" s="110">
        <v>0.10249999999999999</v>
      </c>
      <c r="BA577" s="110">
        <v>0.10249999999999999</v>
      </c>
      <c r="BB577" s="110">
        <v>0.10249999999999999</v>
      </c>
      <c r="BC577" s="110">
        <f t="shared" si="210"/>
        <v>0.10249999999999999</v>
      </c>
      <c r="BD577" s="110">
        <f t="shared" si="210"/>
        <v>0.10249999999999999</v>
      </c>
      <c r="BE577" s="110">
        <f t="shared" si="210"/>
        <v>0.10249999999999999</v>
      </c>
      <c r="BF577" s="110">
        <f t="shared" si="210"/>
        <v>0.10249999999999999</v>
      </c>
      <c r="BG577" s="110">
        <f t="shared" si="210"/>
        <v>0.10249999999999999</v>
      </c>
    </row>
    <row r="578" spans="1:59" ht="13.75" customHeight="1" outlineLevel="1">
      <c r="A578" s="141" t="s">
        <v>166</v>
      </c>
      <c r="B578" s="142" t="s">
        <v>530</v>
      </c>
      <c r="C578" s="170" t="s">
        <v>551</v>
      </c>
      <c r="D578" s="142" t="s">
        <v>377</v>
      </c>
      <c r="F578" s="168" t="s">
        <v>575</v>
      </c>
      <c r="G578" s="109" t="s">
        <v>3</v>
      </c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Z578" s="110">
        <v>0.13500000000000001</v>
      </c>
      <c r="AA578" s="110">
        <v>0.13500000000000001</v>
      </c>
      <c r="AB578" s="110">
        <v>0.13250000000000001</v>
      </c>
      <c r="AC578" s="110">
        <v>0.1275</v>
      </c>
      <c r="AD578" s="110">
        <v>0.125</v>
      </c>
      <c r="AE578" s="110">
        <v>0.13</v>
      </c>
      <c r="AF578" s="110">
        <v>0.13</v>
      </c>
      <c r="AG578" s="110">
        <v>0.1225</v>
      </c>
      <c r="AH578" s="110">
        <v>0.11750000000000001</v>
      </c>
      <c r="AI578" s="110">
        <v>0.11750000000000001</v>
      </c>
      <c r="AJ578" s="110">
        <v>0.11750000000000001</v>
      </c>
      <c r="AK578" s="110">
        <v>0.11750000000000001</v>
      </c>
      <c r="AL578" s="110">
        <v>0.11750000000000001</v>
      </c>
      <c r="AM578" s="110">
        <v>0.11750000000000001</v>
      </c>
      <c r="AN578" s="110">
        <v>0.11750000000000001</v>
      </c>
      <c r="AO578" s="110">
        <v>0.11750000000000001</v>
      </c>
      <c r="AP578" s="110">
        <v>0.11750000000000001</v>
      </c>
      <c r="AQ578" s="110">
        <v>0.11750000000000001</v>
      </c>
      <c r="AR578" s="110">
        <v>0.11750000000000001</v>
      </c>
      <c r="AS578" s="110">
        <v>0.11750000000000001</v>
      </c>
      <c r="AT578" s="110">
        <v>0.11750000000000001</v>
      </c>
      <c r="AU578" s="110">
        <v>0.11750000000000001</v>
      </c>
      <c r="AV578" s="110">
        <v>0.11750000000000001</v>
      </c>
      <c r="AW578" s="110">
        <v>0.11750000000000001</v>
      </c>
      <c r="AX578" s="110">
        <v>0.11750000000000001</v>
      </c>
      <c r="AY578" s="110">
        <v>0.11750000000000001</v>
      </c>
      <c r="AZ578" s="110">
        <v>0.11750000000000001</v>
      </c>
      <c r="BA578" s="110">
        <v>0.11750000000000001</v>
      </c>
      <c r="BB578" s="110">
        <v>0.11750000000000001</v>
      </c>
      <c r="BC578" s="110">
        <f t="shared" si="210"/>
        <v>0.11750000000000001</v>
      </c>
      <c r="BD578" s="110">
        <f t="shared" si="210"/>
        <v>0.11750000000000001</v>
      </c>
      <c r="BE578" s="110">
        <f t="shared" si="210"/>
        <v>0.11750000000000001</v>
      </c>
      <c r="BF578" s="110">
        <f t="shared" si="210"/>
        <v>0.11750000000000001</v>
      </c>
      <c r="BG578" s="110">
        <f t="shared" si="210"/>
        <v>0.11750000000000001</v>
      </c>
    </row>
    <row r="579" spans="1:59" ht="13.75" customHeight="1" outlineLevel="1">
      <c r="A579" s="141" t="s">
        <v>166</v>
      </c>
      <c r="B579" s="142" t="s">
        <v>530</v>
      </c>
      <c r="C579" s="170" t="s">
        <v>547</v>
      </c>
      <c r="D579" s="142" t="s">
        <v>377</v>
      </c>
      <c r="F579" s="168" t="s">
        <v>576</v>
      </c>
      <c r="G579" s="109" t="s">
        <v>3</v>
      </c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Z579" s="110">
        <v>0.16700000000000001</v>
      </c>
      <c r="AA579" s="110">
        <v>0.11</v>
      </c>
      <c r="AB579" s="110">
        <v>8.1000000000000003E-2</v>
      </c>
      <c r="AC579" s="110">
        <v>0.126</v>
      </c>
      <c r="AD579" s="110">
        <v>0.10299999999999999</v>
      </c>
      <c r="AE579" s="110">
        <v>0.128</v>
      </c>
      <c r="AF579" s="110">
        <v>0.12327762405460246</v>
      </c>
      <c r="AG579" s="110">
        <v>0.11055287537143856</v>
      </c>
      <c r="AH579" s="110">
        <v>9.7867421043742603E-2</v>
      </c>
      <c r="AI579" s="110">
        <v>7.8606984022401571E-2</v>
      </c>
      <c r="AJ579" s="110">
        <v>7.8606984022401571E-2</v>
      </c>
      <c r="AK579" s="110">
        <v>7.8606984022401571E-2</v>
      </c>
      <c r="AL579" s="110">
        <v>7.8606984022401571E-2</v>
      </c>
      <c r="AM579" s="110">
        <v>7.8606984022401571E-2</v>
      </c>
      <c r="AN579" s="110">
        <v>7.8606984022401571E-2</v>
      </c>
      <c r="AO579" s="110">
        <v>7.8606984022401571E-2</v>
      </c>
      <c r="AP579" s="110">
        <v>7.8606984022401571E-2</v>
      </c>
      <c r="AQ579" s="110">
        <v>7.8606984022401571E-2</v>
      </c>
      <c r="AR579" s="110">
        <v>7.8606984022401571E-2</v>
      </c>
      <c r="AS579" s="110">
        <v>7.8606984022401571E-2</v>
      </c>
      <c r="AT579" s="110">
        <v>7.8606984022401571E-2</v>
      </c>
      <c r="AU579" s="110">
        <v>7.8606984022401571E-2</v>
      </c>
      <c r="AV579" s="110">
        <v>7.8606984022401571E-2</v>
      </c>
      <c r="AW579" s="110">
        <v>7.8606984022401571E-2</v>
      </c>
      <c r="AX579" s="110">
        <v>7.8606984022401571E-2</v>
      </c>
      <c r="AY579" s="110">
        <v>7.8606984022401571E-2</v>
      </c>
      <c r="AZ579" s="110">
        <v>7.8606984022401571E-2</v>
      </c>
      <c r="BA579" s="110">
        <v>7.8606984022401571E-2</v>
      </c>
      <c r="BB579" s="110">
        <v>7.8606984022401571E-2</v>
      </c>
      <c r="BC579" s="110">
        <f t="shared" si="210"/>
        <v>7.8606984022401571E-2</v>
      </c>
      <c r="BD579" s="110">
        <f t="shared" si="210"/>
        <v>7.8606984022401571E-2</v>
      </c>
      <c r="BE579" s="110">
        <f t="shared" si="210"/>
        <v>7.8606984022401571E-2</v>
      </c>
      <c r="BF579" s="110">
        <f t="shared" si="210"/>
        <v>7.8606984022401571E-2</v>
      </c>
      <c r="BG579" s="110">
        <f t="shared" si="210"/>
        <v>7.8606984022401571E-2</v>
      </c>
    </row>
    <row r="580" spans="1:59" ht="13.75" customHeight="1" outlineLevel="1">
      <c r="A580" s="141" t="s">
        <v>166</v>
      </c>
      <c r="B580" s="142" t="s">
        <v>530</v>
      </c>
      <c r="C580" s="170" t="s">
        <v>547</v>
      </c>
      <c r="D580" s="142" t="s">
        <v>377</v>
      </c>
      <c r="F580" s="168" t="s">
        <v>577</v>
      </c>
      <c r="G580" s="109" t="s">
        <v>3</v>
      </c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Z580" s="107">
        <v>0.12619874407392062</v>
      </c>
      <c r="AA580" s="107">
        <v>9.4974148880558482E-2</v>
      </c>
      <c r="AB580" s="107">
        <v>0.10065583890437556</v>
      </c>
      <c r="AC580" s="107">
        <v>0.11636986301369862</v>
      </c>
      <c r="AD580" s="107">
        <v>0.11796381173895197</v>
      </c>
      <c r="AE580" s="107">
        <v>9.8000000000000004E-2</v>
      </c>
      <c r="AF580" s="107">
        <v>9.403684803499239E-2</v>
      </c>
      <c r="AG580" s="110">
        <v>7.5125880571466214E-2</v>
      </c>
      <c r="AH580" s="110">
        <v>6.799574857740863E-2</v>
      </c>
      <c r="AI580" s="110">
        <v>6.6924075150106566E-2</v>
      </c>
      <c r="AJ580" s="110">
        <v>6.6924075150106566E-2</v>
      </c>
      <c r="AK580" s="110">
        <v>6.6924075150106566E-2</v>
      </c>
      <c r="AL580" s="110">
        <v>6.6924075150106566E-2</v>
      </c>
      <c r="AM580" s="110">
        <v>6.6924075150106566E-2</v>
      </c>
      <c r="AN580" s="110">
        <v>6.6924075150106566E-2</v>
      </c>
      <c r="AO580" s="110">
        <v>6.6924075150106566E-2</v>
      </c>
      <c r="AP580" s="110">
        <v>6.6924075150106566E-2</v>
      </c>
      <c r="AQ580" s="110">
        <v>6.6924075150106566E-2</v>
      </c>
      <c r="AR580" s="110">
        <v>6.6924075150106566E-2</v>
      </c>
      <c r="AS580" s="110">
        <v>6.6924075150106566E-2</v>
      </c>
      <c r="AT580" s="110">
        <v>6.6924075150106566E-2</v>
      </c>
      <c r="AU580" s="110">
        <v>6.6924075150106566E-2</v>
      </c>
      <c r="AV580" s="110">
        <v>6.6924075150106566E-2</v>
      </c>
      <c r="AW580" s="110">
        <v>6.6924075150106566E-2</v>
      </c>
      <c r="AX580" s="110">
        <v>6.6924075150106566E-2</v>
      </c>
      <c r="AY580" s="110">
        <v>6.6924075150106566E-2</v>
      </c>
      <c r="AZ580" s="110">
        <v>6.6924075150106566E-2</v>
      </c>
      <c r="BA580" s="110">
        <v>6.6924075150106566E-2</v>
      </c>
      <c r="BB580" s="110">
        <v>6.6924075150106566E-2</v>
      </c>
      <c r="BC580" s="110">
        <f t="shared" si="210"/>
        <v>6.6924075150106566E-2</v>
      </c>
      <c r="BD580" s="110">
        <f t="shared" si="210"/>
        <v>6.6924075150106566E-2</v>
      </c>
      <c r="BE580" s="110">
        <f t="shared" si="210"/>
        <v>6.6924075150106566E-2</v>
      </c>
      <c r="BF580" s="110">
        <f t="shared" si="210"/>
        <v>6.6924075150106566E-2</v>
      </c>
      <c r="BG580" s="110">
        <f t="shared" si="210"/>
        <v>6.6924075150106566E-2</v>
      </c>
    </row>
    <row r="581" spans="1:59" ht="13.75" customHeight="1" outlineLevel="1">
      <c r="A581" s="141" t="s">
        <v>166</v>
      </c>
      <c r="B581" s="142" t="s">
        <v>530</v>
      </c>
      <c r="C581" s="170" t="s">
        <v>551</v>
      </c>
      <c r="D581" s="142" t="s">
        <v>377</v>
      </c>
      <c r="F581" s="168" t="s">
        <v>578</v>
      </c>
      <c r="G581" s="109" t="s">
        <v>3</v>
      </c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Z581" s="107">
        <v>7.9000000000000001E-2</v>
      </c>
      <c r="AA581" s="107">
        <v>6.2E-2</v>
      </c>
      <c r="AB581" s="107">
        <v>3.6999999999999998E-2</v>
      </c>
      <c r="AC581" s="107">
        <v>3.4999999999999996E-2</v>
      </c>
      <c r="AD581" s="107">
        <v>0.01</v>
      </c>
      <c r="AE581" s="107">
        <v>1.7999999999999999E-2</v>
      </c>
      <c r="AF581" s="107">
        <v>3.0264701918325171E-2</v>
      </c>
      <c r="AG581" s="110">
        <v>2.7999999999999997E-2</v>
      </c>
      <c r="AH581" s="110">
        <v>2.7999999999999997E-2</v>
      </c>
      <c r="AI581" s="110">
        <v>2.7999999999999997E-2</v>
      </c>
      <c r="AJ581" s="110">
        <v>2.7999999999999997E-2</v>
      </c>
      <c r="AK581" s="110">
        <v>2.7999999999999997E-2</v>
      </c>
      <c r="AL581" s="110">
        <v>2.7999999999999997E-2</v>
      </c>
      <c r="AM581" s="110">
        <v>2.7999999999999997E-2</v>
      </c>
      <c r="AN581" s="110">
        <v>2.7999999999999997E-2</v>
      </c>
      <c r="AO581" s="110">
        <v>2.7999999999999997E-2</v>
      </c>
      <c r="AP581" s="110">
        <v>2.7999999999999997E-2</v>
      </c>
      <c r="AQ581" s="110">
        <v>2.7999999999999997E-2</v>
      </c>
      <c r="AR581" s="110">
        <v>2.7999999999999997E-2</v>
      </c>
      <c r="AS581" s="110">
        <v>2.7999999999999997E-2</v>
      </c>
      <c r="AT581" s="110">
        <v>2.7999999999999997E-2</v>
      </c>
      <c r="AU581" s="110">
        <v>2.7999999999999997E-2</v>
      </c>
      <c r="AV581" s="110">
        <v>2.7999999999999997E-2</v>
      </c>
      <c r="AW581" s="110">
        <v>2.7999999999999997E-2</v>
      </c>
      <c r="AX581" s="110">
        <v>2.7999999999999997E-2</v>
      </c>
      <c r="AY581" s="110">
        <v>2.7999999999999997E-2</v>
      </c>
      <c r="AZ581" s="110">
        <v>2.7999999999999997E-2</v>
      </c>
      <c r="BA581" s="110">
        <v>2.7999999999999997E-2</v>
      </c>
      <c r="BB581" s="110">
        <v>2.7999999999999997E-2</v>
      </c>
      <c r="BC581" s="110">
        <f t="shared" si="210"/>
        <v>2.7999999999999997E-2</v>
      </c>
      <c r="BD581" s="110">
        <f t="shared" si="210"/>
        <v>2.7999999999999997E-2</v>
      </c>
      <c r="BE581" s="110">
        <f t="shared" si="210"/>
        <v>2.7999999999999997E-2</v>
      </c>
      <c r="BF581" s="110">
        <f t="shared" si="210"/>
        <v>2.7999999999999997E-2</v>
      </c>
      <c r="BG581" s="110">
        <f t="shared" si="210"/>
        <v>2.7999999999999997E-2</v>
      </c>
    </row>
    <row r="582" spans="1:59" ht="13.75" customHeight="1" outlineLevel="1">
      <c r="A582" s="141" t="s">
        <v>166</v>
      </c>
      <c r="B582" s="142" t="s">
        <v>530</v>
      </c>
      <c r="C582" s="170" t="s">
        <v>551</v>
      </c>
      <c r="D582" s="142" t="s">
        <v>377</v>
      </c>
      <c r="F582" s="168" t="s">
        <v>579</v>
      </c>
      <c r="G582" s="109" t="s">
        <v>3</v>
      </c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Z582" s="107">
        <v>7.9000000000000001E-2</v>
      </c>
      <c r="AA582" s="107">
        <v>6.2E-2</v>
      </c>
      <c r="AB582" s="107">
        <v>3.6999999999999998E-2</v>
      </c>
      <c r="AC582" s="107">
        <v>3.4999999999999996E-2</v>
      </c>
      <c r="AD582" s="107">
        <v>0.01</v>
      </c>
      <c r="AE582" s="107">
        <v>1.7999999999999999E-2</v>
      </c>
      <c r="AF582" s="107">
        <v>3.0264701918325171E-2</v>
      </c>
      <c r="AG582" s="110">
        <v>2.7999999999999997E-2</v>
      </c>
      <c r="AH582" s="110">
        <v>2.7999999999999997E-2</v>
      </c>
      <c r="AI582" s="110">
        <v>2.7999999999999997E-2</v>
      </c>
      <c r="AJ582" s="110">
        <v>2.7999999999999997E-2</v>
      </c>
      <c r="AK582" s="110">
        <v>2.7999999999999997E-2</v>
      </c>
      <c r="AL582" s="110">
        <v>2.7999999999999997E-2</v>
      </c>
      <c r="AM582" s="110">
        <v>2.7999999999999997E-2</v>
      </c>
      <c r="AN582" s="110">
        <v>2.7999999999999997E-2</v>
      </c>
      <c r="AO582" s="110">
        <v>2.7999999999999997E-2</v>
      </c>
      <c r="AP582" s="110">
        <v>2.7999999999999997E-2</v>
      </c>
      <c r="AQ582" s="110">
        <v>2.7999999999999997E-2</v>
      </c>
      <c r="AR582" s="110">
        <v>2.7999999999999997E-2</v>
      </c>
      <c r="AS582" s="110">
        <v>2.7999999999999997E-2</v>
      </c>
      <c r="AT582" s="110">
        <v>2.7999999999999997E-2</v>
      </c>
      <c r="AU582" s="110">
        <v>2.7999999999999997E-2</v>
      </c>
      <c r="AV582" s="110">
        <v>2.7999999999999997E-2</v>
      </c>
      <c r="AW582" s="110">
        <v>2.7999999999999997E-2</v>
      </c>
      <c r="AX582" s="110">
        <v>2.7999999999999997E-2</v>
      </c>
      <c r="AY582" s="110">
        <v>2.7999999999999997E-2</v>
      </c>
      <c r="AZ582" s="110">
        <v>2.7999999999999997E-2</v>
      </c>
      <c r="BA582" s="110">
        <v>2.7999999999999997E-2</v>
      </c>
      <c r="BB582" s="110">
        <v>2.7999999999999997E-2</v>
      </c>
      <c r="BC582" s="110">
        <f t="shared" si="210"/>
        <v>2.7999999999999997E-2</v>
      </c>
      <c r="BD582" s="110">
        <f t="shared" si="210"/>
        <v>2.7999999999999997E-2</v>
      </c>
      <c r="BE582" s="110">
        <f t="shared" si="210"/>
        <v>2.7999999999999997E-2</v>
      </c>
      <c r="BF582" s="110">
        <f t="shared" si="210"/>
        <v>2.7999999999999997E-2</v>
      </c>
      <c r="BG582" s="110">
        <f t="shared" si="210"/>
        <v>2.7999999999999997E-2</v>
      </c>
    </row>
    <row r="583" spans="1:59" ht="13.75" customHeight="1" outlineLevel="1">
      <c r="A583" s="141" t="s">
        <v>166</v>
      </c>
      <c r="B583" s="142" t="s">
        <v>530</v>
      </c>
      <c r="C583" s="142" t="s">
        <v>537</v>
      </c>
      <c r="D583" s="142" t="s">
        <v>168</v>
      </c>
      <c r="F583" s="168" t="s">
        <v>580</v>
      </c>
      <c r="G583" s="109" t="s">
        <v>3</v>
      </c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Z583" s="123">
        <v>-3.3299611005828123E-3</v>
      </c>
      <c r="AA583" s="123">
        <v>0.13792240729806582</v>
      </c>
      <c r="AB583" s="123">
        <v>-1.6097825731896331E-2</v>
      </c>
      <c r="AC583" s="123">
        <v>-2.4732708237298118E-2</v>
      </c>
      <c r="AD583" s="123">
        <v>0.17651656794507198</v>
      </c>
      <c r="AE583" s="123">
        <v>-0.21723584184397404</v>
      </c>
      <c r="AF583" s="123">
        <v>0.15261871704146968</v>
      </c>
      <c r="AG583" s="123">
        <v>-8.8457433928953555E-2</v>
      </c>
      <c r="AH583" s="123">
        <v>0.10493390994405027</v>
      </c>
      <c r="AI583" s="163">
        <v>5.8429442549625676E-3</v>
      </c>
      <c r="AJ583" s="163">
        <v>5.641648966334456E-3</v>
      </c>
      <c r="AK583" s="163">
        <v>5.4984250861749295E-3</v>
      </c>
      <c r="AL583" s="163">
        <v>5.3674321474606046E-3</v>
      </c>
      <c r="AM583" s="163">
        <v>5.2344146456810847E-3</v>
      </c>
      <c r="AN583" s="163">
        <v>5.09980196584503E-3</v>
      </c>
      <c r="AO583" s="163">
        <v>4.9640093394422991E-3</v>
      </c>
      <c r="AP583" s="163">
        <v>4.8274359382844967E-3</v>
      </c>
      <c r="AQ583" s="163">
        <v>4.690463246939558E-3</v>
      </c>
      <c r="AR583" s="163">
        <v>4.5534537112208451E-3</v>
      </c>
      <c r="AS583" s="163">
        <v>4.4167496562022013E-3</v>
      </c>
      <c r="AT583" s="163">
        <v>4.2806724637802773E-3</v>
      </c>
      <c r="AU583" s="163">
        <v>4.1455219968811186E-3</v>
      </c>
      <c r="AV583" s="163">
        <v>4.0115762550441136E-3</v>
      </c>
      <c r="AW583" s="163">
        <v>3.8790912442767667E-3</v>
      </c>
      <c r="AX583" s="163">
        <v>3.7483010427361574E-3</v>
      </c>
      <c r="AY583" s="163">
        <v>3.6194180429613976E-3</v>
      </c>
      <c r="AZ583" s="163">
        <v>3.6194180429613976E-3</v>
      </c>
      <c r="BA583" s="163">
        <v>3.6194180429613976E-3</v>
      </c>
      <c r="BB583" s="163">
        <v>3.6194180429613976E-3</v>
      </c>
      <c r="BC583" s="163">
        <f t="shared" si="210"/>
        <v>3.6194180429613976E-3</v>
      </c>
      <c r="BD583" s="163">
        <f t="shared" si="210"/>
        <v>3.6194180429613976E-3</v>
      </c>
      <c r="BE583" s="163">
        <f t="shared" si="210"/>
        <v>3.6194180429613976E-3</v>
      </c>
      <c r="BF583" s="163">
        <f t="shared" si="210"/>
        <v>3.6194180429613976E-3</v>
      </c>
      <c r="BG583" s="163">
        <f t="shared" si="210"/>
        <v>3.6194180429613976E-3</v>
      </c>
    </row>
    <row r="584" spans="1:59" ht="13.75" customHeight="1" outlineLevel="1">
      <c r="A584" s="141" t="s">
        <v>166</v>
      </c>
      <c r="B584" s="142" t="s">
        <v>530</v>
      </c>
      <c r="C584" s="142" t="s">
        <v>537</v>
      </c>
      <c r="D584" s="142" t="s">
        <v>377</v>
      </c>
      <c r="F584" s="168" t="s">
        <v>581</v>
      </c>
      <c r="G584" s="109" t="s">
        <v>3</v>
      </c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Z584" s="123">
        <v>-2.9793464113103907E-2</v>
      </c>
      <c r="AA584" s="123">
        <v>7.2205955206304573E-2</v>
      </c>
      <c r="AB584" s="123">
        <v>9.0944429488471368E-2</v>
      </c>
      <c r="AC584" s="123">
        <v>0.17263326754274377</v>
      </c>
      <c r="AD584" s="123">
        <v>0.29269173529089887</v>
      </c>
      <c r="AE584" s="123">
        <v>0.24596081103355538</v>
      </c>
      <c r="AF584" s="123">
        <v>6.8460103266909655E-4</v>
      </c>
      <c r="AG584" s="123">
        <v>2.943906262649465E-2</v>
      </c>
      <c r="AH584" s="123">
        <v>4.7043000319854533E-2</v>
      </c>
      <c r="AI584" s="163">
        <v>3.4377431201615627E-2</v>
      </c>
      <c r="AJ584" s="163">
        <v>3.472454573761552E-2</v>
      </c>
      <c r="AK584" s="163">
        <v>3.5312884715117177E-2</v>
      </c>
      <c r="AL584" s="163">
        <v>3.5890784623984207E-2</v>
      </c>
      <c r="AM584" s="163">
        <v>3.6457791613584201E-2</v>
      </c>
      <c r="AN584" s="163">
        <v>3.7013496476614671E-2</v>
      </c>
      <c r="AO584" s="163">
        <v>3.7557534862039388E-2</v>
      </c>
      <c r="AP584" s="163">
        <v>3.8089587157022375E-2</v>
      </c>
      <c r="AQ584" s="163">
        <v>3.8609378057627541E-2</v>
      </c>
      <c r="AR584" s="163">
        <v>3.9116675850885851E-2</v>
      </c>
      <c r="AS584" s="163">
        <v>3.9611291433006013E-2</v>
      </c>
      <c r="AT584" s="163">
        <v>4.0093077090149531E-2</v>
      </c>
      <c r="AU584" s="163">
        <v>4.0561925069249716E-2</v>
      </c>
      <c r="AV584" s="163">
        <v>4.1017765966854469E-2</v>
      </c>
      <c r="AW584" s="163">
        <v>4.1460566964039769E-2</v>
      </c>
      <c r="AX584" s="163">
        <v>4.1890329934994197E-2</v>
      </c>
      <c r="AY584" s="163">
        <v>4.2307089456089075E-2</v>
      </c>
      <c r="AZ584" s="163">
        <v>4.2307089456089075E-2</v>
      </c>
      <c r="BA584" s="163">
        <v>4.2307089456089075E-2</v>
      </c>
      <c r="BB584" s="163">
        <v>4.2307089456089075E-2</v>
      </c>
      <c r="BC584" s="163">
        <f t="shared" si="210"/>
        <v>4.2307089456089075E-2</v>
      </c>
      <c r="BD584" s="163">
        <f t="shared" si="210"/>
        <v>4.2307089456089075E-2</v>
      </c>
      <c r="BE584" s="163">
        <f t="shared" si="210"/>
        <v>4.2307089456089075E-2</v>
      </c>
      <c r="BF584" s="163">
        <f t="shared" si="210"/>
        <v>4.2307089456089075E-2</v>
      </c>
      <c r="BG584" s="163">
        <f t="shared" si="210"/>
        <v>4.2307089456089075E-2</v>
      </c>
    </row>
    <row r="585" spans="1:59" ht="13.75" customHeight="1" outlineLevel="1">
      <c r="A585" s="141" t="s">
        <v>166</v>
      </c>
      <c r="B585" s="142" t="s">
        <v>530</v>
      </c>
      <c r="C585" s="142" t="s">
        <v>537</v>
      </c>
      <c r="D585" s="142" t="s">
        <v>168</v>
      </c>
      <c r="F585" s="168" t="s">
        <v>582</v>
      </c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Z585" s="123">
        <v>0.48251546153401548</v>
      </c>
      <c r="AA585" s="123">
        <v>0.44908693090970297</v>
      </c>
      <c r="AB585" s="123">
        <v>1.7935092966307575E-2</v>
      </c>
      <c r="AC585" s="123">
        <v>5.7107540173053195E-2</v>
      </c>
      <c r="AD585" s="123">
        <v>0.29510865654457796</v>
      </c>
      <c r="AE585" s="123">
        <v>-0.15234920304198352</v>
      </c>
      <c r="AF585" s="123">
        <v>0.22185358893811191</v>
      </c>
      <c r="AG585" s="123">
        <v>-8.6521523216916307E-2</v>
      </c>
      <c r="AH585" s="123">
        <v>3.5569998950792492E-2</v>
      </c>
      <c r="AI585" s="123">
        <v>2.7005958034298727E-2</v>
      </c>
      <c r="AJ585" s="123">
        <v>2.5538446367164847E-2</v>
      </c>
      <c r="AK585" s="123">
        <v>2.4421011387969926E-2</v>
      </c>
      <c r="AL585" s="123">
        <v>2.3413356823221099E-2</v>
      </c>
      <c r="AM585" s="123">
        <v>2.2444132248566229E-2</v>
      </c>
      <c r="AN585" s="123">
        <v>2.1511683300630802E-2</v>
      </c>
      <c r="AO585" s="123">
        <v>2.0614497721491709E-2</v>
      </c>
      <c r="AP585" s="123">
        <v>1.9751184952483625E-2</v>
      </c>
      <c r="AQ585" s="123">
        <v>1.8920458705476761E-2</v>
      </c>
      <c r="AR585" s="123">
        <v>1.8121122091719233E-2</v>
      </c>
      <c r="AS585" s="123">
        <v>1.7352054952322726E-2</v>
      </c>
      <c r="AT585" s="123">
        <v>1.6612203086955768E-2</v>
      </c>
      <c r="AU585" s="123">
        <v>1.5900569120588015E-2</v>
      </c>
      <c r="AV585" s="123">
        <v>1.5216204784173515E-2</v>
      </c>
      <c r="AW585" s="123">
        <v>1.4558204415340503E-2</v>
      </c>
      <c r="AX585" s="123">
        <v>1.3925699510706435E-2</v>
      </c>
      <c r="AY585" s="123">
        <v>1.3317854183103384E-2</v>
      </c>
      <c r="AZ585" s="123">
        <v>1.3317854183103384E-2</v>
      </c>
      <c r="BA585" s="123">
        <v>1.3317854183103384E-2</v>
      </c>
      <c r="BB585" s="123">
        <v>1.3317854183103384E-2</v>
      </c>
      <c r="BC585" s="123">
        <f t="shared" si="210"/>
        <v>1.3317854183103384E-2</v>
      </c>
      <c r="BD585" s="123">
        <f t="shared" si="210"/>
        <v>1.3317854183103384E-2</v>
      </c>
      <c r="BE585" s="123">
        <f t="shared" si="210"/>
        <v>1.3317854183103384E-2</v>
      </c>
      <c r="BF585" s="123">
        <f t="shared" si="210"/>
        <v>1.3317854183103384E-2</v>
      </c>
      <c r="BG585" s="123">
        <f t="shared" si="210"/>
        <v>1.3317854183103384E-2</v>
      </c>
    </row>
    <row r="586" spans="1:59" ht="13.75" customHeight="1" outlineLevel="1">
      <c r="A586" s="141" t="s">
        <v>166</v>
      </c>
      <c r="B586" s="142" t="s">
        <v>530</v>
      </c>
      <c r="C586" s="142" t="s">
        <v>537</v>
      </c>
      <c r="D586" s="142" t="s">
        <v>377</v>
      </c>
      <c r="F586" s="168" t="s">
        <v>583</v>
      </c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Z586" s="123">
        <v>-1.2027357856432386E-2</v>
      </c>
      <c r="AA586" s="123">
        <v>5.8743262987340561E-2</v>
      </c>
      <c r="AB586" s="123">
        <v>0.16248794340150852</v>
      </c>
      <c r="AC586" s="123">
        <v>0.22457006049217587</v>
      </c>
      <c r="AD586" s="123">
        <v>0.26220347263749333</v>
      </c>
      <c r="AE586" s="123">
        <v>6.9578874458237072E-2</v>
      </c>
      <c r="AF586" s="123">
        <v>2.4543335073936579E-3</v>
      </c>
      <c r="AG586" s="123">
        <v>2.9139150027380989E-2</v>
      </c>
      <c r="AH586" s="123">
        <v>4.6571729994907107E-2</v>
      </c>
      <c r="AI586" s="123">
        <v>3.4048367860024076E-2</v>
      </c>
      <c r="AJ586" s="123">
        <v>3.4403104344531421E-2</v>
      </c>
      <c r="AK586" s="123">
        <v>3.4996869051125312E-2</v>
      </c>
      <c r="AL586" s="123">
        <v>3.5580457790483022E-2</v>
      </c>
      <c r="AM586" s="123">
        <v>3.6153392846433485E-2</v>
      </c>
      <c r="AN586" s="123">
        <v>3.6715240887982059E-2</v>
      </c>
      <c r="AO586" s="123">
        <v>3.7265613367819084E-2</v>
      </c>
      <c r="AP586" s="123">
        <v>3.7804166580503562E-2</v>
      </c>
      <c r="AQ586" s="123">
        <v>3.8330601398365083E-2</v>
      </c>
      <c r="AR586" s="123">
        <v>3.8844662706271738E-2</v>
      </c>
      <c r="AS586" s="123">
        <v>3.9346138558942423E-2</v>
      </c>
      <c r="AT586" s="123">
        <v>3.9834859086412822E-2</v>
      </c>
      <c r="AU586" s="123">
        <v>4.0310695174619271E-2</v>
      </c>
      <c r="AV586" s="123">
        <v>4.0773556948888734E-2</v>
      </c>
      <c r="AW586" s="123">
        <v>4.1223392088399757E-2</v>
      </c>
      <c r="AX586" s="123">
        <v>4.1660183999501221E-2</v>
      </c>
      <c r="AY586" s="123">
        <v>4.2083949875180604E-2</v>
      </c>
      <c r="AZ586" s="123">
        <v>4.2083949875180604E-2</v>
      </c>
      <c r="BA586" s="123">
        <v>4.2083949875180604E-2</v>
      </c>
      <c r="BB586" s="123">
        <v>4.2083949875180604E-2</v>
      </c>
      <c r="BC586" s="123">
        <f t="shared" si="210"/>
        <v>4.2083949875180604E-2</v>
      </c>
      <c r="BD586" s="123">
        <f t="shared" si="210"/>
        <v>4.2083949875180604E-2</v>
      </c>
      <c r="BE586" s="123">
        <f t="shared" si="210"/>
        <v>4.2083949875180604E-2</v>
      </c>
      <c r="BF586" s="123">
        <f t="shared" si="210"/>
        <v>4.2083949875180604E-2</v>
      </c>
      <c r="BG586" s="123">
        <f t="shared" si="210"/>
        <v>4.2083949875180604E-2</v>
      </c>
    </row>
    <row r="587" spans="1:59" ht="13.75" customHeight="1" outlineLevel="1">
      <c r="A587" s="141" t="s">
        <v>166</v>
      </c>
      <c r="B587" s="142" t="s">
        <v>530</v>
      </c>
      <c r="C587" s="142" t="s">
        <v>537</v>
      </c>
      <c r="D587" s="142" t="s">
        <v>168</v>
      </c>
      <c r="F587" s="168" t="s">
        <v>584</v>
      </c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Z587" s="123">
        <v>2.5700579565434367E-2</v>
      </c>
      <c r="AA587" s="123">
        <v>-9.7009713668973374E-2</v>
      </c>
      <c r="AB587" s="123">
        <v>-4.1751622958119516E-2</v>
      </c>
      <c r="AC587" s="123">
        <v>-7.4350351574442586E-3</v>
      </c>
      <c r="AD587" s="123">
        <v>0.43297152783766801</v>
      </c>
      <c r="AE587" s="123">
        <v>-0.30334451036024412</v>
      </c>
      <c r="AF587" s="123">
        <v>-0.1420308962039295</v>
      </c>
      <c r="AG587" s="123">
        <v>1.0888840474977401E-2</v>
      </c>
      <c r="AH587" s="123">
        <v>0.11080755711625234</v>
      </c>
      <c r="AI587" s="123">
        <v>0</v>
      </c>
      <c r="AJ587" s="123">
        <v>0</v>
      </c>
      <c r="AK587" s="123">
        <v>0</v>
      </c>
      <c r="AL587" s="123">
        <v>0</v>
      </c>
      <c r="AM587" s="123">
        <v>0</v>
      </c>
      <c r="AN587" s="123">
        <v>0</v>
      </c>
      <c r="AO587" s="123">
        <v>0</v>
      </c>
      <c r="AP587" s="123">
        <v>0</v>
      </c>
      <c r="AQ587" s="123">
        <v>0</v>
      </c>
      <c r="AR587" s="123">
        <v>0</v>
      </c>
      <c r="AS587" s="123">
        <v>0</v>
      </c>
      <c r="AT587" s="123">
        <v>0</v>
      </c>
      <c r="AU587" s="123">
        <v>0</v>
      </c>
      <c r="AV587" s="123">
        <v>0</v>
      </c>
      <c r="AW587" s="123">
        <v>0</v>
      </c>
      <c r="AX587" s="123">
        <v>0</v>
      </c>
      <c r="AY587" s="123">
        <v>0</v>
      </c>
      <c r="AZ587" s="123">
        <v>0</v>
      </c>
      <c r="BA587" s="123">
        <v>0</v>
      </c>
      <c r="BB587" s="123">
        <v>0</v>
      </c>
      <c r="BC587" s="123">
        <v>0</v>
      </c>
      <c r="BD587" s="123">
        <v>0</v>
      </c>
      <c r="BE587" s="123">
        <v>0</v>
      </c>
      <c r="BF587" s="123">
        <v>0</v>
      </c>
      <c r="BG587" s="123">
        <v>0</v>
      </c>
    </row>
    <row r="588" spans="1:59" ht="13.75" customHeight="1" outlineLevel="1">
      <c r="A588" s="141" t="s">
        <v>166</v>
      </c>
      <c r="B588" s="142" t="s">
        <v>530</v>
      </c>
      <c r="C588" s="142" t="s">
        <v>537</v>
      </c>
      <c r="D588" s="142" t="s">
        <v>377</v>
      </c>
      <c r="F588" s="168" t="s">
        <v>585</v>
      </c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Z588" s="123">
        <v>8.3000000000000001E-3</v>
      </c>
      <c r="AA588" s="123">
        <v>5.315383809287999E-2</v>
      </c>
      <c r="AB588" s="123">
        <v>0.11207899456446047</v>
      </c>
      <c r="AC588" s="123">
        <v>0.19952814736283075</v>
      </c>
      <c r="AD588" s="123">
        <v>0.27883746730684811</v>
      </c>
      <c r="AE588" s="123">
        <v>0.16698338562776094</v>
      </c>
      <c r="AF588" s="123">
        <v>-5.7162384374570219E-2</v>
      </c>
      <c r="AG588" s="123">
        <v>3.1739676113521798E-2</v>
      </c>
      <c r="AH588" s="123">
        <v>5.0574170334554136E-2</v>
      </c>
      <c r="AI588" s="123">
        <v>3.6833668478759352E-2</v>
      </c>
      <c r="AJ588" s="123">
        <v>3.7117444793089094E-2</v>
      </c>
      <c r="AK588" s="123">
        <v>3.7659236157989051E-2</v>
      </c>
      <c r="AL588" s="123">
        <v>3.8188985905765138E-2</v>
      </c>
      <c r="AM588" s="123">
        <v>3.8706427052230152E-2</v>
      </c>
      <c r="AN588" s="123">
        <v>3.9211336037676237E-2</v>
      </c>
      <c r="AO588" s="123">
        <v>3.9703531698052519E-2</v>
      </c>
      <c r="AP588" s="123">
        <v>4.0182874003839908E-2</v>
      </c>
      <c r="AQ588" s="123">
        <v>4.0649262594246061E-2</v>
      </c>
      <c r="AR588" s="123">
        <v>4.1102635134748988E-2</v>
      </c>
      <c r="AS588" s="123">
        <v>4.1542965525983577E-2</v>
      </c>
      <c r="AT588" s="123">
        <v>4.1970261991450375E-2</v>
      </c>
      <c r="AU588" s="123">
        <v>4.2384565070667568E-2</v>
      </c>
      <c r="AV588" s="123">
        <v>4.2785945543174497E-2</v>
      </c>
      <c r="AW588" s="123">
        <v>4.3174502307337104E-2</v>
      </c>
      <c r="AX588" s="123">
        <v>4.3550360236223273E-2</v>
      </c>
      <c r="AY588" s="123">
        <v>4.3913668030985509E-2</v>
      </c>
      <c r="AZ588" s="123">
        <v>4.3913668030985509E-2</v>
      </c>
      <c r="BA588" s="123">
        <v>4.3913668030985509E-2</v>
      </c>
      <c r="BB588" s="123">
        <v>4.3913668030985509E-2</v>
      </c>
      <c r="BC588" s="123">
        <f t="shared" si="210"/>
        <v>4.3913668030985509E-2</v>
      </c>
      <c r="BD588" s="123">
        <f t="shared" si="210"/>
        <v>4.3913668030985509E-2</v>
      </c>
      <c r="BE588" s="123">
        <f t="shared" si="210"/>
        <v>4.3913668030985509E-2</v>
      </c>
      <c r="BF588" s="123">
        <f t="shared" si="210"/>
        <v>4.3913668030985509E-2</v>
      </c>
      <c r="BG588" s="123">
        <f t="shared" si="210"/>
        <v>4.3913668030985509E-2</v>
      </c>
    </row>
    <row r="589" spans="1:59" ht="13.75" customHeight="1" outlineLevel="1">
      <c r="A589" s="141" t="s">
        <v>166</v>
      </c>
      <c r="B589" s="142" t="s">
        <v>530</v>
      </c>
      <c r="C589" s="142" t="s">
        <v>537</v>
      </c>
      <c r="D589" s="142" t="s">
        <v>168</v>
      </c>
      <c r="F589" s="168" t="s">
        <v>586</v>
      </c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Z589" s="123">
        <v>9.4596474147223386E-2</v>
      </c>
      <c r="AA589" s="123">
        <v>0.41870105941962232</v>
      </c>
      <c r="AB589" s="123">
        <v>0.11496865203761764</v>
      </c>
      <c r="AC589" s="123">
        <v>-0.18614505618090349</v>
      </c>
      <c r="AD589" s="123">
        <v>-6.5279885504188728E-2</v>
      </c>
      <c r="AE589" s="123">
        <v>-0.18249736008447726</v>
      </c>
      <c r="AF589" s="123">
        <v>-0.11559580121197421</v>
      </c>
      <c r="AG589" s="123">
        <v>-3.6544764453009915E-2</v>
      </c>
      <c r="AH589" s="123">
        <v>0.1092088507588076</v>
      </c>
      <c r="AI589" s="123">
        <v>2.2530575736396052E-2</v>
      </c>
      <c r="AJ589" s="123">
        <v>2.1303465022771473E-2</v>
      </c>
      <c r="AK589" s="123">
        <v>2.034909760925907E-2</v>
      </c>
      <c r="AL589" s="123">
        <v>1.9487030643184022E-2</v>
      </c>
      <c r="AM589" s="123">
        <v>1.8658275703725913E-2</v>
      </c>
      <c r="AN589" s="123">
        <v>1.7861557015026674E-2</v>
      </c>
      <c r="AO589" s="123">
        <v>1.7095681331367851E-2</v>
      </c>
      <c r="AP589" s="123">
        <v>1.6359526724989637E-2</v>
      </c>
      <c r="AQ589" s="123">
        <v>1.5652033074126992E-2</v>
      </c>
      <c r="AR589" s="123">
        <v>1.4972194014206908E-2</v>
      </c>
      <c r="AS589" s="123">
        <v>1.431905014795043E-2</v>
      </c>
      <c r="AT589" s="123">
        <v>1.3691683337676563E-2</v>
      </c>
      <c r="AU589" s="123">
        <v>1.3089211926574862E-2</v>
      </c>
      <c r="AV589" s="123">
        <v>1.2510786755754122E-2</v>
      </c>
      <c r="AW589" s="123">
        <v>1.1955587861113948E-2</v>
      </c>
      <c r="AX589" s="123">
        <v>1.1422821749043743E-2</v>
      </c>
      <c r="AY589" s="123">
        <v>1.0911719162940203E-2</v>
      </c>
      <c r="AZ589" s="123">
        <v>1.0911719162940203E-2</v>
      </c>
      <c r="BA589" s="123">
        <v>1.0911719162940203E-2</v>
      </c>
      <c r="BB589" s="123">
        <v>1.0911719162940203E-2</v>
      </c>
      <c r="BC589" s="123">
        <f t="shared" si="210"/>
        <v>1.0911719162940203E-2</v>
      </c>
      <c r="BD589" s="123">
        <f t="shared" si="210"/>
        <v>1.0911719162940203E-2</v>
      </c>
      <c r="BE589" s="123">
        <f t="shared" si="210"/>
        <v>1.0911719162940203E-2</v>
      </c>
      <c r="BF589" s="123">
        <f t="shared" si="210"/>
        <v>1.0911719162940203E-2</v>
      </c>
      <c r="BG589" s="123">
        <f t="shared" si="210"/>
        <v>1.0911719162940203E-2</v>
      </c>
    </row>
    <row r="590" spans="1:59" ht="13.75" customHeight="1" outlineLevel="1">
      <c r="A590" s="141" t="s">
        <v>166</v>
      </c>
      <c r="B590" s="142" t="s">
        <v>530</v>
      </c>
      <c r="C590" s="142" t="s">
        <v>537</v>
      </c>
      <c r="D590" s="142" t="s">
        <v>377</v>
      </c>
      <c r="F590" s="168" t="s">
        <v>587</v>
      </c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Z590" s="123">
        <v>7.3363502287884241E-3</v>
      </c>
      <c r="AA590" s="123">
        <v>7.7996094415240469E-2</v>
      </c>
      <c r="AB590" s="123">
        <v>0.11273666302990182</v>
      </c>
      <c r="AC590" s="123">
        <v>0.18754164492381009</v>
      </c>
      <c r="AD590" s="123">
        <v>0.33081671194165563</v>
      </c>
      <c r="AE590" s="123">
        <v>0.21794652266472547</v>
      </c>
      <c r="AF590" s="123">
        <v>-6.7368013667747917E-2</v>
      </c>
      <c r="AG590" s="123">
        <v>3.1729585611977473E-2</v>
      </c>
      <c r="AH590" s="123">
        <v>5.0580178729075609E-2</v>
      </c>
      <c r="AI590" s="123">
        <v>3.6837833770706929E-2</v>
      </c>
      <c r="AJ590" s="123">
        <v>3.712149304665413E-2</v>
      </c>
      <c r="AK590" s="123">
        <v>3.7663196489197581E-2</v>
      </c>
      <c r="AL590" s="123">
        <v>3.8192856179775747E-2</v>
      </c>
      <c r="AM590" s="123">
        <v>3.8710205458344582E-2</v>
      </c>
      <c r="AN590" s="123">
        <v>3.9215021082653623E-2</v>
      </c>
      <c r="AO590" s="123">
        <v>3.9707122197605527E-2</v>
      </c>
      <c r="AP590" s="123">
        <v>4.018636907251727E-2</v>
      </c>
      <c r="AQ590" s="123">
        <v>4.0652661633902909E-2</v>
      </c>
      <c r="AR590" s="123">
        <v>4.1105937821821259E-2</v>
      </c>
      <c r="AS590" s="123">
        <v>4.1546171797762099E-2</v>
      </c>
      <c r="AT590" s="123">
        <v>4.1973372031562262E-2</v>
      </c>
      <c r="AU590" s="123">
        <v>4.238757929395387E-2</v>
      </c>
      <c r="AV590" s="123">
        <v>4.2788864580147079E-2</v>
      </c>
      <c r="AW590" s="123">
        <v>4.3177326988389719E-2</v>
      </c>
      <c r="AX590" s="123">
        <v>4.3553091575747604E-2</v>
      </c>
      <c r="AY590" s="123">
        <v>4.3916307211542271E-2</v>
      </c>
      <c r="AZ590" s="123">
        <v>4.3916307211542271E-2</v>
      </c>
      <c r="BA590" s="123">
        <v>4.3916307211542271E-2</v>
      </c>
      <c r="BB590" s="123">
        <v>4.3916307211542271E-2</v>
      </c>
      <c r="BC590" s="123">
        <f t="shared" si="210"/>
        <v>4.3916307211542271E-2</v>
      </c>
      <c r="BD590" s="123">
        <f t="shared" si="210"/>
        <v>4.3916307211542271E-2</v>
      </c>
      <c r="BE590" s="123">
        <f t="shared" si="210"/>
        <v>4.3916307211542271E-2</v>
      </c>
      <c r="BF590" s="123">
        <f t="shared" si="210"/>
        <v>4.3916307211542271E-2</v>
      </c>
      <c r="BG590" s="123">
        <f t="shared" si="210"/>
        <v>4.3916307211542271E-2</v>
      </c>
    </row>
    <row r="591" spans="1:59" ht="13.75" customHeight="1" outlineLevel="1">
      <c r="A591" s="141" t="s">
        <v>166</v>
      </c>
      <c r="B591" s="142" t="s">
        <v>530</v>
      </c>
      <c r="C591" s="142" t="s">
        <v>537</v>
      </c>
      <c r="D591" s="142" t="s">
        <v>377</v>
      </c>
      <c r="F591" s="168" t="s">
        <v>588</v>
      </c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AA591" s="123">
        <v>7.5681639297942027E-4</v>
      </c>
      <c r="AB591" s="123">
        <v>0.11429368485797742</v>
      </c>
      <c r="AC591" s="123">
        <v>0.19437875533891558</v>
      </c>
      <c r="AD591" s="123">
        <v>9.6226986892946398E-2</v>
      </c>
      <c r="AE591" s="123">
        <v>0.17027093891131173</v>
      </c>
      <c r="AF591" s="123">
        <v>2.2675403157631724E-2</v>
      </c>
      <c r="AG591" s="123">
        <v>5.5871440924585958E-2</v>
      </c>
      <c r="AH591" s="123">
        <v>4.1956061117249588E-2</v>
      </c>
      <c r="AI591" s="163">
        <v>3.8689086191217692E-2</v>
      </c>
      <c r="AJ591" s="163">
        <v>3.8917514097387196E-2</v>
      </c>
      <c r="AK591" s="163">
        <v>3.9417166224928302E-2</v>
      </c>
      <c r="AL591" s="163">
        <v>3.9904041996629669E-2</v>
      </c>
      <c r="AM591" s="163">
        <v>4.0378018035532648E-2</v>
      </c>
      <c r="AN591" s="163">
        <v>4.0839009971564311E-2</v>
      </c>
      <c r="AO591" s="163">
        <v>4.1286970734007111E-2</v>
      </c>
      <c r="AP591" s="163">
        <v>4.1721888706794052E-2</v>
      </c>
      <c r="AQ591" s="163">
        <v>4.2143785773807396E-2</v>
      </c>
      <c r="AR591" s="163">
        <v>4.2552715280325115E-2</v>
      </c>
      <c r="AS591" s="163">
        <v>4.2948759935449221E-2</v>
      </c>
      <c r="AT591" s="163">
        <v>4.3332029678793571E-2</v>
      </c>
      <c r="AU591" s="163">
        <v>4.370265953295438E-2</v>
      </c>
      <c r="AV591" s="163">
        <v>4.406080746140173E-2</v>
      </c>
      <c r="AW591" s="163">
        <v>4.4406652249476153E-2</v>
      </c>
      <c r="AX591" s="163">
        <v>4.4740391424166637E-2</v>
      </c>
      <c r="AY591" s="163">
        <v>4.5062239226340006E-2</v>
      </c>
      <c r="AZ591" s="163">
        <v>4.5062239226340006E-2</v>
      </c>
      <c r="BA591" s="163">
        <v>4.5062239226340006E-2</v>
      </c>
      <c r="BB591" s="163">
        <v>4.5062239226340006E-2</v>
      </c>
      <c r="BC591" s="163">
        <f t="shared" si="210"/>
        <v>4.5062239226340006E-2</v>
      </c>
      <c r="BD591" s="163">
        <f t="shared" si="210"/>
        <v>4.5062239226340006E-2</v>
      </c>
      <c r="BE591" s="163">
        <f t="shared" si="210"/>
        <v>4.5062239226340006E-2</v>
      </c>
      <c r="BF591" s="163">
        <f t="shared" si="210"/>
        <v>4.5062239226340006E-2</v>
      </c>
      <c r="BG591" s="163">
        <f t="shared" si="210"/>
        <v>4.5062239226340006E-2</v>
      </c>
    </row>
    <row r="592" spans="1:59" ht="13.75" customHeight="1" outlineLevel="1">
      <c r="A592" s="141" t="s">
        <v>166</v>
      </c>
      <c r="B592" s="142" t="s">
        <v>530</v>
      </c>
      <c r="C592" s="142" t="s">
        <v>537</v>
      </c>
      <c r="D592" s="142" t="s">
        <v>377</v>
      </c>
      <c r="F592" s="168" t="s">
        <v>589</v>
      </c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Z592" s="124">
        <v>-0.11329474024199371</v>
      </c>
      <c r="AA592" s="123">
        <v>-0.15663089467342861</v>
      </c>
      <c r="AB592" s="123">
        <v>-8.2394763945646154E-2</v>
      </c>
      <c r="AC592" s="123">
        <v>-0.19790723777109953</v>
      </c>
      <c r="AD592" s="123">
        <v>-2.708436780571466E-2</v>
      </c>
      <c r="AE592" s="123">
        <v>7.9756878392799102E-2</v>
      </c>
      <c r="AF592" s="123">
        <v>-9.2635575194612962E-2</v>
      </c>
      <c r="AG592" s="123">
        <v>-3.6544764453009915E-2</v>
      </c>
      <c r="AH592" s="123">
        <v>0.1092088507588076</v>
      </c>
      <c r="AI592" s="123">
        <v>2.2530575736396052E-2</v>
      </c>
      <c r="AJ592" s="123">
        <v>2.1303465022771473E-2</v>
      </c>
      <c r="AK592" s="123">
        <v>2.034909760925907E-2</v>
      </c>
      <c r="AL592" s="123">
        <v>1.9487030643184022E-2</v>
      </c>
      <c r="AM592" s="123">
        <v>1.8658275703725913E-2</v>
      </c>
      <c r="AN592" s="123">
        <v>1.7861557015026674E-2</v>
      </c>
      <c r="AO592" s="123">
        <v>1.7095681331367851E-2</v>
      </c>
      <c r="AP592" s="123">
        <v>1.6359526724989637E-2</v>
      </c>
      <c r="AQ592" s="123">
        <v>1.5652033074126992E-2</v>
      </c>
      <c r="AR592" s="123">
        <v>1.4972194014206908E-2</v>
      </c>
      <c r="AS592" s="123">
        <v>1.431905014795043E-2</v>
      </c>
      <c r="AT592" s="123">
        <v>1.3691683337676563E-2</v>
      </c>
      <c r="AU592" s="123">
        <v>1.3089211926574862E-2</v>
      </c>
      <c r="AV592" s="123">
        <v>1.2510786755754122E-2</v>
      </c>
      <c r="AW592" s="123">
        <v>1.1955587861113948E-2</v>
      </c>
      <c r="AX592" s="123">
        <v>1.1422821749043743E-2</v>
      </c>
      <c r="AY592" s="123">
        <v>1.0911719162940203E-2</v>
      </c>
      <c r="AZ592" s="123">
        <v>1.0911719162940203E-2</v>
      </c>
      <c r="BA592" s="123">
        <v>1.0911719162940203E-2</v>
      </c>
      <c r="BB592" s="123">
        <v>1.0911719162940203E-2</v>
      </c>
      <c r="BC592" s="123">
        <f t="shared" si="210"/>
        <v>1.0911719162940203E-2</v>
      </c>
      <c r="BD592" s="123">
        <f t="shared" si="210"/>
        <v>1.0911719162940203E-2</v>
      </c>
      <c r="BE592" s="123">
        <f t="shared" si="210"/>
        <v>1.0911719162940203E-2</v>
      </c>
      <c r="BF592" s="123">
        <f t="shared" si="210"/>
        <v>1.0911719162940203E-2</v>
      </c>
      <c r="BG592" s="123">
        <f t="shared" si="210"/>
        <v>1.0911719162940203E-2</v>
      </c>
    </row>
    <row r="593" spans="1:59" ht="13.75" customHeight="1" outlineLevel="1">
      <c r="A593" s="141" t="s">
        <v>166</v>
      </c>
      <c r="B593" s="142" t="s">
        <v>530</v>
      </c>
      <c r="C593" s="142" t="s">
        <v>537</v>
      </c>
      <c r="D593" s="142" t="s">
        <v>377</v>
      </c>
      <c r="F593" s="168" t="s">
        <v>590</v>
      </c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7"/>
      <c r="AB593" s="123">
        <v>6.0378981257698916E-2</v>
      </c>
      <c r="AC593" s="123">
        <v>0.21969014465760606</v>
      </c>
      <c r="AD593" s="123">
        <v>0.25939544093362743</v>
      </c>
      <c r="AE593" s="123">
        <v>0.21794652266472547</v>
      </c>
      <c r="AF593" s="123">
        <v>-7.1871164139968746E-2</v>
      </c>
      <c r="AG593" s="123">
        <v>3.1729585611977473E-2</v>
      </c>
      <c r="AH593" s="123">
        <v>5.0580178729075609E-2</v>
      </c>
      <c r="AI593" s="123">
        <v>3.6837833770706929E-2</v>
      </c>
      <c r="AJ593" s="123">
        <v>3.712149304665413E-2</v>
      </c>
      <c r="AK593" s="123">
        <v>3.7663196489197581E-2</v>
      </c>
      <c r="AL593" s="123">
        <v>3.8192856179775747E-2</v>
      </c>
      <c r="AM593" s="123">
        <v>3.8710205458344582E-2</v>
      </c>
      <c r="AN593" s="123">
        <v>3.9215021082653623E-2</v>
      </c>
      <c r="AO593" s="123">
        <v>3.9707122197605527E-2</v>
      </c>
      <c r="AP593" s="123">
        <v>4.018636907251727E-2</v>
      </c>
      <c r="AQ593" s="123">
        <v>4.0652661633902909E-2</v>
      </c>
      <c r="AR593" s="123">
        <v>4.1105937821821259E-2</v>
      </c>
      <c r="AS593" s="123">
        <v>4.1546171797762099E-2</v>
      </c>
      <c r="AT593" s="123">
        <v>4.1973372031562262E-2</v>
      </c>
      <c r="AU593" s="123">
        <v>4.238757929395387E-2</v>
      </c>
      <c r="AV593" s="123">
        <v>4.2788864580147079E-2</v>
      </c>
      <c r="AW593" s="123">
        <v>4.3177326988389719E-2</v>
      </c>
      <c r="AX593" s="123">
        <v>4.3553091575747604E-2</v>
      </c>
      <c r="AY593" s="123">
        <v>4.3916307211542271E-2</v>
      </c>
      <c r="AZ593" s="123">
        <v>4.3916307211542271E-2</v>
      </c>
      <c r="BA593" s="123">
        <v>4.3916307211542271E-2</v>
      </c>
      <c r="BB593" s="123">
        <v>4.3916307211542271E-2</v>
      </c>
      <c r="BC593" s="123">
        <f>BB593</f>
        <v>4.3916307211542271E-2</v>
      </c>
      <c r="BD593" s="123">
        <f t="shared" ref="BD593:BG593" si="211">BC593</f>
        <v>4.3916307211542271E-2</v>
      </c>
      <c r="BE593" s="123">
        <f t="shared" si="211"/>
        <v>4.3916307211542271E-2</v>
      </c>
      <c r="BF593" s="123">
        <f t="shared" si="211"/>
        <v>4.3916307211542271E-2</v>
      </c>
      <c r="BG593" s="123">
        <f t="shared" si="211"/>
        <v>4.3916307211542271E-2</v>
      </c>
    </row>
    <row r="594" spans="1:59" ht="13.75" customHeight="1" outlineLevel="1">
      <c r="A594" s="141" t="s">
        <v>166</v>
      </c>
      <c r="B594" s="142" t="s">
        <v>530</v>
      </c>
      <c r="C594" s="142" t="s">
        <v>537</v>
      </c>
      <c r="D594" s="142" t="s">
        <v>377</v>
      </c>
      <c r="F594" s="168" t="s">
        <v>591</v>
      </c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23">
        <v>0.21991232099322433</v>
      </c>
      <c r="AF594" s="123">
        <v>4.0251928588409092E-2</v>
      </c>
      <c r="AG594" s="123">
        <v>2.891072384534854E-2</v>
      </c>
      <c r="AH594" s="123">
        <v>4.6210212732160194E-2</v>
      </c>
      <c r="AI594" s="163">
        <v>3.3795738389169383E-2</v>
      </c>
      <c r="AJ594" s="163">
        <v>3.4156187562074614E-2</v>
      </c>
      <c r="AK594" s="163">
        <v>3.4753986657538816E-2</v>
      </c>
      <c r="AL594" s="163">
        <v>3.5341818875954445E-2</v>
      </c>
      <c r="AM594" s="163">
        <v>3.591918845310782E-2</v>
      </c>
      <c r="AN594" s="163">
        <v>3.6485643743942919E-2</v>
      </c>
      <c r="AO594" s="163">
        <v>3.7040777765376287E-2</v>
      </c>
      <c r="AP594" s="163">
        <v>3.7584228392386843E-2</v>
      </c>
      <c r="AQ594" s="163">
        <v>3.811567822401063E-2</v>
      </c>
      <c r="AR594" s="163">
        <v>3.8634854139160568E-2</v>
      </c>
      <c r="AS594" s="163">
        <v>3.9141526564993256E-2</v>
      </c>
      <c r="AT594" s="163">
        <v>3.9635508482706472E-2</v>
      </c>
      <c r="AU594" s="163">
        <v>4.0116654197235535E-2</v>
      </c>
      <c r="AV594" s="163">
        <v>4.058485789837718E-2</v>
      </c>
      <c r="AW594" s="163">
        <v>4.1040052041333208E-2</v>
      </c>
      <c r="AX594" s="163">
        <v>4.1482205574706832E-2</v>
      </c>
      <c r="AY594" s="163">
        <v>4.1911322043526544E-2</v>
      </c>
      <c r="AZ594" s="163">
        <v>4.1911322043526544E-2</v>
      </c>
      <c r="BA594" s="163">
        <v>4.1911322043526544E-2</v>
      </c>
      <c r="BB594" s="163">
        <v>4.1911322043526544E-2</v>
      </c>
      <c r="BC594" s="163">
        <f t="shared" si="210"/>
        <v>4.1911322043526544E-2</v>
      </c>
      <c r="BD594" s="163">
        <f t="shared" si="210"/>
        <v>4.1911322043526544E-2</v>
      </c>
      <c r="BE594" s="163">
        <f t="shared" si="210"/>
        <v>4.1911322043526544E-2</v>
      </c>
      <c r="BF594" s="163">
        <f t="shared" si="210"/>
        <v>4.1911322043526544E-2</v>
      </c>
      <c r="BG594" s="163">
        <f t="shared" si="210"/>
        <v>4.1911322043526544E-2</v>
      </c>
    </row>
    <row r="595" spans="1:59" ht="13.75" customHeight="1" outlineLevel="1">
      <c r="F595" s="168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16"/>
      <c r="AH595" s="116"/>
      <c r="AI595" s="161"/>
      <c r="AJ595" s="161"/>
      <c r="AK595" s="161"/>
      <c r="AL595" s="161"/>
      <c r="AM595" s="161"/>
    </row>
    <row r="596" spans="1:59" ht="13.75" customHeight="1" outlineLevel="1">
      <c r="F596" s="168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16"/>
      <c r="AH596" s="116"/>
      <c r="AI596" s="161"/>
      <c r="AJ596" s="161"/>
      <c r="AK596" s="161"/>
      <c r="AL596" s="161"/>
      <c r="AM596" s="161"/>
    </row>
    <row r="597" spans="1:59" ht="13.75" customHeight="1" outlineLevel="1">
      <c r="F597" s="168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16"/>
      <c r="AH597" s="116"/>
      <c r="AI597" s="161"/>
      <c r="AJ597" s="161"/>
      <c r="AK597" s="161"/>
      <c r="AL597" s="161"/>
      <c r="AM597" s="161"/>
    </row>
    <row r="598" spans="1:59" ht="13.75" customHeight="1" outlineLevel="1">
      <c r="F598" s="168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16"/>
      <c r="AH598" s="116"/>
      <c r="AI598" s="161"/>
      <c r="AJ598" s="161"/>
      <c r="AK598" s="161"/>
      <c r="AL598" s="161"/>
      <c r="AM598" s="161"/>
    </row>
    <row r="599" spans="1:59" ht="13.75" customHeight="1" outlineLevel="1">
      <c r="A599" s="177" t="s">
        <v>166</v>
      </c>
      <c r="B599" s="178" t="s">
        <v>530</v>
      </c>
      <c r="C599" s="179" t="s">
        <v>543</v>
      </c>
      <c r="D599" s="178" t="s">
        <v>377</v>
      </c>
      <c r="E599" s="124"/>
      <c r="F599" s="180" t="s">
        <v>592</v>
      </c>
      <c r="G599" s="124" t="s">
        <v>3</v>
      </c>
      <c r="H599" s="124"/>
      <c r="I599" s="124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24"/>
      <c r="AB599" s="124"/>
      <c r="AC599" s="124"/>
      <c r="AD599" s="124"/>
      <c r="AE599" s="123">
        <v>6.2210915288542508E-2</v>
      </c>
      <c r="AF599" s="123">
        <v>6.468104623202886E-2</v>
      </c>
      <c r="AG599" s="123">
        <v>7.994952897998793E-2</v>
      </c>
      <c r="AH599" s="123">
        <v>7.8198473270822411E-2</v>
      </c>
      <c r="AI599" s="163">
        <v>7.2842999723848292E-2</v>
      </c>
      <c r="AJ599" s="163">
        <v>7.2255913486399606E-2</v>
      </c>
      <c r="AK599" s="163">
        <v>7.2255913486399606E-2</v>
      </c>
      <c r="AL599" s="163">
        <v>7.2255913486399606E-2</v>
      </c>
      <c r="AM599" s="163">
        <v>7.2255913486399606E-2</v>
      </c>
      <c r="AN599" s="163">
        <v>7.2255913486399606E-2</v>
      </c>
      <c r="AO599" s="163">
        <v>7.2255913486399606E-2</v>
      </c>
      <c r="AP599" s="163">
        <v>7.2255913486399606E-2</v>
      </c>
      <c r="AQ599" s="163">
        <v>7.2255913486399606E-2</v>
      </c>
      <c r="AR599" s="163">
        <v>7.2255913486399606E-2</v>
      </c>
      <c r="AS599" s="163">
        <v>7.2255913486399606E-2</v>
      </c>
      <c r="AT599" s="163">
        <v>7.2255913486399606E-2</v>
      </c>
      <c r="AU599" s="163">
        <v>7.2255913486399606E-2</v>
      </c>
      <c r="AV599" s="163">
        <v>7.2255913486399606E-2</v>
      </c>
      <c r="AW599" s="163">
        <v>7.2255913486399606E-2</v>
      </c>
      <c r="AX599" s="163">
        <v>7.2255913486399606E-2</v>
      </c>
      <c r="AY599" s="163">
        <v>7.2255913486399606E-2</v>
      </c>
      <c r="AZ599" s="163">
        <v>7.2255913486399606E-2</v>
      </c>
      <c r="BA599" s="163">
        <v>7.2255913486399606E-2</v>
      </c>
      <c r="BB599" s="163">
        <v>7.2255913486399606E-2</v>
      </c>
      <c r="BC599" s="163">
        <f t="shared" si="210"/>
        <v>7.2255913486399606E-2</v>
      </c>
      <c r="BD599" s="163">
        <f t="shared" si="210"/>
        <v>7.2255913486399606E-2</v>
      </c>
      <c r="BE599" s="163">
        <f t="shared" si="210"/>
        <v>7.2255913486399606E-2</v>
      </c>
      <c r="BF599" s="163">
        <f t="shared" si="210"/>
        <v>7.2255913486399606E-2</v>
      </c>
      <c r="BG599" s="163">
        <f t="shared" si="210"/>
        <v>7.2255913486399606E-2</v>
      </c>
    </row>
    <row r="600" spans="1:59" ht="13.75" customHeight="1" outlineLevel="1">
      <c r="C600" s="170"/>
      <c r="F600" s="168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28"/>
      <c r="AF600" s="128"/>
      <c r="AG600" s="128"/>
      <c r="AH600" s="128"/>
      <c r="AI600" s="183"/>
      <c r="AJ600" s="183"/>
      <c r="AK600" s="183"/>
      <c r="AL600" s="183"/>
      <c r="AM600" s="183"/>
      <c r="AN600" s="183"/>
      <c r="AO600" s="183"/>
      <c r="AP600" s="183"/>
      <c r="AQ600" s="183"/>
      <c r="AR600" s="183"/>
      <c r="AS600" s="183"/>
      <c r="AT600" s="183"/>
      <c r="AU600" s="183"/>
      <c r="AV600" s="183"/>
      <c r="AW600" s="183"/>
      <c r="AX600" s="183"/>
      <c r="AY600" s="183"/>
      <c r="AZ600" s="183"/>
      <c r="BA600" s="183"/>
      <c r="BB600" s="183"/>
      <c r="BC600" s="183"/>
      <c r="BD600" s="183"/>
      <c r="BE600" s="183"/>
      <c r="BF600" s="183"/>
      <c r="BG600" s="183"/>
    </row>
    <row r="601" spans="1:59" ht="13.75" customHeight="1" outlineLevel="1">
      <c r="C601" s="170"/>
      <c r="F601" s="168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28"/>
      <c r="AF601" s="128"/>
      <c r="AG601" s="128"/>
      <c r="AH601" s="128"/>
      <c r="AI601" s="183"/>
      <c r="AJ601" s="183"/>
      <c r="AK601" s="183"/>
      <c r="AL601" s="183"/>
      <c r="AM601" s="183"/>
      <c r="AN601" s="183"/>
      <c r="AO601" s="183"/>
      <c r="AP601" s="183"/>
      <c r="AQ601" s="183"/>
      <c r="AR601" s="183"/>
      <c r="AS601" s="183"/>
      <c r="AT601" s="183"/>
      <c r="AU601" s="183"/>
      <c r="AV601" s="183"/>
      <c r="AW601" s="183"/>
      <c r="AX601" s="183"/>
      <c r="AY601" s="183"/>
      <c r="AZ601" s="183"/>
      <c r="BA601" s="183"/>
      <c r="BB601" s="183"/>
      <c r="BC601" s="183"/>
      <c r="BD601" s="183"/>
      <c r="BE601" s="183"/>
      <c r="BF601" s="183"/>
      <c r="BG601" s="183"/>
    </row>
    <row r="602" spans="1:59" ht="13.75" customHeight="1" outlineLevel="1">
      <c r="C602" s="170"/>
      <c r="F602" s="168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28"/>
      <c r="AF602" s="128"/>
      <c r="AG602" s="128"/>
      <c r="AH602" s="128"/>
      <c r="AI602" s="183"/>
      <c r="AJ602" s="183"/>
      <c r="AK602" s="183"/>
      <c r="AL602" s="183"/>
      <c r="AM602" s="183"/>
      <c r="AN602" s="183"/>
      <c r="AO602" s="183"/>
      <c r="AP602" s="183"/>
      <c r="AQ602" s="183"/>
      <c r="AR602" s="183"/>
      <c r="AS602" s="183"/>
      <c r="AT602" s="183"/>
      <c r="AU602" s="183"/>
      <c r="AV602" s="183"/>
      <c r="AW602" s="183"/>
      <c r="AX602" s="183"/>
      <c r="AY602" s="183"/>
      <c r="AZ602" s="183"/>
      <c r="BA602" s="183"/>
      <c r="BB602" s="183"/>
      <c r="BC602" s="183"/>
      <c r="BD602" s="183"/>
      <c r="BE602" s="183"/>
      <c r="BF602" s="183"/>
      <c r="BG602" s="183"/>
    </row>
    <row r="603" spans="1:59" ht="13.75" customHeight="1" outlineLevel="1">
      <c r="C603" s="170"/>
      <c r="F603" s="168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28"/>
      <c r="AF603" s="128"/>
      <c r="AG603" s="128"/>
      <c r="AH603" s="128"/>
      <c r="AI603" s="183"/>
      <c r="AJ603" s="183"/>
      <c r="AK603" s="183"/>
      <c r="AL603" s="183"/>
      <c r="AM603" s="183"/>
      <c r="AN603" s="183"/>
      <c r="AO603" s="183"/>
      <c r="AP603" s="183"/>
      <c r="AQ603" s="183"/>
      <c r="AR603" s="183"/>
      <c r="AS603" s="183"/>
      <c r="AT603" s="183"/>
      <c r="AU603" s="183"/>
      <c r="AV603" s="183"/>
      <c r="AW603" s="183"/>
      <c r="AX603" s="183"/>
      <c r="AY603" s="183"/>
      <c r="AZ603" s="183"/>
      <c r="BA603" s="183"/>
      <c r="BB603" s="183"/>
      <c r="BC603" s="183"/>
      <c r="BD603" s="183"/>
      <c r="BE603" s="183"/>
      <c r="BF603" s="183"/>
      <c r="BG603" s="183"/>
    </row>
    <row r="604" spans="1:59" ht="13.75" customHeight="1" outlineLevel="1">
      <c r="C604" s="170"/>
      <c r="F604" s="168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28"/>
      <c r="AF604" s="128"/>
      <c r="AG604" s="128"/>
      <c r="AH604" s="128"/>
      <c r="AI604" s="183"/>
      <c r="AJ604" s="183"/>
      <c r="AK604" s="183"/>
      <c r="AL604" s="183"/>
      <c r="AM604" s="183"/>
      <c r="AN604" s="183"/>
      <c r="AO604" s="183"/>
      <c r="AP604" s="183"/>
      <c r="AQ604" s="183"/>
      <c r="AR604" s="183"/>
      <c r="AS604" s="183"/>
      <c r="AT604" s="183"/>
      <c r="AU604" s="183"/>
      <c r="AV604" s="183"/>
      <c r="AW604" s="183"/>
      <c r="AX604" s="183"/>
      <c r="AY604" s="183"/>
      <c r="AZ604" s="183"/>
      <c r="BA604" s="183"/>
      <c r="BB604" s="183"/>
      <c r="BC604" s="183"/>
      <c r="BD604" s="183"/>
      <c r="BE604" s="183"/>
      <c r="BF604" s="183"/>
      <c r="BG604" s="183"/>
    </row>
    <row r="605" spans="1:59" ht="13.75" customHeight="1" outlineLevel="1">
      <c r="C605" s="170"/>
      <c r="F605" s="168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28"/>
      <c r="AF605" s="128"/>
      <c r="AG605" s="128"/>
      <c r="AH605" s="128"/>
      <c r="AI605" s="183"/>
      <c r="AJ605" s="183"/>
      <c r="AK605" s="183"/>
      <c r="AL605" s="183"/>
      <c r="AM605" s="183"/>
      <c r="AN605" s="183"/>
      <c r="AO605" s="183"/>
      <c r="AP605" s="183"/>
      <c r="AQ605" s="183"/>
      <c r="AR605" s="183"/>
      <c r="AS605" s="183"/>
      <c r="AT605" s="183"/>
      <c r="AU605" s="183"/>
      <c r="AV605" s="183"/>
      <c r="AW605" s="183"/>
      <c r="AX605" s="183"/>
      <c r="AY605" s="183"/>
      <c r="AZ605" s="183"/>
      <c r="BA605" s="183"/>
      <c r="BB605" s="183"/>
      <c r="BC605" s="183"/>
      <c r="BD605" s="183"/>
      <c r="BE605" s="183"/>
      <c r="BF605" s="183"/>
      <c r="BG605" s="183"/>
    </row>
    <row r="606" spans="1:59" ht="13.75" customHeight="1" outlineLevel="1">
      <c r="C606" s="170"/>
      <c r="F606" s="168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28"/>
      <c r="AF606" s="128"/>
      <c r="AG606" s="128"/>
      <c r="AH606" s="128"/>
      <c r="AI606" s="183"/>
      <c r="AJ606" s="183"/>
      <c r="AK606" s="183"/>
      <c r="AL606" s="183"/>
      <c r="AM606" s="183"/>
      <c r="AN606" s="183"/>
      <c r="AO606" s="183"/>
      <c r="AP606" s="183"/>
      <c r="AQ606" s="183"/>
      <c r="AR606" s="183"/>
      <c r="AS606" s="183"/>
      <c r="AT606" s="183"/>
      <c r="AU606" s="183"/>
      <c r="AV606" s="183"/>
      <c r="AW606" s="183"/>
      <c r="AX606" s="183"/>
      <c r="AY606" s="183"/>
      <c r="AZ606" s="183"/>
      <c r="BA606" s="183"/>
      <c r="BB606" s="183"/>
      <c r="BC606" s="183"/>
      <c r="BD606" s="183"/>
      <c r="BE606" s="183"/>
      <c r="BF606" s="183"/>
      <c r="BG606" s="183"/>
    </row>
    <row r="607" spans="1:59" ht="13.75" customHeight="1" outlineLevel="1">
      <c r="C607" s="170"/>
      <c r="F607" s="168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28"/>
      <c r="AF607" s="128"/>
      <c r="AG607" s="128"/>
      <c r="AH607" s="128"/>
      <c r="AI607" s="183"/>
      <c r="AJ607" s="183"/>
      <c r="AK607" s="183"/>
      <c r="AL607" s="183"/>
      <c r="AM607" s="183"/>
      <c r="AN607" s="183"/>
      <c r="AO607" s="183"/>
      <c r="AP607" s="183"/>
      <c r="AQ607" s="183"/>
      <c r="AR607" s="183"/>
      <c r="AS607" s="183"/>
      <c r="AT607" s="183"/>
      <c r="AU607" s="183"/>
      <c r="AV607" s="183"/>
      <c r="AW607" s="183"/>
      <c r="AX607" s="183"/>
      <c r="AY607" s="183"/>
      <c r="AZ607" s="183"/>
      <c r="BA607" s="183"/>
      <c r="BB607" s="183"/>
      <c r="BC607" s="183"/>
      <c r="BD607" s="183"/>
      <c r="BE607" s="183"/>
      <c r="BF607" s="183"/>
      <c r="BG607" s="183"/>
    </row>
    <row r="608" spans="1:59" ht="13.75" customHeight="1" outlineLevel="1">
      <c r="C608" s="170"/>
      <c r="F608" s="168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28"/>
      <c r="AF608" s="128"/>
      <c r="AG608" s="128"/>
      <c r="AH608" s="128"/>
      <c r="AI608" s="183"/>
      <c r="AJ608" s="183"/>
      <c r="AK608" s="183"/>
      <c r="AL608" s="183"/>
      <c r="AM608" s="183"/>
      <c r="AN608" s="183"/>
      <c r="AO608" s="183"/>
      <c r="AP608" s="183"/>
      <c r="AQ608" s="183"/>
      <c r="AR608" s="183"/>
      <c r="AS608" s="183"/>
      <c r="AT608" s="183"/>
      <c r="AU608" s="183"/>
      <c r="AV608" s="183"/>
      <c r="AW608" s="183"/>
      <c r="AX608" s="183"/>
      <c r="AY608" s="183"/>
      <c r="AZ608" s="183"/>
      <c r="BA608" s="183"/>
      <c r="BB608" s="183"/>
      <c r="BC608" s="183"/>
      <c r="BD608" s="183"/>
      <c r="BE608" s="183"/>
      <c r="BF608" s="183"/>
      <c r="BG608" s="183"/>
    </row>
    <row r="609" spans="3:59" ht="13.75" customHeight="1" outlineLevel="1">
      <c r="C609" s="170"/>
      <c r="F609" s="168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28"/>
      <c r="AF609" s="128"/>
      <c r="AG609" s="128"/>
      <c r="AH609" s="128"/>
      <c r="AI609" s="183"/>
      <c r="AJ609" s="183"/>
      <c r="AK609" s="183"/>
      <c r="AL609" s="183"/>
      <c r="AM609" s="183"/>
      <c r="AN609" s="183"/>
      <c r="AO609" s="183"/>
      <c r="AP609" s="183"/>
      <c r="AQ609" s="183"/>
      <c r="AR609" s="183"/>
      <c r="AS609" s="183"/>
      <c r="AT609" s="183"/>
      <c r="AU609" s="183"/>
      <c r="AV609" s="183"/>
      <c r="AW609" s="183"/>
      <c r="AX609" s="183"/>
      <c r="AY609" s="183"/>
      <c r="AZ609" s="183"/>
      <c r="BA609" s="183"/>
      <c r="BB609" s="183"/>
      <c r="BC609" s="183"/>
      <c r="BD609" s="183"/>
      <c r="BE609" s="183"/>
      <c r="BF609" s="183"/>
      <c r="BG609" s="183"/>
    </row>
    <row r="610" spans="3:59" ht="13.75" customHeight="1" outlineLevel="1">
      <c r="C610" s="170"/>
      <c r="F610" s="168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28"/>
      <c r="AF610" s="128"/>
      <c r="AG610" s="128"/>
      <c r="AH610" s="128"/>
      <c r="AI610" s="183"/>
      <c r="AJ610" s="183"/>
      <c r="AK610" s="183"/>
      <c r="AL610" s="183"/>
      <c r="AM610" s="183"/>
      <c r="AN610" s="183"/>
      <c r="AO610" s="183"/>
      <c r="AP610" s="183"/>
      <c r="AQ610" s="183"/>
      <c r="AR610" s="183"/>
      <c r="AS610" s="183"/>
      <c r="AT610" s="183"/>
      <c r="AU610" s="183"/>
      <c r="AV610" s="183"/>
      <c r="AW610" s="183"/>
      <c r="AX610" s="183"/>
      <c r="AY610" s="183"/>
      <c r="AZ610" s="183"/>
      <c r="BA610" s="183"/>
      <c r="BB610" s="183"/>
      <c r="BC610" s="183"/>
      <c r="BD610" s="183"/>
      <c r="BE610" s="183"/>
      <c r="BF610" s="183"/>
      <c r="BG610" s="183"/>
    </row>
    <row r="611" spans="3:59" ht="13.75" customHeight="1" outlineLevel="1">
      <c r="C611" s="170"/>
      <c r="F611" s="168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28"/>
      <c r="AF611" s="128"/>
      <c r="AG611" s="128"/>
      <c r="AH611" s="128"/>
      <c r="AI611" s="183"/>
      <c r="AJ611" s="183"/>
      <c r="AK611" s="183"/>
      <c r="AL611" s="183"/>
      <c r="AM611" s="183"/>
      <c r="AN611" s="183"/>
      <c r="AO611" s="183"/>
      <c r="AP611" s="183"/>
      <c r="AQ611" s="183"/>
      <c r="AR611" s="183"/>
      <c r="AS611" s="183"/>
      <c r="AT611" s="183"/>
      <c r="AU611" s="183"/>
      <c r="AV611" s="183"/>
      <c r="AW611" s="183"/>
      <c r="AX611" s="183"/>
      <c r="AY611" s="183"/>
      <c r="AZ611" s="183"/>
      <c r="BA611" s="183"/>
      <c r="BB611" s="183"/>
      <c r="BC611" s="183"/>
      <c r="BD611" s="183"/>
      <c r="BE611" s="183"/>
      <c r="BF611" s="183"/>
      <c r="BG611" s="183"/>
    </row>
    <row r="612" spans="3:59" ht="13.75" customHeight="1" outlineLevel="1">
      <c r="C612" s="170"/>
      <c r="F612" s="168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28"/>
      <c r="AF612" s="128"/>
      <c r="AG612" s="128"/>
      <c r="AH612" s="128"/>
      <c r="AI612" s="183"/>
      <c r="AJ612" s="183"/>
      <c r="AK612" s="183"/>
      <c r="AL612" s="183"/>
      <c r="AM612" s="183"/>
      <c r="AN612" s="183"/>
      <c r="AO612" s="183"/>
      <c r="AP612" s="183"/>
      <c r="AQ612" s="183"/>
      <c r="AR612" s="183"/>
      <c r="AS612" s="183"/>
      <c r="AT612" s="183"/>
      <c r="AU612" s="183"/>
      <c r="AV612" s="183"/>
      <c r="AW612" s="183"/>
      <c r="AX612" s="183"/>
      <c r="AY612" s="183"/>
      <c r="AZ612" s="183"/>
      <c r="BA612" s="183"/>
      <c r="BB612" s="183"/>
      <c r="BC612" s="183"/>
      <c r="BD612" s="183"/>
      <c r="BE612" s="183"/>
      <c r="BF612" s="183"/>
      <c r="BG612" s="183"/>
    </row>
    <row r="613" spans="3:59" ht="13.75" customHeight="1" outlineLevel="1">
      <c r="C613" s="170"/>
      <c r="F613" s="168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28"/>
      <c r="AF613" s="128"/>
      <c r="AG613" s="128"/>
      <c r="AH613" s="128"/>
      <c r="AI613" s="183"/>
      <c r="AJ613" s="183"/>
      <c r="AK613" s="183"/>
      <c r="AL613" s="183"/>
      <c r="AM613" s="183"/>
      <c r="AN613" s="183"/>
      <c r="AO613" s="183"/>
      <c r="AP613" s="183"/>
      <c r="AQ613" s="183"/>
      <c r="AR613" s="183"/>
      <c r="AS613" s="183"/>
      <c r="AT613" s="183"/>
      <c r="AU613" s="183"/>
      <c r="AV613" s="183"/>
      <c r="AW613" s="183"/>
      <c r="AX613" s="183"/>
      <c r="AY613" s="183"/>
      <c r="AZ613" s="183"/>
      <c r="BA613" s="183"/>
      <c r="BB613" s="183"/>
      <c r="BC613" s="183"/>
      <c r="BD613" s="183"/>
      <c r="BE613" s="183"/>
      <c r="BF613" s="183"/>
      <c r="BG613" s="183"/>
    </row>
    <row r="614" spans="3:59" ht="13.75" customHeight="1" outlineLevel="1">
      <c r="C614" s="170"/>
      <c r="F614" s="168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16"/>
      <c r="AH614" s="116"/>
      <c r="AI614" s="161"/>
      <c r="AJ614" s="161"/>
      <c r="AK614" s="161"/>
      <c r="AL614" s="161"/>
      <c r="AM614" s="161"/>
    </row>
    <row r="615" spans="3:59" ht="13.75" customHeight="1" outlineLevel="1">
      <c r="C615" s="170"/>
      <c r="F615" s="168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16"/>
      <c r="AH615" s="116"/>
      <c r="AI615" s="161"/>
      <c r="AJ615" s="161"/>
      <c r="AK615" s="161"/>
      <c r="AL615" s="161"/>
      <c r="AM615" s="161"/>
    </row>
    <row r="616" spans="3:59" ht="13.75" customHeight="1" outlineLevel="1">
      <c r="C616" s="170"/>
      <c r="F616" s="168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16"/>
      <c r="AH616" s="116"/>
      <c r="AI616" s="161"/>
      <c r="AJ616" s="161"/>
      <c r="AK616" s="161"/>
      <c r="AL616" s="161"/>
      <c r="AM616" s="161"/>
    </row>
    <row r="617" spans="3:59" ht="13.75" customHeight="1" outlineLevel="1">
      <c r="C617" s="170"/>
      <c r="F617" s="168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16"/>
      <c r="AH617" s="116"/>
      <c r="AI617" s="161"/>
      <c r="AJ617" s="161"/>
      <c r="AK617" s="161"/>
      <c r="AL617" s="161"/>
      <c r="AM617" s="161"/>
    </row>
    <row r="618" spans="3:59" ht="13.75" customHeight="1" outlineLevel="1">
      <c r="C618" s="170"/>
      <c r="F618" s="168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16"/>
      <c r="AH618" s="116"/>
      <c r="AI618" s="161"/>
      <c r="AJ618" s="161"/>
      <c r="AK618" s="161"/>
      <c r="AL618" s="161"/>
      <c r="AM618" s="161"/>
    </row>
    <row r="619" spans="3:59" ht="13.75" customHeight="1" outlineLevel="1">
      <c r="C619" s="170"/>
      <c r="F619" s="168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16"/>
      <c r="AH619" s="116"/>
      <c r="AI619" s="161"/>
      <c r="AJ619" s="161"/>
      <c r="AK619" s="161"/>
      <c r="AL619" s="161"/>
      <c r="AM619" s="161"/>
    </row>
    <row r="620" spans="3:59" ht="13.75" customHeight="1" outlineLevel="1">
      <c r="C620" s="170"/>
      <c r="F620" s="168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16"/>
      <c r="AH620" s="116"/>
      <c r="AI620" s="161"/>
      <c r="AJ620" s="161"/>
      <c r="AK620" s="161"/>
      <c r="AL620" s="161"/>
      <c r="AM620" s="161"/>
    </row>
    <row r="621" spans="3:59" ht="13.75" customHeight="1" outlineLevel="1">
      <c r="C621" s="170"/>
      <c r="F621" s="168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16"/>
      <c r="AH621" s="116"/>
      <c r="AI621" s="161"/>
      <c r="AJ621" s="161"/>
      <c r="AK621" s="161"/>
      <c r="AL621" s="161"/>
      <c r="AM621" s="161"/>
    </row>
    <row r="622" spans="3:59" ht="13.75" customHeight="1" outlineLevel="1">
      <c r="C622" s="170"/>
      <c r="F622" s="168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16"/>
      <c r="AH622" s="116"/>
      <c r="AI622" s="161"/>
      <c r="AJ622" s="161"/>
      <c r="AK622" s="161"/>
      <c r="AL622" s="161"/>
      <c r="AM622" s="161"/>
    </row>
    <row r="623" spans="3:59" ht="13.75" customHeight="1" outlineLevel="1">
      <c r="C623" s="170"/>
      <c r="F623" s="168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16"/>
      <c r="AH623" s="116"/>
      <c r="AI623" s="161"/>
      <c r="AJ623" s="161"/>
      <c r="AK623" s="161"/>
      <c r="AL623" s="161"/>
      <c r="AM623" s="161"/>
    </row>
    <row r="624" spans="3:59" ht="13.75" customHeight="1" outlineLevel="1">
      <c r="C624" s="170"/>
      <c r="F624" s="168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16"/>
      <c r="AH624" s="116"/>
      <c r="AI624" s="161"/>
      <c r="AJ624" s="161"/>
      <c r="AK624" s="161"/>
      <c r="AL624" s="161"/>
      <c r="AM624" s="161"/>
    </row>
    <row r="625" spans="1:59" ht="13.75" customHeight="1" outlineLevel="1">
      <c r="A625" s="141" t="s">
        <v>166</v>
      </c>
      <c r="B625" s="142" t="s">
        <v>530</v>
      </c>
      <c r="C625" s="170" t="s">
        <v>543</v>
      </c>
      <c r="D625" s="142" t="s">
        <v>377</v>
      </c>
      <c r="F625" s="168" t="s">
        <v>593</v>
      </c>
      <c r="G625" s="109" t="s">
        <v>3</v>
      </c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24">
        <v>0.48877344172842596</v>
      </c>
      <c r="AF625" s="124">
        <v>0.50877344172842598</v>
      </c>
      <c r="AG625" s="124">
        <v>0.533773441728426</v>
      </c>
      <c r="AH625" s="124">
        <v>0.54377344172842601</v>
      </c>
      <c r="AI625" s="184">
        <v>0.54377344172842601</v>
      </c>
      <c r="AJ625" s="184">
        <v>0.54377344172842601</v>
      </c>
      <c r="AK625" s="184">
        <v>0.54377344172842601</v>
      </c>
      <c r="AL625" s="184">
        <v>0.54377344172842601</v>
      </c>
      <c r="AM625" s="184">
        <v>0.54377344172842601</v>
      </c>
      <c r="AN625" s="184">
        <v>0.54377344172842601</v>
      </c>
      <c r="AO625" s="184">
        <v>0.54377344172842601</v>
      </c>
      <c r="AP625" s="184">
        <v>0.54377344172842601</v>
      </c>
      <c r="AQ625" s="184">
        <v>0.54377344172842601</v>
      </c>
      <c r="AR625" s="184">
        <v>0.54377344172842601</v>
      </c>
      <c r="AS625" s="184">
        <v>0.54377344172842601</v>
      </c>
      <c r="AT625" s="184">
        <v>0.54377344172842601</v>
      </c>
      <c r="AU625" s="184">
        <v>0.54377344172842601</v>
      </c>
      <c r="AV625" s="184">
        <v>0.54377344172842601</v>
      </c>
      <c r="AW625" s="184">
        <v>0.54377344172842601</v>
      </c>
      <c r="AX625" s="184">
        <v>0.54377344172842601</v>
      </c>
      <c r="AY625" s="184">
        <v>0.54377344172842601</v>
      </c>
      <c r="AZ625" s="184">
        <v>0.54377344172842601</v>
      </c>
      <c r="BA625" s="184">
        <v>0.54377344172842601</v>
      </c>
      <c r="BB625" s="184">
        <v>0.54377344172842601</v>
      </c>
      <c r="BC625" s="184">
        <f t="shared" ref="BC625:BG638" si="212">BB625*(1+((BB625-BA625)/BA625))</f>
        <v>0.54377344172842601</v>
      </c>
      <c r="BD625" s="184">
        <f t="shared" si="212"/>
        <v>0.54377344172842601</v>
      </c>
      <c r="BE625" s="184">
        <f t="shared" si="212"/>
        <v>0.54377344172842601</v>
      </c>
      <c r="BF625" s="184">
        <f t="shared" si="212"/>
        <v>0.54377344172842601</v>
      </c>
      <c r="BG625" s="184">
        <f t="shared" si="212"/>
        <v>0.54377344172842601</v>
      </c>
    </row>
    <row r="626" spans="1:59" ht="13.75" customHeight="1" outlineLevel="1">
      <c r="A626" s="141" t="s">
        <v>166</v>
      </c>
      <c r="B626" s="142" t="s">
        <v>530</v>
      </c>
      <c r="C626" s="170" t="s">
        <v>543</v>
      </c>
      <c r="D626" s="142" t="s">
        <v>377</v>
      </c>
      <c r="F626" s="168" t="s">
        <v>594</v>
      </c>
      <c r="G626" s="109" t="s">
        <v>3</v>
      </c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24">
        <v>0.44814994185449308</v>
      </c>
      <c r="AF626" s="124">
        <v>0.49814994185449313</v>
      </c>
      <c r="AG626" s="124">
        <v>0.49314994185449312</v>
      </c>
      <c r="AH626" s="124">
        <v>0.50314994185449313</v>
      </c>
      <c r="AI626" s="184">
        <v>0.50314994185449313</v>
      </c>
      <c r="AJ626" s="184">
        <v>0.50314994185449313</v>
      </c>
      <c r="AK626" s="184">
        <v>0.50314994185449313</v>
      </c>
      <c r="AL626" s="184">
        <v>0.50314994185449313</v>
      </c>
      <c r="AM626" s="184">
        <v>0.50314994185449313</v>
      </c>
      <c r="AN626" s="184">
        <v>0.50314994185449313</v>
      </c>
      <c r="AO626" s="184">
        <v>0.50314994185449313</v>
      </c>
      <c r="AP626" s="184">
        <v>0.50314994185449313</v>
      </c>
      <c r="AQ626" s="184">
        <v>0.50314994185449313</v>
      </c>
      <c r="AR626" s="184">
        <v>0.50314994185449313</v>
      </c>
      <c r="AS626" s="184">
        <v>0.50314994185449313</v>
      </c>
      <c r="AT626" s="184">
        <v>0.50314994185449313</v>
      </c>
      <c r="AU626" s="184">
        <v>0.50314994185449313</v>
      </c>
      <c r="AV626" s="184">
        <v>0.50314994185449313</v>
      </c>
      <c r="AW626" s="184">
        <v>0.50314994185449313</v>
      </c>
      <c r="AX626" s="184">
        <v>0.50314994185449313</v>
      </c>
      <c r="AY626" s="184">
        <v>0.50314994185449313</v>
      </c>
      <c r="AZ626" s="184">
        <v>0.50314994185449313</v>
      </c>
      <c r="BA626" s="184">
        <v>0.50314994185449313</v>
      </c>
      <c r="BB626" s="184">
        <v>0.50314994185449313</v>
      </c>
      <c r="BC626" s="184">
        <f t="shared" si="212"/>
        <v>0.50314994185449313</v>
      </c>
      <c r="BD626" s="184">
        <f t="shared" si="212"/>
        <v>0.50314994185449313</v>
      </c>
      <c r="BE626" s="184">
        <f t="shared" si="212"/>
        <v>0.50314994185449313</v>
      </c>
      <c r="BF626" s="184">
        <f t="shared" si="212"/>
        <v>0.50314994185449313</v>
      </c>
      <c r="BG626" s="184">
        <f t="shared" si="212"/>
        <v>0.50314994185449313</v>
      </c>
    </row>
    <row r="627" spans="1:59" ht="13.75" customHeight="1" outlineLevel="1">
      <c r="A627" s="141" t="s">
        <v>166</v>
      </c>
      <c r="B627" s="142" t="s">
        <v>530</v>
      </c>
      <c r="C627" s="170" t="s">
        <v>543</v>
      </c>
      <c r="D627" s="142" t="s">
        <v>377</v>
      </c>
      <c r="F627" s="168" t="s">
        <v>595</v>
      </c>
      <c r="G627" s="109" t="s">
        <v>3</v>
      </c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24">
        <v>0.44529351662393224</v>
      </c>
      <c r="AF627" s="124">
        <v>0.46529351662393226</v>
      </c>
      <c r="AG627" s="124">
        <v>0.49029351662393228</v>
      </c>
      <c r="AH627" s="124">
        <v>0.50029351662393229</v>
      </c>
      <c r="AI627" s="184">
        <v>0.50029351662393229</v>
      </c>
      <c r="AJ627" s="184">
        <v>0.50029351662393229</v>
      </c>
      <c r="AK627" s="184">
        <v>0.50029351662393229</v>
      </c>
      <c r="AL627" s="184">
        <v>0.50029351662393229</v>
      </c>
      <c r="AM627" s="184">
        <v>0.50029351662393229</v>
      </c>
      <c r="AN627" s="184">
        <v>0.50029351662393229</v>
      </c>
      <c r="AO627" s="184">
        <v>0.50029351662393229</v>
      </c>
      <c r="AP627" s="184">
        <v>0.50029351662393229</v>
      </c>
      <c r="AQ627" s="184">
        <v>0.50029351662393229</v>
      </c>
      <c r="AR627" s="184">
        <v>0.50029351662393229</v>
      </c>
      <c r="AS627" s="184">
        <v>0.50029351662393229</v>
      </c>
      <c r="AT627" s="184">
        <v>0.50029351662393229</v>
      </c>
      <c r="AU627" s="184">
        <v>0.50029351662393229</v>
      </c>
      <c r="AV627" s="184">
        <v>0.50029351662393229</v>
      </c>
      <c r="AW627" s="184">
        <v>0.50029351662393229</v>
      </c>
      <c r="AX627" s="184">
        <v>0.50029351662393229</v>
      </c>
      <c r="AY627" s="184">
        <v>0.50029351662393229</v>
      </c>
      <c r="AZ627" s="184">
        <v>0.50029351662393229</v>
      </c>
      <c r="BA627" s="184">
        <v>0.50029351662393229</v>
      </c>
      <c r="BB627" s="184">
        <v>0.50029351662393229</v>
      </c>
      <c r="BC627" s="184">
        <f t="shared" si="212"/>
        <v>0.50029351662393229</v>
      </c>
      <c r="BD627" s="184">
        <f t="shared" si="212"/>
        <v>0.50029351662393229</v>
      </c>
      <c r="BE627" s="184">
        <f t="shared" si="212"/>
        <v>0.50029351662393229</v>
      </c>
      <c r="BF627" s="184">
        <f t="shared" si="212"/>
        <v>0.50029351662393229</v>
      </c>
      <c r="BG627" s="184">
        <f t="shared" si="212"/>
        <v>0.50029351662393229</v>
      </c>
    </row>
    <row r="628" spans="1:59" ht="13.75" customHeight="1" outlineLevel="1">
      <c r="A628" s="141" t="s">
        <v>166</v>
      </c>
      <c r="B628" s="142" t="s">
        <v>530</v>
      </c>
      <c r="C628" s="170" t="s">
        <v>543</v>
      </c>
      <c r="D628" s="142" t="s">
        <v>377</v>
      </c>
      <c r="F628" s="168" t="s">
        <v>596</v>
      </c>
      <c r="G628" s="109" t="s">
        <v>3</v>
      </c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24">
        <v>0.57359629845650684</v>
      </c>
      <c r="AF628" s="124">
        <v>0.59359629845650685</v>
      </c>
      <c r="AG628" s="124">
        <v>0.61859629845650688</v>
      </c>
      <c r="AH628" s="124">
        <v>0.62859629845650689</v>
      </c>
      <c r="AI628" s="184">
        <v>0.62859629845650689</v>
      </c>
      <c r="AJ628" s="184">
        <v>0.62859629845650689</v>
      </c>
      <c r="AK628" s="184">
        <v>0.62859629845650689</v>
      </c>
      <c r="AL628" s="184">
        <v>0.62859629845650689</v>
      </c>
      <c r="AM628" s="184">
        <v>0.62859629845650689</v>
      </c>
      <c r="AN628" s="184">
        <v>0.62859629845650689</v>
      </c>
      <c r="AO628" s="184">
        <v>0.62859629845650689</v>
      </c>
      <c r="AP628" s="184">
        <v>0.62859629845650689</v>
      </c>
      <c r="AQ628" s="184">
        <v>0.62859629845650689</v>
      </c>
      <c r="AR628" s="184">
        <v>0.62859629845650689</v>
      </c>
      <c r="AS628" s="184">
        <v>0.62859629845650689</v>
      </c>
      <c r="AT628" s="184">
        <v>0.62859629845650689</v>
      </c>
      <c r="AU628" s="184">
        <v>0.62859629845650689</v>
      </c>
      <c r="AV628" s="184">
        <v>0.62859629845650689</v>
      </c>
      <c r="AW628" s="184">
        <v>0.62859629845650689</v>
      </c>
      <c r="AX628" s="184">
        <v>0.62859629845650689</v>
      </c>
      <c r="AY628" s="184">
        <v>0.62859629845650689</v>
      </c>
      <c r="AZ628" s="184">
        <v>0.62859629845650689</v>
      </c>
      <c r="BA628" s="184">
        <v>0.62859629845650689</v>
      </c>
      <c r="BB628" s="184">
        <v>0.62859629845650689</v>
      </c>
      <c r="BC628" s="184">
        <f t="shared" si="212"/>
        <v>0.62859629845650689</v>
      </c>
      <c r="BD628" s="184">
        <f t="shared" si="212"/>
        <v>0.62859629845650689</v>
      </c>
      <c r="BE628" s="184">
        <f t="shared" si="212"/>
        <v>0.62859629845650689</v>
      </c>
      <c r="BF628" s="184">
        <f t="shared" si="212"/>
        <v>0.62859629845650689</v>
      </c>
      <c r="BG628" s="184">
        <f t="shared" si="212"/>
        <v>0.62859629845650689</v>
      </c>
    </row>
    <row r="629" spans="1:59" ht="13.75" customHeight="1" outlineLevel="1">
      <c r="A629" s="141" t="s">
        <v>166</v>
      </c>
      <c r="B629" s="142" t="s">
        <v>530</v>
      </c>
      <c r="C629" s="170" t="s">
        <v>543</v>
      </c>
      <c r="D629" s="142" t="s">
        <v>377</v>
      </c>
      <c r="F629" s="168" t="s">
        <v>597</v>
      </c>
      <c r="G629" s="109" t="s">
        <v>3</v>
      </c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24">
        <v>0.41421308257758527</v>
      </c>
      <c r="AF629" s="124">
        <v>0.43421308257758529</v>
      </c>
      <c r="AG629" s="124">
        <v>0.45921308257758531</v>
      </c>
      <c r="AH629" s="124">
        <v>0.46921308257758532</v>
      </c>
      <c r="AI629" s="184">
        <v>0.46921308257758532</v>
      </c>
      <c r="AJ629" s="184">
        <v>0.46921308257758532</v>
      </c>
      <c r="AK629" s="184">
        <v>0.46921308257758532</v>
      </c>
      <c r="AL629" s="184">
        <v>0.46921308257758532</v>
      </c>
      <c r="AM629" s="184">
        <v>0.46921308257758532</v>
      </c>
      <c r="AN629" s="184">
        <v>0.46921308257758532</v>
      </c>
      <c r="AO629" s="184">
        <v>0.46921308257758532</v>
      </c>
      <c r="AP629" s="184">
        <v>0.46921308257758532</v>
      </c>
      <c r="AQ629" s="184">
        <v>0.46921308257758532</v>
      </c>
      <c r="AR629" s="184">
        <v>0.46921308257758532</v>
      </c>
      <c r="AS629" s="184">
        <v>0.46921308257758532</v>
      </c>
      <c r="AT629" s="184">
        <v>0.46921308257758532</v>
      </c>
      <c r="AU629" s="184">
        <v>0.46921308257758532</v>
      </c>
      <c r="AV629" s="184">
        <v>0.46921308257758532</v>
      </c>
      <c r="AW629" s="184">
        <v>0.46921308257758532</v>
      </c>
      <c r="AX629" s="184">
        <v>0.46921308257758532</v>
      </c>
      <c r="AY629" s="184">
        <v>0.46921308257758532</v>
      </c>
      <c r="AZ629" s="184">
        <v>0.46921308257758532</v>
      </c>
      <c r="BA629" s="184">
        <v>0.46921308257758532</v>
      </c>
      <c r="BB629" s="184">
        <v>0.46921308257758532</v>
      </c>
      <c r="BC629" s="184">
        <f t="shared" si="212"/>
        <v>0.46921308257758532</v>
      </c>
      <c r="BD629" s="184">
        <f t="shared" si="212"/>
        <v>0.46921308257758532</v>
      </c>
      <c r="BE629" s="184">
        <f t="shared" si="212"/>
        <v>0.46921308257758532</v>
      </c>
      <c r="BF629" s="184">
        <f t="shared" si="212"/>
        <v>0.46921308257758532</v>
      </c>
      <c r="BG629" s="184">
        <f t="shared" si="212"/>
        <v>0.46921308257758532</v>
      </c>
    </row>
    <row r="630" spans="1:59" ht="13.75" customHeight="1" outlineLevel="1">
      <c r="A630" s="141" t="s">
        <v>166</v>
      </c>
      <c r="B630" s="142" t="s">
        <v>530</v>
      </c>
      <c r="C630" s="170" t="s">
        <v>543</v>
      </c>
      <c r="D630" s="142" t="s">
        <v>377</v>
      </c>
      <c r="F630" s="168" t="s">
        <v>598</v>
      </c>
      <c r="G630" s="109" t="s">
        <v>3</v>
      </c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24">
        <v>0.56589037169062939</v>
      </c>
      <c r="AF630" s="124">
        <v>0.58589037169062941</v>
      </c>
      <c r="AG630" s="124">
        <v>0.61089037169062943</v>
      </c>
      <c r="AH630" s="124">
        <v>0.62089037169062944</v>
      </c>
      <c r="AI630" s="184">
        <v>0.62089037169062944</v>
      </c>
      <c r="AJ630" s="184">
        <v>0.62089037169062944</v>
      </c>
      <c r="AK630" s="184">
        <v>0.62089037169062944</v>
      </c>
      <c r="AL630" s="184">
        <v>0.62089037169062944</v>
      </c>
      <c r="AM630" s="184">
        <v>0.62089037169062944</v>
      </c>
      <c r="AN630" s="184">
        <v>0.62089037169062944</v>
      </c>
      <c r="AO630" s="184">
        <v>0.62089037169062944</v>
      </c>
      <c r="AP630" s="184">
        <v>0.62089037169062944</v>
      </c>
      <c r="AQ630" s="184">
        <v>0.62089037169062944</v>
      </c>
      <c r="AR630" s="184">
        <v>0.62089037169062944</v>
      </c>
      <c r="AS630" s="184">
        <v>0.62089037169062944</v>
      </c>
      <c r="AT630" s="184">
        <v>0.62089037169062944</v>
      </c>
      <c r="AU630" s="184">
        <v>0.62089037169062944</v>
      </c>
      <c r="AV630" s="184">
        <v>0.62089037169062944</v>
      </c>
      <c r="AW630" s="184">
        <v>0.62089037169062944</v>
      </c>
      <c r="AX630" s="184">
        <v>0.62089037169062944</v>
      </c>
      <c r="AY630" s="184">
        <v>0.62089037169062944</v>
      </c>
      <c r="AZ630" s="184">
        <v>0.62089037169062944</v>
      </c>
      <c r="BA630" s="184">
        <v>0.62089037169062944</v>
      </c>
      <c r="BB630" s="184">
        <v>0.62089037169062944</v>
      </c>
      <c r="BC630" s="184">
        <f t="shared" si="212"/>
        <v>0.62089037169062944</v>
      </c>
      <c r="BD630" s="184">
        <f t="shared" si="212"/>
        <v>0.62089037169062944</v>
      </c>
      <c r="BE630" s="184">
        <f t="shared" si="212"/>
        <v>0.62089037169062944</v>
      </c>
      <c r="BF630" s="184">
        <f t="shared" si="212"/>
        <v>0.62089037169062944</v>
      </c>
      <c r="BG630" s="184">
        <f t="shared" si="212"/>
        <v>0.62089037169062944</v>
      </c>
    </row>
    <row r="631" spans="1:59" ht="13.75" customHeight="1" outlineLevel="1">
      <c r="A631" s="141" t="s">
        <v>166</v>
      </c>
      <c r="B631" s="142" t="s">
        <v>530</v>
      </c>
      <c r="C631" s="170" t="s">
        <v>543</v>
      </c>
      <c r="D631" s="142" t="s">
        <v>377</v>
      </c>
      <c r="F631" s="168" t="s">
        <v>599</v>
      </c>
      <c r="G631" s="109" t="s">
        <v>3</v>
      </c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24">
        <v>0.45165249847070682</v>
      </c>
      <c r="AF631" s="124">
        <v>0.47165249847070684</v>
      </c>
      <c r="AG631" s="124">
        <v>0.4966524984707068</v>
      </c>
      <c r="AH631" s="124">
        <v>0.50665249847070681</v>
      </c>
      <c r="AI631" s="184">
        <v>0.50665249847070681</v>
      </c>
      <c r="AJ631" s="184">
        <v>0.50665249847070681</v>
      </c>
      <c r="AK631" s="184">
        <v>0.50665249847070681</v>
      </c>
      <c r="AL631" s="184">
        <v>0.50665249847070681</v>
      </c>
      <c r="AM631" s="184">
        <v>0.50665249847070681</v>
      </c>
      <c r="AN631" s="184">
        <v>0.50665249847070681</v>
      </c>
      <c r="AO631" s="184">
        <v>0.50665249847070681</v>
      </c>
      <c r="AP631" s="184">
        <v>0.50665249847070681</v>
      </c>
      <c r="AQ631" s="184">
        <v>0.50665249847070681</v>
      </c>
      <c r="AR631" s="184">
        <v>0.50665249847070681</v>
      </c>
      <c r="AS631" s="184">
        <v>0.50665249847070681</v>
      </c>
      <c r="AT631" s="184">
        <v>0.50665249847070681</v>
      </c>
      <c r="AU631" s="184">
        <v>0.50665249847070681</v>
      </c>
      <c r="AV631" s="184">
        <v>0.50665249847070681</v>
      </c>
      <c r="AW631" s="184">
        <v>0.50665249847070681</v>
      </c>
      <c r="AX631" s="184">
        <v>0.50665249847070681</v>
      </c>
      <c r="AY631" s="184">
        <v>0.50665249847070681</v>
      </c>
      <c r="AZ631" s="184">
        <v>0.50665249847070681</v>
      </c>
      <c r="BA631" s="184">
        <v>0.50665249847070681</v>
      </c>
      <c r="BB631" s="184">
        <v>0.50665249847070681</v>
      </c>
      <c r="BC631" s="184">
        <f t="shared" si="212"/>
        <v>0.50665249847070681</v>
      </c>
      <c r="BD631" s="184">
        <f t="shared" si="212"/>
        <v>0.50665249847070681</v>
      </c>
      <c r="BE631" s="184">
        <f t="shared" si="212"/>
        <v>0.50665249847070681</v>
      </c>
      <c r="BF631" s="184">
        <f t="shared" si="212"/>
        <v>0.50665249847070681</v>
      </c>
      <c r="BG631" s="184">
        <f t="shared" si="212"/>
        <v>0.50665249847070681</v>
      </c>
    </row>
    <row r="632" spans="1:59" ht="13.75" customHeight="1" outlineLevel="1">
      <c r="A632" s="141" t="s">
        <v>166</v>
      </c>
      <c r="B632" s="142" t="s">
        <v>530</v>
      </c>
      <c r="C632" s="170" t="s">
        <v>543</v>
      </c>
      <c r="D632" s="142" t="s">
        <v>377</v>
      </c>
      <c r="F632" s="168" t="s">
        <v>600</v>
      </c>
      <c r="G632" s="109" t="s">
        <v>3</v>
      </c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24">
        <v>0.45123505680966058</v>
      </c>
      <c r="AF632" s="124">
        <v>0.4712350568096606</v>
      </c>
      <c r="AG632" s="124">
        <v>0.49623505680966062</v>
      </c>
      <c r="AH632" s="124">
        <v>0.50623505680966063</v>
      </c>
      <c r="AI632" s="184">
        <v>0.50623505680966063</v>
      </c>
      <c r="AJ632" s="184">
        <v>0.50623505680966063</v>
      </c>
      <c r="AK632" s="184">
        <v>0.50623505680966063</v>
      </c>
      <c r="AL632" s="184">
        <v>0.50623505680966063</v>
      </c>
      <c r="AM632" s="184">
        <v>0.50623505680966063</v>
      </c>
      <c r="AN632" s="184">
        <v>0.50623505680966063</v>
      </c>
      <c r="AO632" s="184">
        <v>0.50623505680966063</v>
      </c>
      <c r="AP632" s="184">
        <v>0.50623505680966063</v>
      </c>
      <c r="AQ632" s="184">
        <v>0.50623505680966063</v>
      </c>
      <c r="AR632" s="184">
        <v>0.50623505680966063</v>
      </c>
      <c r="AS632" s="184">
        <v>0.50623505680966063</v>
      </c>
      <c r="AT632" s="184">
        <v>0.50623505680966063</v>
      </c>
      <c r="AU632" s="184">
        <v>0.50623505680966063</v>
      </c>
      <c r="AV632" s="184">
        <v>0.50623505680966063</v>
      </c>
      <c r="AW632" s="184">
        <v>0.50623505680966063</v>
      </c>
      <c r="AX632" s="184">
        <v>0.50623505680966063</v>
      </c>
      <c r="AY632" s="184">
        <v>0.50623505680966063</v>
      </c>
      <c r="AZ632" s="184">
        <v>0.50623505680966063</v>
      </c>
      <c r="BA632" s="184">
        <v>0.50623505680966063</v>
      </c>
      <c r="BB632" s="184">
        <v>0.50623505680966063</v>
      </c>
      <c r="BC632" s="184">
        <f t="shared" si="212"/>
        <v>0.50623505680966063</v>
      </c>
      <c r="BD632" s="184">
        <f t="shared" si="212"/>
        <v>0.50623505680966063</v>
      </c>
      <c r="BE632" s="184">
        <f t="shared" si="212"/>
        <v>0.50623505680966063</v>
      </c>
      <c r="BF632" s="184">
        <f t="shared" si="212"/>
        <v>0.50623505680966063</v>
      </c>
      <c r="BG632" s="184">
        <f t="shared" si="212"/>
        <v>0.50623505680966063</v>
      </c>
    </row>
    <row r="633" spans="1:59" ht="13.75" customHeight="1" outlineLevel="1">
      <c r="A633" s="141" t="s">
        <v>166</v>
      </c>
      <c r="B633" s="142" t="s">
        <v>530</v>
      </c>
      <c r="C633" s="170" t="s">
        <v>543</v>
      </c>
      <c r="D633" s="142" t="s">
        <v>377</v>
      </c>
      <c r="F633" s="168" t="s">
        <v>601</v>
      </c>
      <c r="G633" s="109" t="s">
        <v>3</v>
      </c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24">
        <v>0.52967300419210517</v>
      </c>
      <c r="AF633" s="124">
        <v>0.54967300419210519</v>
      </c>
      <c r="AG633" s="124">
        <v>0.57467300419210521</v>
      </c>
      <c r="AH633" s="124">
        <v>0.58467300419210522</v>
      </c>
      <c r="AI633" s="184">
        <v>0.58467300419210522</v>
      </c>
      <c r="AJ633" s="184">
        <v>0.58467300419210522</v>
      </c>
      <c r="AK633" s="184">
        <v>0.58467300419210522</v>
      </c>
      <c r="AL633" s="184">
        <v>0.58467300419210522</v>
      </c>
      <c r="AM633" s="184">
        <v>0.58467300419210522</v>
      </c>
      <c r="AN633" s="184">
        <v>0.58467300419210522</v>
      </c>
      <c r="AO633" s="184">
        <v>0.58467300419210522</v>
      </c>
      <c r="AP633" s="184">
        <v>0.58467300419210522</v>
      </c>
      <c r="AQ633" s="184">
        <v>0.58467300419210522</v>
      </c>
      <c r="AR633" s="184">
        <v>0.58467300419210522</v>
      </c>
      <c r="AS633" s="184">
        <v>0.58467300419210522</v>
      </c>
      <c r="AT633" s="184">
        <v>0.58467300419210522</v>
      </c>
      <c r="AU633" s="184">
        <v>0.58467300419210522</v>
      </c>
      <c r="AV633" s="184">
        <v>0.58467300419210522</v>
      </c>
      <c r="AW633" s="184">
        <v>0.58467300419210522</v>
      </c>
      <c r="AX633" s="184">
        <v>0.58467300419210522</v>
      </c>
      <c r="AY633" s="184">
        <v>0.58467300419210522</v>
      </c>
      <c r="AZ633" s="184">
        <v>0.58467300419210522</v>
      </c>
      <c r="BA633" s="184">
        <v>0.58467300419210522</v>
      </c>
      <c r="BB633" s="184">
        <v>0.58467300419210522</v>
      </c>
      <c r="BC633" s="184">
        <f t="shared" si="212"/>
        <v>0.58467300419210522</v>
      </c>
      <c r="BD633" s="184">
        <f t="shared" si="212"/>
        <v>0.58467300419210522</v>
      </c>
      <c r="BE633" s="184">
        <f t="shared" si="212"/>
        <v>0.58467300419210522</v>
      </c>
      <c r="BF633" s="184">
        <f t="shared" si="212"/>
        <v>0.58467300419210522</v>
      </c>
      <c r="BG633" s="184">
        <f t="shared" si="212"/>
        <v>0.58467300419210522</v>
      </c>
    </row>
    <row r="634" spans="1:59" ht="13.75" customHeight="1" outlineLevel="1">
      <c r="A634" s="141" t="s">
        <v>166</v>
      </c>
      <c r="B634" s="142" t="s">
        <v>530</v>
      </c>
      <c r="C634" s="170" t="s">
        <v>543</v>
      </c>
      <c r="D634" s="142" t="s">
        <v>377</v>
      </c>
      <c r="F634" s="168" t="s">
        <v>602</v>
      </c>
      <c r="G634" s="109" t="s">
        <v>3</v>
      </c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24">
        <v>0.49</v>
      </c>
      <c r="AF634" s="124">
        <v>0.51</v>
      </c>
      <c r="AG634" s="124">
        <v>0.53500000000000003</v>
      </c>
      <c r="AH634" s="124">
        <v>0.54500000000000004</v>
      </c>
      <c r="AI634" s="184">
        <v>0.54500000000000004</v>
      </c>
      <c r="AJ634" s="184">
        <v>0.54500000000000004</v>
      </c>
      <c r="AK634" s="184">
        <v>0.54500000000000004</v>
      </c>
      <c r="AL634" s="184">
        <v>0.54500000000000004</v>
      </c>
      <c r="AM634" s="184">
        <v>0.54500000000000004</v>
      </c>
      <c r="AN634" s="184">
        <v>0.54500000000000004</v>
      </c>
      <c r="AO634" s="184">
        <v>0.54500000000000004</v>
      </c>
      <c r="AP634" s="184">
        <v>0.54500000000000004</v>
      </c>
      <c r="AQ634" s="184">
        <v>0.54500000000000004</v>
      </c>
      <c r="AR634" s="184">
        <v>0.54500000000000004</v>
      </c>
      <c r="AS634" s="184">
        <v>0.54500000000000004</v>
      </c>
      <c r="AT634" s="184">
        <v>0.54500000000000004</v>
      </c>
      <c r="AU634" s="184">
        <v>0.54500000000000004</v>
      </c>
      <c r="AV634" s="184">
        <v>0.54500000000000004</v>
      </c>
      <c r="AW634" s="184">
        <v>0.54500000000000004</v>
      </c>
      <c r="AX634" s="184">
        <v>0.54500000000000004</v>
      </c>
      <c r="AY634" s="184">
        <v>0.54500000000000004</v>
      </c>
      <c r="AZ634" s="184">
        <v>0.54500000000000004</v>
      </c>
      <c r="BA634" s="184">
        <v>0.54500000000000004</v>
      </c>
      <c r="BB634" s="184">
        <v>0.54500000000000004</v>
      </c>
      <c r="BC634" s="184">
        <f t="shared" si="212"/>
        <v>0.54500000000000004</v>
      </c>
      <c r="BD634" s="184">
        <f t="shared" si="212"/>
        <v>0.54500000000000004</v>
      </c>
      <c r="BE634" s="184">
        <f t="shared" si="212"/>
        <v>0.54500000000000004</v>
      </c>
      <c r="BF634" s="184">
        <f t="shared" si="212"/>
        <v>0.54500000000000004</v>
      </c>
      <c r="BG634" s="184">
        <f t="shared" si="212"/>
        <v>0.54500000000000004</v>
      </c>
    </row>
    <row r="635" spans="1:59" ht="13.75" customHeight="1" outlineLevel="1">
      <c r="A635" s="141" t="s">
        <v>166</v>
      </c>
      <c r="B635" s="142" t="s">
        <v>530</v>
      </c>
      <c r="C635" s="170" t="s">
        <v>543</v>
      </c>
      <c r="D635" s="142" t="s">
        <v>377</v>
      </c>
      <c r="F635" s="168" t="s">
        <v>603</v>
      </c>
      <c r="G635" s="109" t="s">
        <v>3</v>
      </c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24">
        <v>0.51170758027941443</v>
      </c>
      <c r="AF635" s="124">
        <v>0.53170758027941445</v>
      </c>
      <c r="AG635" s="124">
        <v>0.55670758027941447</v>
      </c>
      <c r="AH635" s="124">
        <v>0.56670758027941448</v>
      </c>
      <c r="AI635" s="184">
        <v>0.56670758027941448</v>
      </c>
      <c r="AJ635" s="184">
        <v>0.56670758027941448</v>
      </c>
      <c r="AK635" s="184">
        <v>0.56670758027941448</v>
      </c>
      <c r="AL635" s="184">
        <v>0.56670758027941448</v>
      </c>
      <c r="AM635" s="184">
        <v>0.56670758027941448</v>
      </c>
      <c r="AN635" s="184">
        <v>0.56670758027941448</v>
      </c>
      <c r="AO635" s="184">
        <v>0.56670758027941448</v>
      </c>
      <c r="AP635" s="184">
        <v>0.56670758027941448</v>
      </c>
      <c r="AQ635" s="184">
        <v>0.56670758027941448</v>
      </c>
      <c r="AR635" s="184">
        <v>0.56670758027941448</v>
      </c>
      <c r="AS635" s="184">
        <v>0.56670758027941448</v>
      </c>
      <c r="AT635" s="184">
        <v>0.56670758027941448</v>
      </c>
      <c r="AU635" s="184">
        <v>0.56670758027941448</v>
      </c>
      <c r="AV635" s="184">
        <v>0.56670758027941448</v>
      </c>
      <c r="AW635" s="184">
        <v>0.56670758027941448</v>
      </c>
      <c r="AX635" s="184">
        <v>0.56670758027941448</v>
      </c>
      <c r="AY635" s="184">
        <v>0.56670758027941448</v>
      </c>
      <c r="AZ635" s="184">
        <v>0.56670758027941448</v>
      </c>
      <c r="BA635" s="184">
        <v>0.56670758027941448</v>
      </c>
      <c r="BB635" s="184">
        <v>0.56670758027941448</v>
      </c>
      <c r="BC635" s="184">
        <f t="shared" si="212"/>
        <v>0.56670758027941448</v>
      </c>
      <c r="BD635" s="184">
        <f t="shared" si="212"/>
        <v>0.56670758027941448</v>
      </c>
      <c r="BE635" s="184">
        <f t="shared" si="212"/>
        <v>0.56670758027941448</v>
      </c>
      <c r="BF635" s="184">
        <f t="shared" si="212"/>
        <v>0.56670758027941448</v>
      </c>
      <c r="BG635" s="184">
        <f t="shared" si="212"/>
        <v>0.56670758027941448</v>
      </c>
    </row>
    <row r="636" spans="1:59" ht="13.75" customHeight="1" outlineLevel="1">
      <c r="A636" s="141" t="s">
        <v>166</v>
      </c>
      <c r="B636" s="142" t="s">
        <v>530</v>
      </c>
      <c r="C636" s="170" t="s">
        <v>543</v>
      </c>
      <c r="D636" s="142" t="s">
        <v>377</v>
      </c>
      <c r="F636" s="168" t="s">
        <v>604</v>
      </c>
      <c r="G636" s="109" t="s">
        <v>3</v>
      </c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24">
        <v>0.47042211194961114</v>
      </c>
      <c r="AF636" s="124">
        <v>0.49042211194961116</v>
      </c>
      <c r="AG636" s="124">
        <v>0.51542211194961118</v>
      </c>
      <c r="AH636" s="124">
        <v>0.52542211194961119</v>
      </c>
      <c r="AI636" s="184">
        <v>0.52542211194961119</v>
      </c>
      <c r="AJ636" s="184">
        <v>0.52542211194961119</v>
      </c>
      <c r="AK636" s="184">
        <v>0.52542211194961119</v>
      </c>
      <c r="AL636" s="184">
        <v>0.52542211194961119</v>
      </c>
      <c r="AM636" s="184">
        <v>0.52542211194961119</v>
      </c>
      <c r="AN636" s="184">
        <v>0.52542211194961119</v>
      </c>
      <c r="AO636" s="184">
        <v>0.52542211194961119</v>
      </c>
      <c r="AP636" s="184">
        <v>0.52542211194961119</v>
      </c>
      <c r="AQ636" s="184">
        <v>0.52542211194961119</v>
      </c>
      <c r="AR636" s="184">
        <v>0.52542211194961119</v>
      </c>
      <c r="AS636" s="184">
        <v>0.52542211194961119</v>
      </c>
      <c r="AT636" s="184">
        <v>0.52542211194961119</v>
      </c>
      <c r="AU636" s="184">
        <v>0.52542211194961119</v>
      </c>
      <c r="AV636" s="184">
        <v>0.52542211194961119</v>
      </c>
      <c r="AW636" s="184">
        <v>0.52542211194961119</v>
      </c>
      <c r="AX636" s="184">
        <v>0.52542211194961119</v>
      </c>
      <c r="AY636" s="184">
        <v>0.52542211194961119</v>
      </c>
      <c r="AZ636" s="184">
        <v>0.52542211194961119</v>
      </c>
      <c r="BA636" s="184">
        <v>0.52542211194961119</v>
      </c>
      <c r="BB636" s="184">
        <v>0.52542211194961119</v>
      </c>
      <c r="BC636" s="184">
        <f t="shared" si="212"/>
        <v>0.52542211194961119</v>
      </c>
      <c r="BD636" s="184">
        <f t="shared" si="212"/>
        <v>0.52542211194961119</v>
      </c>
      <c r="BE636" s="184">
        <f t="shared" si="212"/>
        <v>0.52542211194961119</v>
      </c>
      <c r="BF636" s="184">
        <f t="shared" si="212"/>
        <v>0.52542211194961119</v>
      </c>
      <c r="BG636" s="184">
        <f t="shared" si="212"/>
        <v>0.52542211194961119</v>
      </c>
    </row>
    <row r="637" spans="1:59" ht="13.75" customHeight="1" outlineLevel="1">
      <c r="A637" s="141" t="s">
        <v>166</v>
      </c>
      <c r="B637" s="142" t="s">
        <v>530</v>
      </c>
      <c r="C637" s="170" t="s">
        <v>543</v>
      </c>
      <c r="D637" s="142" t="s">
        <v>377</v>
      </c>
      <c r="F637" s="168" t="s">
        <v>605</v>
      </c>
      <c r="G637" s="109" t="s">
        <v>3</v>
      </c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24">
        <v>0.51170758027941443</v>
      </c>
      <c r="AF637" s="124">
        <v>0.53170758027941445</v>
      </c>
      <c r="AG637" s="124">
        <v>0.55670758027941447</v>
      </c>
      <c r="AH637" s="124">
        <v>0.56670758027941448</v>
      </c>
      <c r="AI637" s="184">
        <v>0.56670758027941448</v>
      </c>
      <c r="AJ637" s="184">
        <v>0.56670758027941448</v>
      </c>
      <c r="AK637" s="184">
        <v>0.56670758027941448</v>
      </c>
      <c r="AL637" s="184">
        <v>0.56670758027941448</v>
      </c>
      <c r="AM637" s="184">
        <v>0.56670758027941448</v>
      </c>
      <c r="AN637" s="184">
        <v>0.56670758027941448</v>
      </c>
      <c r="AO637" s="184">
        <v>0.56670758027941448</v>
      </c>
      <c r="AP637" s="184">
        <v>0.56670758027941448</v>
      </c>
      <c r="AQ637" s="184">
        <v>0.56670758027941448</v>
      </c>
      <c r="AR637" s="184">
        <v>0.56670758027941448</v>
      </c>
      <c r="AS637" s="184">
        <v>0.56670758027941448</v>
      </c>
      <c r="AT637" s="184">
        <v>0.56670758027941448</v>
      </c>
      <c r="AU637" s="184">
        <v>0.56670758027941448</v>
      </c>
      <c r="AV637" s="184">
        <v>0.56670758027941448</v>
      </c>
      <c r="AW637" s="184">
        <v>0.56670758027941448</v>
      </c>
      <c r="AX637" s="184">
        <v>0.56670758027941448</v>
      </c>
      <c r="AY637" s="184">
        <v>0.56670758027941448</v>
      </c>
      <c r="AZ637" s="184">
        <v>0.56670758027941448</v>
      </c>
      <c r="BA637" s="184">
        <v>0.56670758027941448</v>
      </c>
      <c r="BB637" s="184">
        <v>0.56670758027941448</v>
      </c>
      <c r="BC637" s="184">
        <f t="shared" si="212"/>
        <v>0.56670758027941448</v>
      </c>
      <c r="BD637" s="184">
        <f t="shared" si="212"/>
        <v>0.56670758027941448</v>
      </c>
      <c r="BE637" s="184">
        <f t="shared" si="212"/>
        <v>0.56670758027941448</v>
      </c>
      <c r="BF637" s="184">
        <f t="shared" si="212"/>
        <v>0.56670758027941448</v>
      </c>
      <c r="BG637" s="184">
        <f t="shared" si="212"/>
        <v>0.56670758027941448</v>
      </c>
    </row>
    <row r="638" spans="1:59" ht="13.75" customHeight="1" outlineLevel="1">
      <c r="A638" s="141" t="s">
        <v>166</v>
      </c>
      <c r="B638" s="142" t="s">
        <v>530</v>
      </c>
      <c r="C638" s="170" t="s">
        <v>543</v>
      </c>
      <c r="D638" s="142" t="s">
        <v>377</v>
      </c>
      <c r="F638" s="168" t="s">
        <v>606</v>
      </c>
      <c r="G638" s="109" t="s">
        <v>3</v>
      </c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24">
        <v>0.51170758027941443</v>
      </c>
      <c r="AF638" s="124">
        <v>0.56170758027941448</v>
      </c>
      <c r="AG638" s="124">
        <v>0.63170758027941443</v>
      </c>
      <c r="AH638" s="124">
        <v>0.64670758027941444</v>
      </c>
      <c r="AI638" s="184">
        <v>0.64670758027941444</v>
      </c>
      <c r="AJ638" s="184">
        <v>0.64670758027941444</v>
      </c>
      <c r="AK638" s="184">
        <v>0.64670758027941444</v>
      </c>
      <c r="AL638" s="184">
        <v>0.64670758027941444</v>
      </c>
      <c r="AM638" s="184">
        <v>0.64670758027941444</v>
      </c>
      <c r="AN638" s="184">
        <v>0.64670758027941444</v>
      </c>
      <c r="AO638" s="184">
        <v>0.64670758027941444</v>
      </c>
      <c r="AP638" s="184">
        <v>0.64670758027941444</v>
      </c>
      <c r="AQ638" s="184">
        <v>0.64670758027941444</v>
      </c>
      <c r="AR638" s="184">
        <v>0.64670758027941444</v>
      </c>
      <c r="AS638" s="184">
        <v>0.64670758027941444</v>
      </c>
      <c r="AT638" s="184">
        <v>0.64670758027941444</v>
      </c>
      <c r="AU638" s="184">
        <v>0.64670758027941444</v>
      </c>
      <c r="AV638" s="184">
        <v>0.64670758027941444</v>
      </c>
      <c r="AW638" s="184">
        <v>0.64670758027941444</v>
      </c>
      <c r="AX638" s="184">
        <v>0.64670758027941444</v>
      </c>
      <c r="AY638" s="184">
        <v>0.64670758027941444</v>
      </c>
      <c r="AZ638" s="184">
        <v>0.64670758027941444</v>
      </c>
      <c r="BA638" s="184">
        <v>0.64670758027941444</v>
      </c>
      <c r="BB638" s="184">
        <v>0.64670758027941444</v>
      </c>
      <c r="BC638" s="184">
        <f t="shared" si="212"/>
        <v>0.64670758027941444</v>
      </c>
      <c r="BD638" s="184">
        <f t="shared" si="212"/>
        <v>0.64670758027941444</v>
      </c>
      <c r="BE638" s="184">
        <f t="shared" si="212"/>
        <v>0.64670758027941444</v>
      </c>
      <c r="BF638" s="184">
        <f t="shared" si="212"/>
        <v>0.64670758027941444</v>
      </c>
      <c r="BG638" s="184">
        <f t="shared" si="212"/>
        <v>0.64670758027941444</v>
      </c>
    </row>
    <row r="639" spans="1:59" ht="13.75" customHeight="1" outlineLevel="1">
      <c r="F639" s="168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16"/>
      <c r="AH639" s="116"/>
      <c r="AI639" s="161"/>
      <c r="AJ639" s="161"/>
      <c r="AK639" s="161"/>
      <c r="AL639" s="161"/>
      <c r="AM639" s="161"/>
    </row>
    <row r="640" spans="1:59" ht="13.75" customHeight="1" outlineLevel="1">
      <c r="F640" s="168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16"/>
      <c r="AH640" s="116"/>
      <c r="AI640" s="161"/>
      <c r="AJ640" s="161"/>
      <c r="AK640" s="161"/>
      <c r="AL640" s="161"/>
      <c r="AM640" s="161"/>
    </row>
    <row r="641" spans="1:59" ht="13.75" customHeight="1" outlineLevel="1">
      <c r="F641" s="168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16"/>
      <c r="AH641" s="116"/>
      <c r="AI641" s="161"/>
      <c r="AJ641" s="161"/>
      <c r="AK641" s="161"/>
      <c r="AL641" s="161"/>
      <c r="AM641" s="161"/>
    </row>
    <row r="642" spans="1:59" ht="13.75" customHeight="1" outlineLevel="1">
      <c r="F642" s="168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16"/>
      <c r="AH642" s="116"/>
      <c r="AI642" s="161"/>
      <c r="AJ642" s="161"/>
      <c r="AK642" s="161"/>
      <c r="AL642" s="161"/>
      <c r="AM642" s="161"/>
    </row>
    <row r="643" spans="1:59" ht="13.75" customHeight="1" outlineLevel="1">
      <c r="F643" s="168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16"/>
      <c r="AH643" s="116"/>
      <c r="AI643" s="161"/>
      <c r="AJ643" s="161"/>
      <c r="AK643" s="161"/>
      <c r="AL643" s="161"/>
      <c r="AM643" s="161"/>
    </row>
    <row r="644" spans="1:59" ht="13.75" customHeight="1" outlineLevel="1">
      <c r="F644" s="168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16"/>
      <c r="AH644" s="116"/>
      <c r="AI644" s="161"/>
      <c r="AJ644" s="161"/>
      <c r="AK644" s="161"/>
      <c r="AL644" s="161"/>
      <c r="AM644" s="161"/>
    </row>
    <row r="645" spans="1:59" ht="13.75" customHeight="1" outlineLevel="1">
      <c r="F645" s="168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16"/>
      <c r="AH645" s="116"/>
      <c r="AI645" s="161"/>
      <c r="AJ645" s="161"/>
      <c r="AK645" s="161"/>
      <c r="AL645" s="161"/>
      <c r="AM645" s="161"/>
    </row>
    <row r="646" spans="1:59" ht="13.75" customHeight="1" outlineLevel="1">
      <c r="F646" s="168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16"/>
      <c r="AH646" s="116"/>
      <c r="AI646" s="161"/>
      <c r="AJ646" s="161"/>
      <c r="AK646" s="161"/>
      <c r="AL646" s="161"/>
      <c r="AM646" s="161"/>
    </row>
    <row r="647" spans="1:59" ht="13.75" customHeight="1" outlineLevel="1">
      <c r="F647" s="168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16"/>
      <c r="AH647" s="116"/>
      <c r="AI647" s="161"/>
      <c r="AJ647" s="161"/>
      <c r="AK647" s="161"/>
      <c r="AL647" s="161"/>
      <c r="AM647" s="161"/>
    </row>
    <row r="648" spans="1:59" ht="13.75" customHeight="1" outlineLevel="1">
      <c r="F648" s="168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16"/>
      <c r="AH648" s="116"/>
      <c r="AI648" s="161"/>
      <c r="AJ648" s="161"/>
      <c r="AK648" s="161"/>
      <c r="AL648" s="161"/>
      <c r="AM648" s="161"/>
    </row>
    <row r="649" spans="1:59" ht="13.75" customHeight="1" outlineLevel="1">
      <c r="F649" s="168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16"/>
      <c r="AH649" s="116"/>
      <c r="AI649" s="116"/>
      <c r="AJ649" s="161"/>
      <c r="AK649" s="161"/>
      <c r="AL649" s="161"/>
      <c r="AM649" s="161"/>
    </row>
    <row r="650" spans="1:59" ht="13.75" customHeight="1" outlineLevel="1">
      <c r="A650" s="141" t="s">
        <v>166</v>
      </c>
      <c r="B650" s="142" t="s">
        <v>607</v>
      </c>
      <c r="C650" s="170"/>
      <c r="D650" s="142" t="s">
        <v>608</v>
      </c>
      <c r="F650" s="168" t="s">
        <v>609</v>
      </c>
      <c r="G650" s="109" t="s">
        <v>610</v>
      </c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28">
        <v>815</v>
      </c>
      <c r="X650" s="128">
        <v>902</v>
      </c>
      <c r="Y650" s="128">
        <v>985</v>
      </c>
      <c r="Z650" s="128">
        <v>1126</v>
      </c>
      <c r="AA650" s="128">
        <v>1176</v>
      </c>
      <c r="AB650" s="128">
        <v>1335</v>
      </c>
      <c r="AC650" s="128">
        <v>1522</v>
      </c>
      <c r="AD650" s="128">
        <v>1749</v>
      </c>
      <c r="AE650" s="128">
        <v>1976.3999999999999</v>
      </c>
      <c r="AF650" s="128">
        <v>2065.5903668416208</v>
      </c>
      <c r="AG650" s="128">
        <v>2183.7374177677852</v>
      </c>
      <c r="AH650" s="128">
        <v>2313.8261794200753</v>
      </c>
      <c r="AI650" s="183">
        <v>2436.4502153824042</v>
      </c>
      <c r="AJ650" s="183">
        <v>2572.5170696652795</v>
      </c>
      <c r="AK650" s="183">
        <v>2716.2258231552069</v>
      </c>
      <c r="AL650" s="183">
        <v>2868.0081174106454</v>
      </c>
      <c r="AM650" s="183">
        <v>3028.3201133436987</v>
      </c>
      <c r="AN650" s="183">
        <v>3197.6438918450394</v>
      </c>
      <c r="AO650" s="183">
        <v>3376.4889348538409</v>
      </c>
      <c r="AP650" s="183">
        <v>3565.393691517369</v>
      </c>
      <c r="AQ650" s="183">
        <v>3764.9272343544289</v>
      </c>
      <c r="AR650" s="183">
        <v>3975.6910106220676</v>
      </c>
      <c r="AS650" s="183">
        <v>4198.3206943868117</v>
      </c>
      <c r="AT650" s="183">
        <v>4433.4881451211741</v>
      </c>
      <c r="AU650" s="183">
        <v>4681.9034789842881</v>
      </c>
      <c r="AV650" s="183">
        <v>4944.3172593033523</v>
      </c>
      <c r="AW650" s="183">
        <v>5221.5228131512958</v>
      </c>
      <c r="AX650" s="183">
        <v>5514.3586813169304</v>
      </c>
      <c r="AY650" s="183">
        <v>5823.7112093880878</v>
      </c>
      <c r="AZ650" s="183">
        <v>6150.5172881172803</v>
      </c>
      <c r="BA650" s="183">
        <v>6495.7672517146702</v>
      </c>
      <c r="BB650" s="183">
        <v>6860.5079432162183</v>
      </c>
      <c r="BC650" s="183">
        <f t="shared" ref="BC650:BG654" si="213">BB650*(1+((BB650-BA650)/BA650))</f>
        <v>7245.7290132291591</v>
      </c>
      <c r="BD650" s="183">
        <f t="shared" si="213"/>
        <v>7652.5804456015885</v>
      </c>
      <c r="BE650" s="183">
        <f t="shared" si="213"/>
        <v>8082.2767963695687</v>
      </c>
      <c r="BF650" s="183">
        <f t="shared" si="213"/>
        <v>8536.1008195188879</v>
      </c>
      <c r="BG650" s="183">
        <f t="shared" si="213"/>
        <v>9015.4072963352173</v>
      </c>
    </row>
    <row r="651" spans="1:59" ht="13.75" customHeight="1" outlineLevel="1">
      <c r="A651" s="141" t="s">
        <v>166</v>
      </c>
      <c r="B651" s="142" t="s">
        <v>607</v>
      </c>
      <c r="D651" s="142" t="s">
        <v>608</v>
      </c>
      <c r="F651" s="168" t="s">
        <v>611</v>
      </c>
      <c r="G651" s="109" t="s">
        <v>610</v>
      </c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28">
        <v>538</v>
      </c>
      <c r="X651" s="128">
        <v>596</v>
      </c>
      <c r="Y651" s="128">
        <v>668</v>
      </c>
      <c r="Z651" s="128">
        <v>753</v>
      </c>
      <c r="AA651" s="128">
        <v>795</v>
      </c>
      <c r="AB651" s="128">
        <v>853</v>
      </c>
      <c r="AC651" s="128">
        <v>928</v>
      </c>
      <c r="AD651" s="128">
        <v>996</v>
      </c>
      <c r="AE651" s="128">
        <v>1145.3999999999999</v>
      </c>
      <c r="AF651" s="128">
        <v>1204.0354838533215</v>
      </c>
      <c r="AG651" s="128">
        <v>1265.6726439478803</v>
      </c>
      <c r="AH651" s="128">
        <v>1343.9434749212003</v>
      </c>
      <c r="AI651" s="183">
        <v>1416.3325374866483</v>
      </c>
      <c r="AJ651" s="183">
        <v>1490.3762369534618</v>
      </c>
      <c r="AK651" s="183">
        <v>1568.2908278145101</v>
      </c>
      <c r="AL651" s="183">
        <v>1650.2786743532347</v>
      </c>
      <c r="AM651" s="183">
        <v>1736.5527201483974</v>
      </c>
      <c r="AN651" s="183">
        <v>1827.3370411434641</v>
      </c>
      <c r="AO651" s="183">
        <v>1922.8674276296097</v>
      </c>
      <c r="AP651" s="183">
        <v>2023.3919966539047</v>
      </c>
      <c r="AQ651" s="183">
        <v>2129.1718364432659</v>
      </c>
      <c r="AR651" s="183">
        <v>2240.4816845179062</v>
      </c>
      <c r="AS651" s="183">
        <v>2357.6106412555168</v>
      </c>
      <c r="AT651" s="183">
        <v>2480.8629207594963</v>
      </c>
      <c r="AU651" s="183">
        <v>2610.5586409814209</v>
      </c>
      <c r="AV651" s="183">
        <v>2747.034655149911</v>
      </c>
      <c r="AW651" s="183">
        <v>2890.645426665325</v>
      </c>
      <c r="AX651" s="183">
        <v>3041.7639497326127</v>
      </c>
      <c r="AY651" s="183">
        <v>3200.7827181234447</v>
      </c>
      <c r="AZ651" s="183">
        <v>3368.1147445837469</v>
      </c>
      <c r="BA651" s="183">
        <v>3544.1946335342986</v>
      </c>
      <c r="BB651" s="183">
        <v>3729.4797098504814</v>
      </c>
      <c r="BC651" s="183">
        <f t="shared" si="213"/>
        <v>3924.4512066529055</v>
      </c>
      <c r="BD651" s="183">
        <f t="shared" si="213"/>
        <v>4129.6155151939147</v>
      </c>
      <c r="BE651" s="183">
        <f t="shared" si="213"/>
        <v>4345.5055000862449</v>
      </c>
      <c r="BF651" s="183">
        <f t="shared" si="213"/>
        <v>4572.681883289828</v>
      </c>
      <c r="BG651" s="183">
        <f t="shared" si="213"/>
        <v>4811.7347004513103</v>
      </c>
    </row>
    <row r="652" spans="1:59" ht="13.75" customHeight="1" outlineLevel="1">
      <c r="A652" s="141" t="s">
        <v>166</v>
      </c>
      <c r="B652" s="142" t="s">
        <v>607</v>
      </c>
      <c r="D652" s="142" t="s">
        <v>608</v>
      </c>
      <c r="F652" s="168" t="s">
        <v>612</v>
      </c>
      <c r="G652" s="109" t="s">
        <v>610</v>
      </c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28">
        <v>277</v>
      </c>
      <c r="X652" s="128">
        <v>306</v>
      </c>
      <c r="Y652" s="128">
        <v>317</v>
      </c>
      <c r="Z652" s="128">
        <v>373</v>
      </c>
      <c r="AA652" s="128">
        <v>381</v>
      </c>
      <c r="AB652" s="128">
        <v>482</v>
      </c>
      <c r="AC652" s="128">
        <v>594</v>
      </c>
      <c r="AD652" s="128">
        <v>753</v>
      </c>
      <c r="AE652" s="128">
        <v>831</v>
      </c>
      <c r="AF652" s="128">
        <v>861.55488298829925</v>
      </c>
      <c r="AG652" s="128">
        <v>918.06477381990487</v>
      </c>
      <c r="AH652" s="128">
        <v>969.88270449887511</v>
      </c>
      <c r="AI652" s="183">
        <v>1020.1176778957559</v>
      </c>
      <c r="AJ652" s="183">
        <v>1082.1408327118179</v>
      </c>
      <c r="AK652" s="183">
        <v>1147.9349953406966</v>
      </c>
      <c r="AL652" s="183">
        <v>1217.7294430574109</v>
      </c>
      <c r="AM652" s="183">
        <v>1291.7673931953013</v>
      </c>
      <c r="AN652" s="183">
        <v>1370.3068507015755</v>
      </c>
      <c r="AO652" s="183">
        <v>1453.6215072242312</v>
      </c>
      <c r="AP652" s="183">
        <v>1542.0016948634645</v>
      </c>
      <c r="AQ652" s="183">
        <v>1635.7553979111631</v>
      </c>
      <c r="AR652" s="183">
        <v>1735.2093261041616</v>
      </c>
      <c r="AS652" s="183">
        <v>1840.7100531312947</v>
      </c>
      <c r="AT652" s="183">
        <v>1952.6252243616775</v>
      </c>
      <c r="AU652" s="183">
        <v>2071.3448380028672</v>
      </c>
      <c r="AV652" s="183">
        <v>2197.2826041534413</v>
      </c>
      <c r="AW652" s="183">
        <v>2330.8773864859704</v>
      </c>
      <c r="AX652" s="183">
        <v>2472.5947315843177</v>
      </c>
      <c r="AY652" s="183">
        <v>2622.9284912646435</v>
      </c>
      <c r="AZ652" s="183">
        <v>2782.4025435335334</v>
      </c>
      <c r="BA652" s="183">
        <v>2951.5726181803716</v>
      </c>
      <c r="BB652" s="183">
        <v>3131.0282333657374</v>
      </c>
      <c r="BC652" s="183">
        <f t="shared" si="213"/>
        <v>3321.3947499543733</v>
      </c>
      <c r="BD652" s="183">
        <f t="shared" si="213"/>
        <v>3523.3355507515985</v>
      </c>
      <c r="BE652" s="183">
        <f t="shared" si="213"/>
        <v>3737.5543522372946</v>
      </c>
      <c r="BF652" s="183">
        <f t="shared" si="213"/>
        <v>3964.7976568533213</v>
      </c>
      <c r="BG652" s="183">
        <f t="shared" si="213"/>
        <v>4205.857354390002</v>
      </c>
    </row>
    <row r="653" spans="1:59" ht="13.75" customHeight="1" outlineLevel="1">
      <c r="A653" s="141" t="s">
        <v>166</v>
      </c>
      <c r="B653" s="142" t="s">
        <v>607</v>
      </c>
      <c r="D653" s="142" t="s">
        <v>608</v>
      </c>
      <c r="F653" s="168" t="s">
        <v>613</v>
      </c>
      <c r="G653" s="109" t="s">
        <v>3</v>
      </c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7">
        <v>6.6000000000000003E-2</v>
      </c>
      <c r="X653" s="107">
        <v>2.8000000000000001E-2</v>
      </c>
      <c r="Y653" s="107">
        <v>1.2999999999999999E-2</v>
      </c>
      <c r="Z653" s="107">
        <v>-4.5999999999999999E-3</v>
      </c>
      <c r="AA653" s="107">
        <v>3.6999999999999998E-2</v>
      </c>
      <c r="AB653" s="107">
        <v>-6.4000000000000003E-3</v>
      </c>
      <c r="AC653" s="107">
        <v>5.0299999999999997E-2</v>
      </c>
      <c r="AD653" s="107">
        <v>2.3999999999999998E-3</v>
      </c>
      <c r="AE653" s="107">
        <v>0.01</v>
      </c>
      <c r="AF653" s="107">
        <v>1.0005675586143792E-2</v>
      </c>
      <c r="AG653" s="107">
        <v>-2.0571717451003408E-3</v>
      </c>
      <c r="AH653" s="107">
        <v>2.0516906207353781E-2</v>
      </c>
      <c r="AI653" s="185">
        <v>1.6153102333422174E-2</v>
      </c>
      <c r="AJ653" s="185">
        <v>8.3396873488770784E-3</v>
      </c>
      <c r="AK653" s="185">
        <v>8.3396873488770784E-3</v>
      </c>
      <c r="AL653" s="185">
        <v>8.3396873488770784E-3</v>
      </c>
      <c r="AM653" s="185">
        <v>8.3396873488770784E-3</v>
      </c>
      <c r="AN653" s="185">
        <v>8.3396873488770784E-3</v>
      </c>
      <c r="AO653" s="185">
        <v>8.339687348877042E-3</v>
      </c>
      <c r="AP653" s="185">
        <v>8.3396873488770784E-3</v>
      </c>
      <c r="AQ653" s="185">
        <v>8.3396873488770784E-3</v>
      </c>
      <c r="AR653" s="185">
        <v>8.3396873488770784E-3</v>
      </c>
      <c r="AS653" s="185">
        <v>8.3396873488770784E-3</v>
      </c>
      <c r="AT653" s="185">
        <v>8.3396873488770784E-3</v>
      </c>
      <c r="AU653" s="185">
        <v>8.3396873488770784E-3</v>
      </c>
      <c r="AV653" s="185">
        <v>8.3396873488770784E-3</v>
      </c>
      <c r="AW653" s="185">
        <v>8.3396873488770784E-3</v>
      </c>
      <c r="AX653" s="185">
        <v>8.3396873488770784E-3</v>
      </c>
      <c r="AY653" s="185">
        <v>8.4372809370834006E-3</v>
      </c>
      <c r="AZ653" s="185">
        <v>8.4372809370834006E-3</v>
      </c>
      <c r="BA653" s="185">
        <v>8.4372809370834006E-3</v>
      </c>
      <c r="BB653" s="185">
        <v>8.4372809370834006E-3</v>
      </c>
      <c r="BC653" s="185">
        <f t="shared" si="213"/>
        <v>8.4372809370834006E-3</v>
      </c>
      <c r="BD653" s="185">
        <f t="shared" si="213"/>
        <v>8.4372809370834006E-3</v>
      </c>
      <c r="BE653" s="185">
        <f t="shared" si="213"/>
        <v>8.4372809370834006E-3</v>
      </c>
      <c r="BF653" s="185">
        <f t="shared" si="213"/>
        <v>8.4372809370834006E-3</v>
      </c>
      <c r="BG653" s="185">
        <f t="shared" si="213"/>
        <v>8.4372809370834006E-3</v>
      </c>
    </row>
    <row r="654" spans="1:59" ht="13.75" customHeight="1" outlineLevel="1">
      <c r="A654" s="141" t="s">
        <v>166</v>
      </c>
      <c r="B654" s="142" t="s">
        <v>607</v>
      </c>
      <c r="D654" s="142" t="s">
        <v>608</v>
      </c>
      <c r="F654" s="168" t="s">
        <v>614</v>
      </c>
      <c r="G654" s="109" t="s">
        <v>3</v>
      </c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7">
        <v>0.158</v>
      </c>
      <c r="X654" s="107">
        <v>0.14199999999999999</v>
      </c>
      <c r="Y654" s="107">
        <v>6.9000000000000006E-2</v>
      </c>
      <c r="Z654" s="107">
        <v>6.1000000000000004E-3</v>
      </c>
      <c r="AA654" s="107">
        <v>7.3999999999999996E-2</v>
      </c>
      <c r="AB654" s="107">
        <v>3.0800000000000001E-2</v>
      </c>
      <c r="AC654" s="107">
        <v>8.5099999999999995E-2</v>
      </c>
      <c r="AD654" s="107">
        <v>6.3600000000000004E-2</v>
      </c>
      <c r="AE654" s="107">
        <v>0.125</v>
      </c>
      <c r="AF654" s="107">
        <v>6.8467703255444115E-2</v>
      </c>
      <c r="AG654" s="107">
        <v>4.016595070905938E-2</v>
      </c>
      <c r="AH654" s="107">
        <v>8.0456150549318109E-2</v>
      </c>
      <c r="AI654" s="185">
        <v>7.2667636196053653E-2</v>
      </c>
      <c r="AJ654" s="185">
        <v>5.8722258146715854E-2</v>
      </c>
      <c r="AK654" s="185">
        <v>5.8722258146715854E-2</v>
      </c>
      <c r="AL654" s="185">
        <v>5.8722258146715854E-2</v>
      </c>
      <c r="AM654" s="185">
        <v>5.8722258146715854E-2</v>
      </c>
      <c r="AN654" s="185">
        <v>5.8722258146715854E-2</v>
      </c>
      <c r="AO654" s="185">
        <v>5.8722258146715792E-2</v>
      </c>
      <c r="AP654" s="185">
        <v>5.8722258146715854E-2</v>
      </c>
      <c r="AQ654" s="185">
        <v>5.8722258146715854E-2</v>
      </c>
      <c r="AR654" s="185">
        <v>5.8722258146715854E-2</v>
      </c>
      <c r="AS654" s="185">
        <v>5.8722258146715854E-2</v>
      </c>
      <c r="AT654" s="185">
        <v>5.8722258146715854E-2</v>
      </c>
      <c r="AU654" s="185">
        <v>5.8722258146715854E-2</v>
      </c>
      <c r="AV654" s="185">
        <v>5.8722258146715854E-2</v>
      </c>
      <c r="AW654" s="185">
        <v>5.8722258146715854E-2</v>
      </c>
      <c r="AX654" s="185">
        <v>5.8722258146715854E-2</v>
      </c>
      <c r="AY654" s="185">
        <v>5.8896443120305585E-2</v>
      </c>
      <c r="AZ654" s="185">
        <v>5.8896443120305585E-2</v>
      </c>
      <c r="BA654" s="185">
        <v>5.8896443120305585E-2</v>
      </c>
      <c r="BB654" s="185">
        <v>5.8896443120305585E-2</v>
      </c>
      <c r="BC654" s="185">
        <f t="shared" si="213"/>
        <v>5.8896443120305585E-2</v>
      </c>
      <c r="BD654" s="185">
        <f t="shared" si="213"/>
        <v>5.8896443120305585E-2</v>
      </c>
      <c r="BE654" s="185">
        <f t="shared" si="213"/>
        <v>5.8896443120305585E-2</v>
      </c>
      <c r="BF654" s="185">
        <f t="shared" si="213"/>
        <v>5.8896443120305585E-2</v>
      </c>
      <c r="BG654" s="185">
        <f t="shared" si="213"/>
        <v>5.8896443120305585E-2</v>
      </c>
    </row>
    <row r="655" spans="1:59" ht="13.75" customHeight="1" outlineLevel="1">
      <c r="F655" s="168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16"/>
      <c r="AH655" s="116"/>
      <c r="AI655" s="161"/>
      <c r="AJ655" s="161"/>
      <c r="AK655" s="161"/>
      <c r="AL655" s="161"/>
      <c r="AM655" s="161"/>
    </row>
    <row r="656" spans="1:59" ht="13.75" customHeight="1" outlineLevel="1">
      <c r="F656" s="168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16"/>
      <c r="AH656" s="116"/>
      <c r="AI656" s="161"/>
      <c r="AJ656" s="161"/>
      <c r="AK656" s="161"/>
      <c r="AL656" s="161"/>
      <c r="AM656" s="161"/>
    </row>
    <row r="657" spans="1:59" ht="13.75" customHeight="1" outlineLevel="1">
      <c r="F657" s="168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16"/>
      <c r="AH657" s="116"/>
      <c r="AI657" s="161"/>
      <c r="AJ657" s="161"/>
      <c r="AK657" s="161"/>
      <c r="AL657" s="161"/>
      <c r="AM657" s="161"/>
    </row>
    <row r="658" spans="1:59" ht="13.75" customHeight="1" outlineLevel="1">
      <c r="F658" s="168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16"/>
      <c r="AH658" s="116"/>
      <c r="AI658" s="161"/>
      <c r="AJ658" s="161"/>
      <c r="AK658" s="161"/>
      <c r="AL658" s="161"/>
      <c r="AM658" s="161"/>
    </row>
    <row r="659" spans="1:59" ht="13.75" customHeight="1" outlineLevel="1">
      <c r="F659" s="168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16"/>
      <c r="AH659" s="116"/>
      <c r="AI659" s="161"/>
      <c r="AJ659" s="161"/>
      <c r="AK659" s="161"/>
      <c r="AL659" s="161"/>
      <c r="AM659" s="161"/>
    </row>
    <row r="660" spans="1:59" ht="13.75" customHeight="1" outlineLevel="1">
      <c r="B660" s="141"/>
      <c r="C660" s="141"/>
      <c r="D660" s="141"/>
      <c r="E660" s="141"/>
      <c r="F660" s="141"/>
      <c r="G660" s="141"/>
      <c r="H660" s="141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16"/>
      <c r="AH660" s="116"/>
      <c r="AI660" s="161"/>
      <c r="AJ660" s="161"/>
      <c r="AK660" s="161"/>
      <c r="AL660" s="161"/>
      <c r="AM660" s="161"/>
    </row>
    <row r="661" spans="1:59" ht="13.75" customHeight="1" outlineLevel="1">
      <c r="F661" s="141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16"/>
      <c r="AH661" s="116"/>
      <c r="AI661" s="161"/>
      <c r="AJ661" s="161"/>
      <c r="AK661" s="161"/>
      <c r="AL661" s="161"/>
      <c r="AM661" s="161"/>
    </row>
    <row r="662" spans="1:59" ht="13.75" customHeight="1" outlineLevel="1">
      <c r="F662" s="141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16"/>
      <c r="AH662" s="116"/>
      <c r="AI662" s="161"/>
      <c r="AJ662" s="161"/>
      <c r="AK662" s="161"/>
      <c r="AL662" s="161"/>
      <c r="AM662" s="161"/>
    </row>
    <row r="663" spans="1:59" ht="13.75" customHeight="1" outlineLevel="1">
      <c r="F663" s="141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16"/>
      <c r="AH663" s="116"/>
      <c r="AI663" s="161"/>
      <c r="AJ663" s="161"/>
      <c r="AK663" s="161"/>
      <c r="AL663" s="161"/>
      <c r="AM663" s="161"/>
    </row>
    <row r="664" spans="1:59" ht="13.75" customHeight="1" outlineLevel="1">
      <c r="F664" s="141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16"/>
      <c r="AH664" s="116"/>
      <c r="AI664" s="161"/>
      <c r="AJ664" s="161"/>
      <c r="AK664" s="161"/>
      <c r="AL664" s="161"/>
      <c r="AM664" s="161"/>
    </row>
    <row r="665" spans="1:59" ht="13.75" customHeight="1" outlineLevel="1">
      <c r="F665" s="141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16"/>
      <c r="AH665" s="116"/>
      <c r="AI665" s="161"/>
      <c r="AJ665" s="161"/>
      <c r="AK665" s="161"/>
      <c r="AL665" s="161"/>
      <c r="AM665" s="161"/>
    </row>
    <row r="666" spans="1:59" ht="13.75" customHeight="1" outlineLevel="1">
      <c r="F666" s="141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16"/>
      <c r="AH666" s="116"/>
      <c r="AI666" s="161"/>
      <c r="AJ666" s="161"/>
      <c r="AK666" s="161"/>
      <c r="AL666" s="161"/>
      <c r="AM666" s="161"/>
    </row>
    <row r="667" spans="1:59" ht="13.75" customHeight="1" outlineLevel="1">
      <c r="F667" s="141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16"/>
      <c r="AH667" s="116"/>
      <c r="AI667" s="161"/>
      <c r="AJ667" s="161"/>
      <c r="AK667" s="161"/>
      <c r="AL667" s="161"/>
      <c r="AM667" s="161"/>
    </row>
    <row r="668" spans="1:59" ht="13.75" customHeight="1">
      <c r="A668" s="141" t="s">
        <v>166</v>
      </c>
      <c r="B668" s="170" t="s">
        <v>245</v>
      </c>
      <c r="C668" s="170"/>
      <c r="D668" s="170" t="s">
        <v>168</v>
      </c>
      <c r="E668" s="168"/>
      <c r="F668" s="168" t="s">
        <v>615</v>
      </c>
      <c r="G668" s="168" t="s">
        <v>247</v>
      </c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12">
        <v>11.827118333333335</v>
      </c>
      <c r="X668" s="112">
        <v>18.2333125</v>
      </c>
      <c r="Y668" s="112">
        <v>23.207047500000002</v>
      </c>
      <c r="Z668" s="112">
        <v>20.847792499999997</v>
      </c>
      <c r="AA668" s="112">
        <v>22.728607297979799</v>
      </c>
      <c r="AB668" s="112">
        <v>23.364709595959596</v>
      </c>
      <c r="AC668" s="112">
        <v>28.96003787878788</v>
      </c>
      <c r="AD668" s="112">
        <v>47.804734848484848</v>
      </c>
      <c r="AE668" s="112">
        <v>38.037020202020202</v>
      </c>
      <c r="AF668" s="112">
        <v>30.250417617573227</v>
      </c>
      <c r="AG668" s="112">
        <v>36.537779137699658</v>
      </c>
      <c r="AH668" s="112">
        <v>39.315071985183749</v>
      </c>
      <c r="AI668" s="162">
        <v>42.378735372473614</v>
      </c>
      <c r="AJ668" s="162">
        <v>43.658573180722321</v>
      </c>
      <c r="AK668" s="162">
        <v>44.977062090780137</v>
      </c>
      <c r="AL668" s="162">
        <v>46.3353693659217</v>
      </c>
      <c r="AM668" s="162">
        <v>47.734697520772542</v>
      </c>
      <c r="AN668" s="162">
        <v>49.176285385899874</v>
      </c>
      <c r="AO668" s="162">
        <v>50.661409204554054</v>
      </c>
      <c r="AP668" s="162">
        <v>52.191383762531586</v>
      </c>
      <c r="AQ668" s="162">
        <v>53.767563552160041</v>
      </c>
      <c r="AR668" s="162">
        <v>55.391343971435276</v>
      </c>
      <c r="AS668" s="162">
        <v>57.064162559372626</v>
      </c>
      <c r="AT668" s="162">
        <v>58.787500268665681</v>
      </c>
      <c r="AU668" s="162">
        <v>60.562882776779389</v>
      </c>
      <c r="AV668" s="162">
        <v>62.391881836638127</v>
      </c>
      <c r="AW668" s="162">
        <v>64.276116668104592</v>
      </c>
      <c r="AX668" s="162">
        <v>66.217255391481359</v>
      </c>
      <c r="AY668" s="162">
        <v>68.217016504304098</v>
      </c>
      <c r="AZ668" s="162">
        <v>70.277170402734086</v>
      </c>
      <c r="BA668" s="162">
        <v>72.399540948896657</v>
      </c>
      <c r="BB668" s="162">
        <v>74.586007085553334</v>
      </c>
      <c r="BC668" s="162">
        <f t="shared" ref="BC668:BG675" si="214">BB668*(1+((BB668-BA668)/BA668))</f>
        <v>76.838504499537038</v>
      </c>
      <c r="BD668" s="162">
        <f t="shared" si="214"/>
        <v>79.159027335423062</v>
      </c>
      <c r="BE668" s="162">
        <f t="shared" si="214"/>
        <v>81.549629960952842</v>
      </c>
      <c r="BF668" s="162">
        <f t="shared" si="214"/>
        <v>84.012428785773622</v>
      </c>
      <c r="BG668" s="162">
        <f t="shared" si="214"/>
        <v>86.549604135103991</v>
      </c>
    </row>
    <row r="669" spans="1:59" ht="13.75" customHeight="1" outlineLevel="1">
      <c r="A669" s="141" t="s">
        <v>166</v>
      </c>
      <c r="B669" s="170" t="s">
        <v>245</v>
      </c>
      <c r="C669" s="170"/>
      <c r="D669" s="170" t="s">
        <v>168</v>
      </c>
      <c r="E669" s="168"/>
      <c r="F669" s="168" t="s">
        <v>616</v>
      </c>
      <c r="G669" s="168" t="s">
        <v>4</v>
      </c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19">
        <v>914.59099962227231</v>
      </c>
      <c r="X669" s="119">
        <v>776.72680744413924</v>
      </c>
      <c r="Y669" s="119">
        <v>822.28101068588364</v>
      </c>
      <c r="Z669" s="119">
        <v>875.14927781642893</v>
      </c>
      <c r="AA669" s="119">
        <v>845.8768073333332</v>
      </c>
      <c r="AB669" s="119">
        <v>859.10722899999985</v>
      </c>
      <c r="AC669" s="119">
        <v>911.79510558333322</v>
      </c>
      <c r="AD669" s="119">
        <v>1509.0777068333334</v>
      </c>
      <c r="AE669" s="119">
        <v>1742.4902749098053</v>
      </c>
      <c r="AF669" s="119">
        <v>1076.7565342468729</v>
      </c>
      <c r="AG669" s="119">
        <v>1294.4857664583333</v>
      </c>
      <c r="AH669" s="119">
        <v>1212.6505632749779</v>
      </c>
      <c r="AI669" s="150">
        <v>1236.9035745404774</v>
      </c>
      <c r="AJ669" s="150">
        <v>1261.6416460312869</v>
      </c>
      <c r="AK669" s="150">
        <v>1286.8744789519126</v>
      </c>
      <c r="AL669" s="150">
        <v>1312.6119685309509</v>
      </c>
      <c r="AM669" s="150">
        <v>1338.8642079015699</v>
      </c>
      <c r="AN669" s="150">
        <v>1365.6414920596014</v>
      </c>
      <c r="AO669" s="150">
        <v>1392.9543219007935</v>
      </c>
      <c r="AP669" s="150">
        <v>1420.8134083388095</v>
      </c>
      <c r="AQ669" s="150">
        <v>1449.2296765055858</v>
      </c>
      <c r="AR669" s="150">
        <v>1478.2142700356976</v>
      </c>
      <c r="AS669" s="150">
        <v>1507.7785554364116</v>
      </c>
      <c r="AT669" s="150">
        <v>1537.9341265451399</v>
      </c>
      <c r="AU669" s="150">
        <v>1568.6928090760427</v>
      </c>
      <c r="AV669" s="150">
        <v>1600.0666652575637</v>
      </c>
      <c r="AW669" s="150">
        <v>1632.067998562715</v>
      </c>
      <c r="AX669" s="150">
        <v>1664.7093585339694</v>
      </c>
      <c r="AY669" s="150">
        <v>1698.0035457046488</v>
      </c>
      <c r="AZ669" s="150">
        <v>1731.9636166187418</v>
      </c>
      <c r="BA669" s="150">
        <v>1766.6028889511167</v>
      </c>
      <c r="BB669" s="150">
        <v>1801.934946730139</v>
      </c>
      <c r="BC669" s="150">
        <f t="shared" si="214"/>
        <v>1837.9736456647418</v>
      </c>
      <c r="BD669" s="150">
        <f t="shared" si="214"/>
        <v>1874.7331185780365</v>
      </c>
      <c r="BE669" s="150">
        <f t="shared" si="214"/>
        <v>1912.2277809495972</v>
      </c>
      <c r="BF669" s="150">
        <f t="shared" si="214"/>
        <v>1950.4723365685893</v>
      </c>
      <c r="BG669" s="150">
        <f t="shared" si="214"/>
        <v>1989.4817832999611</v>
      </c>
    </row>
    <row r="670" spans="1:59" ht="13.75" customHeight="1" outlineLevel="1">
      <c r="A670" s="141" t="s">
        <v>166</v>
      </c>
      <c r="B670" s="170" t="s">
        <v>245</v>
      </c>
      <c r="C670" s="170"/>
      <c r="D670" s="170" t="s">
        <v>168</v>
      </c>
      <c r="E670" s="168"/>
      <c r="F670" s="168" t="s">
        <v>617</v>
      </c>
      <c r="G670" s="168" t="s">
        <v>247</v>
      </c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12">
        <v>12.589084166666668</v>
      </c>
      <c r="X670" s="112">
        <v>15.168315833333333</v>
      </c>
      <c r="Y670" s="112">
        <v>15.558869999999999</v>
      </c>
      <c r="Z670" s="112">
        <v>14.0741675</v>
      </c>
      <c r="AA670" s="112">
        <v>17.183060833333336</v>
      </c>
      <c r="AB670" s="112">
        <v>17.432308333333335</v>
      </c>
      <c r="AC670" s="112">
        <v>18.824400000000001</v>
      </c>
      <c r="AD670" s="112">
        <v>20.837076666666668</v>
      </c>
      <c r="AE670" s="112">
        <v>23.195639583333335</v>
      </c>
      <c r="AF670" s="112">
        <v>20.175497384726111</v>
      </c>
      <c r="AG670" s="130">
        <v>25.264564142521412</v>
      </c>
      <c r="AH670" s="130">
        <v>26.429686240134771</v>
      </c>
      <c r="AI670" s="130">
        <v>27.933163413836532</v>
      </c>
      <c r="AJ670" s="130">
        <v>28.548977934457973</v>
      </c>
      <c r="AK670" s="162">
        <v>29.178368702001034</v>
      </c>
      <c r="AL670" s="162">
        <v>29.821635018405349</v>
      </c>
      <c r="AM670" s="162">
        <v>30.479082784021113</v>
      </c>
      <c r="AN670" s="162">
        <v>31.151024643077637</v>
      </c>
      <c r="AO670" s="162">
        <v>31.837780132358919</v>
      </c>
      <c r="AP670" s="162">
        <v>32.539675833156913</v>
      </c>
      <c r="AQ670" s="162">
        <v>33.257045526574693</v>
      </c>
      <c r="AR670" s="162">
        <v>33.990230352253562</v>
      </c>
      <c r="AS670" s="162">
        <v>34.739578970599347</v>
      </c>
      <c r="AT670" s="162">
        <v>35.505447728585182</v>
      </c>
      <c r="AU670" s="162">
        <v>36.288200829209579</v>
      </c>
      <c r="AV670" s="162">
        <v>37.088210504690331</v>
      </c>
      <c r="AW670" s="162">
        <v>37.905857193476734</v>
      </c>
      <c r="AX670" s="162">
        <v>38.74152972116412</v>
      </c>
      <c r="AY670" s="162">
        <v>39.595625485396901</v>
      </c>
      <c r="AZ670" s="162">
        <v>40.468550644847959</v>
      </c>
      <c r="BA670" s="162">
        <v>41.360720312364279</v>
      </c>
      <c r="BB670" s="162">
        <v>42.272558752370664</v>
      </c>
      <c r="BC670" s="162">
        <f t="shared" si="214"/>
        <v>43.204499582625431</v>
      </c>
      <c r="BD670" s="162">
        <f t="shared" si="214"/>
        <v>44.15698598042399</v>
      </c>
      <c r="BE670" s="162">
        <f t="shared" si="214"/>
        <v>45.130470893348416</v>
      </c>
      <c r="BF670" s="162">
        <f t="shared" si="214"/>
        <v>46.125417254663176</v>
      </c>
      <c r="BG670" s="162">
        <f t="shared" si="214"/>
        <v>47.142298203459482</v>
      </c>
    </row>
    <row r="671" spans="1:59" ht="13.75" customHeight="1" outlineLevel="1">
      <c r="A671" s="141" t="s">
        <v>166</v>
      </c>
      <c r="B671" s="170" t="s">
        <v>245</v>
      </c>
      <c r="C671" s="170"/>
      <c r="D671" s="170" t="s">
        <v>168</v>
      </c>
      <c r="E671" s="168"/>
      <c r="F671" s="168" t="s">
        <v>618</v>
      </c>
      <c r="G671" s="168" t="s">
        <v>4</v>
      </c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12">
        <v>262.185</v>
      </c>
      <c r="X671" s="112">
        <v>201.59</v>
      </c>
      <c r="Y671" s="112">
        <v>178.05250000000001</v>
      </c>
      <c r="Z671" s="112">
        <v>188.5025</v>
      </c>
      <c r="AA671" s="112">
        <v>213.93583333333336</v>
      </c>
      <c r="AB671" s="112">
        <v>208.99666666666667</v>
      </c>
      <c r="AC671" s="112">
        <v>224.50416666666669</v>
      </c>
      <c r="AD671" s="112">
        <v>284.96333333333337</v>
      </c>
      <c r="AE671" s="112">
        <v>349.51111666666668</v>
      </c>
      <c r="AF671" s="112">
        <v>258.72192404861113</v>
      </c>
      <c r="AG671" s="130">
        <v>328.11616326693309</v>
      </c>
      <c r="AH671" s="130">
        <v>336.75478257959355</v>
      </c>
      <c r="AI671" s="130">
        <v>343.48987823118546</v>
      </c>
      <c r="AJ671" s="130">
        <v>350.35967579580915</v>
      </c>
      <c r="AK671" s="162">
        <v>357.36686931172534</v>
      </c>
      <c r="AL671" s="162">
        <v>364.51420669795988</v>
      </c>
      <c r="AM671" s="162">
        <v>371.80449083191905</v>
      </c>
      <c r="AN671" s="162">
        <v>379.24058064855745</v>
      </c>
      <c r="AO671" s="162">
        <v>386.82539226152863</v>
      </c>
      <c r="AP671" s="162">
        <v>394.5619001067592</v>
      </c>
      <c r="AQ671" s="162">
        <v>402.45313810889439</v>
      </c>
      <c r="AR671" s="162">
        <v>410.50220087107226</v>
      </c>
      <c r="AS671" s="162">
        <v>418.71224488849373</v>
      </c>
      <c r="AT671" s="162">
        <v>427.0864897862636</v>
      </c>
      <c r="AU671" s="162">
        <v>435.6282195819889</v>
      </c>
      <c r="AV671" s="162">
        <v>444.34078397362867</v>
      </c>
      <c r="AW671" s="162">
        <v>453.22759965310127</v>
      </c>
      <c r="AX671" s="162">
        <v>462.29215164616329</v>
      </c>
      <c r="AY671" s="162">
        <v>471.53799467908658</v>
      </c>
      <c r="AZ671" s="162">
        <v>480.96875457266833</v>
      </c>
      <c r="BA671" s="162">
        <v>490.58812966412171</v>
      </c>
      <c r="BB671" s="162">
        <v>500.39989225740413</v>
      </c>
      <c r="BC671" s="162">
        <f t="shared" si="214"/>
        <v>510.40789010255224</v>
      </c>
      <c r="BD671" s="162">
        <f t="shared" si="214"/>
        <v>520.61604790460331</v>
      </c>
      <c r="BE671" s="162">
        <f t="shared" si="214"/>
        <v>531.0283688626954</v>
      </c>
      <c r="BF671" s="162">
        <f t="shared" si="214"/>
        <v>541.64893623994931</v>
      </c>
      <c r="BG671" s="162">
        <f t="shared" si="214"/>
        <v>552.48191496474828</v>
      </c>
    </row>
    <row r="672" spans="1:59" ht="13.75" customHeight="1" outlineLevel="1">
      <c r="A672" s="141" t="s">
        <v>166</v>
      </c>
      <c r="B672" s="170" t="s">
        <v>245</v>
      </c>
      <c r="C672" s="170"/>
      <c r="D672" s="170" t="s">
        <v>168</v>
      </c>
      <c r="E672" s="168"/>
      <c r="F672" s="168" t="s">
        <v>619</v>
      </c>
      <c r="G672" s="168" t="s">
        <v>4</v>
      </c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12"/>
      <c r="X672" s="112"/>
      <c r="Y672" s="112">
        <v>10.35282383675731</v>
      </c>
      <c r="Z672" s="112">
        <v>13.066073309734026</v>
      </c>
      <c r="AA672" s="112">
        <v>14.119942684155323</v>
      </c>
      <c r="AB672" s="112">
        <v>19.534076779892366</v>
      </c>
      <c r="AC672" s="112">
        <v>19.534008996418954</v>
      </c>
      <c r="AD672" s="112">
        <v>31.618066832660922</v>
      </c>
      <c r="AE672" s="112">
        <v>18.183645813747141</v>
      </c>
      <c r="AF672" s="112">
        <v>11.053028219888771</v>
      </c>
      <c r="AG672" s="130">
        <v>17.970234649543666</v>
      </c>
      <c r="AH672" s="130">
        <v>18.340274576755871</v>
      </c>
      <c r="AI672" s="130">
        <v>18.707080068290988</v>
      </c>
      <c r="AJ672" s="130">
        <v>19.081221669656809</v>
      </c>
      <c r="AK672" s="162">
        <v>19.462846103049944</v>
      </c>
      <c r="AL672" s="162">
        <v>19.852103025110942</v>
      </c>
      <c r="AM672" s="162">
        <v>20.249145085613161</v>
      </c>
      <c r="AN672" s="162">
        <v>20.654127987325424</v>
      </c>
      <c r="AO672" s="162">
        <v>21.067210547071934</v>
      </c>
      <c r="AP672" s="162">
        <v>21.488554758013372</v>
      </c>
      <c r="AQ672" s="162">
        <v>21.918325853173641</v>
      </c>
      <c r="AR672" s="162">
        <v>22.356692370237116</v>
      </c>
      <c r="AS672" s="162">
        <v>22.803826217641859</v>
      </c>
      <c r="AT672" s="162">
        <v>23.259902741994697</v>
      </c>
      <c r="AU672" s="162">
        <v>23.725100796834592</v>
      </c>
      <c r="AV672" s="162">
        <v>24.199602812771285</v>
      </c>
      <c r="AW672" s="162">
        <v>24.683594869026713</v>
      </c>
      <c r="AX672" s="162">
        <v>25.177266766407246</v>
      </c>
      <c r="AY672" s="162">
        <v>25.680812101735391</v>
      </c>
      <c r="AZ672" s="162">
        <v>26.194428343770099</v>
      </c>
      <c r="BA672" s="162">
        <v>26.718316910645502</v>
      </c>
      <c r="BB672" s="162">
        <v>27.252683248858414</v>
      </c>
      <c r="BC672" s="162">
        <f t="shared" si="214"/>
        <v>27.797736913835582</v>
      </c>
      <c r="BD672" s="162">
        <f t="shared" si="214"/>
        <v>28.353691652112293</v>
      </c>
      <c r="BE672" s="162">
        <f t="shared" si="214"/>
        <v>28.92076548515454</v>
      </c>
      <c r="BF672" s="162">
        <f t="shared" si="214"/>
        <v>29.499180794857633</v>
      </c>
      <c r="BG672" s="162">
        <f t="shared" si="214"/>
        <v>30.089164410754787</v>
      </c>
    </row>
    <row r="673" spans="1:59" ht="13.75" customHeight="1" outlineLevel="1">
      <c r="A673" s="141" t="s">
        <v>166</v>
      </c>
      <c r="B673" s="170" t="s">
        <v>245</v>
      </c>
      <c r="C673" s="170"/>
      <c r="D673" s="170" t="s">
        <v>168</v>
      </c>
      <c r="E673" s="168"/>
      <c r="F673" s="168" t="s">
        <v>620</v>
      </c>
      <c r="G673" s="168" t="s">
        <v>4</v>
      </c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12"/>
      <c r="X673" s="112"/>
      <c r="Y673" s="112">
        <v>11.038517710132222</v>
      </c>
      <c r="Z673" s="112">
        <v>12.47193044879112</v>
      </c>
      <c r="AA673" s="112">
        <v>15.332111357506392</v>
      </c>
      <c r="AB673" s="112">
        <v>18.455157746176841</v>
      </c>
      <c r="AC673" s="112">
        <v>21.375887021928882</v>
      </c>
      <c r="AD673" s="112">
        <v>30.430985127259774</v>
      </c>
      <c r="AE673" s="112">
        <v>27.120075194875419</v>
      </c>
      <c r="AF673" s="112">
        <v>24.299839089338761</v>
      </c>
      <c r="AG673" s="130">
        <v>29.09886880355991</v>
      </c>
      <c r="AH673" s="130">
        <v>29.698067617822485</v>
      </c>
      <c r="AI673" s="130">
        <v>30.292028970178936</v>
      </c>
      <c r="AJ673" s="130">
        <v>30.897869549582516</v>
      </c>
      <c r="AK673" s="162">
        <v>31.515826940574168</v>
      </c>
      <c r="AL673" s="162">
        <v>32.14614347938565</v>
      </c>
      <c r="AM673" s="162">
        <v>32.789066348973364</v>
      </c>
      <c r="AN673" s="162">
        <v>33.444847675952829</v>
      </c>
      <c r="AO673" s="162">
        <v>34.113744629471888</v>
      </c>
      <c r="AP673" s="162">
        <v>34.796019522061329</v>
      </c>
      <c r="AQ673" s="162">
        <v>35.491939912502559</v>
      </c>
      <c r="AR673" s="162">
        <v>36.201778710752613</v>
      </c>
      <c r="AS673" s="162">
        <v>36.925814284967664</v>
      </c>
      <c r="AT673" s="162">
        <v>37.664330570667019</v>
      </c>
      <c r="AU673" s="162">
        <v>38.417617182080363</v>
      </c>
      <c r="AV673" s="162">
        <v>39.185969525721973</v>
      </c>
      <c r="AW673" s="162">
        <v>39.969688916236414</v>
      </c>
      <c r="AX673" s="162">
        <v>40.769082694561142</v>
      </c>
      <c r="AY673" s="162">
        <v>41.584464348452364</v>
      </c>
      <c r="AZ673" s="162">
        <v>42.416153635421409</v>
      </c>
      <c r="BA673" s="162">
        <v>43.264476708129841</v>
      </c>
      <c r="BB673" s="162">
        <v>44.12976624229244</v>
      </c>
      <c r="BC673" s="162">
        <f t="shared" si="214"/>
        <v>45.012361567138292</v>
      </c>
      <c r="BD673" s="162">
        <f t="shared" si="214"/>
        <v>45.91260879848106</v>
      </c>
      <c r="BE673" s="162">
        <f t="shared" si="214"/>
        <v>46.83086097445068</v>
      </c>
      <c r="BF673" s="162">
        <f t="shared" si="214"/>
        <v>47.767478193939695</v>
      </c>
      <c r="BG673" s="162">
        <f t="shared" si="214"/>
        <v>48.722827757818493</v>
      </c>
    </row>
    <row r="674" spans="1:59" ht="13.75" customHeight="1" outlineLevel="1">
      <c r="A674" s="141" t="s">
        <v>166</v>
      </c>
      <c r="B674" s="170" t="s">
        <v>245</v>
      </c>
      <c r="C674" s="170"/>
      <c r="D674" s="170" t="s">
        <v>168</v>
      </c>
      <c r="E674" s="168"/>
      <c r="F674" s="168" t="s">
        <v>621</v>
      </c>
      <c r="G674" s="168" t="s">
        <v>247</v>
      </c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12"/>
      <c r="X674" s="112">
        <v>155.9848484848485</v>
      </c>
      <c r="Y674" s="112">
        <v>171.43939393939394</v>
      </c>
      <c r="Z674" s="112">
        <v>171.89393939393935</v>
      </c>
      <c r="AA674" s="112">
        <v>218.63636363636363</v>
      </c>
      <c r="AB674" s="112">
        <v>237.19696969696969</v>
      </c>
      <c r="AC674" s="112">
        <v>199.84848484848484</v>
      </c>
      <c r="AD674" s="112">
        <v>204.24242424242422</v>
      </c>
      <c r="AE674" s="112">
        <v>237.84469696969697</v>
      </c>
      <c r="AF674" s="112">
        <v>245.92424242424241</v>
      </c>
      <c r="AG674" s="112">
        <v>288.40006847018071</v>
      </c>
      <c r="AH674" s="112">
        <v>295.61007018193521</v>
      </c>
      <c r="AI674" s="162">
        <v>303.29593200666551</v>
      </c>
      <c r="AJ674" s="162">
        <v>312.45546915326679</v>
      </c>
      <c r="AK674" s="162">
        <v>321.89162432169542</v>
      </c>
      <c r="AL674" s="162">
        <v>331.61275137621067</v>
      </c>
      <c r="AM674" s="162">
        <v>341.62745646777222</v>
      </c>
      <c r="AN674" s="162">
        <v>351.94460565309896</v>
      </c>
      <c r="AO674" s="162">
        <v>362.57333274382256</v>
      </c>
      <c r="AP674" s="162">
        <v>373.52304739268601</v>
      </c>
      <c r="AQ674" s="162">
        <v>384.80344342394511</v>
      </c>
      <c r="AR674" s="162">
        <v>396.42450741534827</v>
      </c>
      <c r="AS674" s="162">
        <v>408.39652753929181</v>
      </c>
      <c r="AT674" s="162">
        <v>420.73010267097845</v>
      </c>
      <c r="AU674" s="162">
        <v>433.43615177164202</v>
      </c>
      <c r="AV674" s="162">
        <v>446.5259235551456</v>
      </c>
      <c r="AW674" s="162">
        <v>460.01100644651098</v>
      </c>
      <c r="AX674" s="162">
        <v>473.90333884119565</v>
      </c>
      <c r="AY674" s="162">
        <v>488.21521967419977</v>
      </c>
      <c r="AZ674" s="162">
        <v>502.95931930836059</v>
      </c>
      <c r="BA674" s="162">
        <v>518.14869075147305</v>
      </c>
      <c r="BB674" s="162">
        <v>533.79678121216762</v>
      </c>
      <c r="BC674" s="162">
        <f t="shared" si="214"/>
        <v>549.91744400477523</v>
      </c>
      <c r="BD674" s="162">
        <f t="shared" si="214"/>
        <v>566.52495081371956</v>
      </c>
      <c r="BE674" s="162">
        <f t="shared" si="214"/>
        <v>583.63400432829405</v>
      </c>
      <c r="BF674" s="162">
        <f t="shared" si="214"/>
        <v>601.25975125900868</v>
      </c>
      <c r="BG674" s="162">
        <f t="shared" si="214"/>
        <v>619.41779574703082</v>
      </c>
    </row>
    <row r="675" spans="1:59" ht="13.75" customHeight="1" outlineLevel="1">
      <c r="A675" s="141" t="s">
        <v>166</v>
      </c>
      <c r="B675" s="170" t="s">
        <v>245</v>
      </c>
      <c r="C675" s="170"/>
      <c r="D675" s="170" t="s">
        <v>168</v>
      </c>
      <c r="E675" s="168"/>
      <c r="F675" s="168" t="s">
        <v>622</v>
      </c>
      <c r="G675" s="168" t="s">
        <v>247</v>
      </c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12"/>
      <c r="X675" s="112"/>
      <c r="Y675" s="112"/>
      <c r="Z675" s="112">
        <v>143.25757575757575</v>
      </c>
      <c r="AA675" s="112">
        <v>141.47348484848484</v>
      </c>
      <c r="AB675" s="112">
        <v>104.52840909090908</v>
      </c>
      <c r="AC675" s="112">
        <v>136.68560606060606</v>
      </c>
      <c r="AD675" s="112">
        <v>202.87878787878788</v>
      </c>
      <c r="AE675" s="112">
        <v>170.625</v>
      </c>
      <c r="AF675" s="112">
        <v>214.15351162902914</v>
      </c>
      <c r="AG675" s="112">
        <v>150.22173267416002</v>
      </c>
      <c r="AH675" s="112">
        <v>165.58027808985139</v>
      </c>
      <c r="AI675" s="162">
        <v>178.48327457507531</v>
      </c>
      <c r="AJ675" s="162">
        <v>183.87346946724259</v>
      </c>
      <c r="AK675" s="162">
        <v>189.42644824515332</v>
      </c>
      <c r="AL675" s="162">
        <v>195.14712698215695</v>
      </c>
      <c r="AM675" s="162">
        <v>201.04057021701809</v>
      </c>
      <c r="AN675" s="162">
        <v>207.11199543757206</v>
      </c>
      <c r="AO675" s="162">
        <v>213.36677769978672</v>
      </c>
      <c r="AP675" s="162">
        <v>219.81045438632029</v>
      </c>
      <c r="AQ675" s="162">
        <v>226.44873010878717</v>
      </c>
      <c r="AR675" s="162">
        <v>233.28748175807254</v>
      </c>
      <c r="AS675" s="162">
        <v>240.33276370716635</v>
      </c>
      <c r="AT675" s="162">
        <v>247.59081317112279</v>
      </c>
      <c r="AU675" s="162">
        <v>255.06805572889073</v>
      </c>
      <c r="AV675" s="162">
        <v>262.7711110119032</v>
      </c>
      <c r="AW675" s="162">
        <v>270.7067985644627</v>
      </c>
      <c r="AX675" s="162">
        <v>278.88214388110953</v>
      </c>
      <c r="AY675" s="162">
        <v>287.30438462631901</v>
      </c>
      <c r="AZ675" s="162">
        <v>295.98097704203383</v>
      </c>
      <c r="BA675" s="162">
        <v>304.91960254870327</v>
      </c>
      <c r="BB675" s="162">
        <v>314.12817454567414</v>
      </c>
      <c r="BC675" s="162">
        <f t="shared" si="214"/>
        <v>323.61484541695359</v>
      </c>
      <c r="BD675" s="162">
        <f t="shared" si="214"/>
        <v>333.38801374854563</v>
      </c>
      <c r="BE675" s="162">
        <f t="shared" si="214"/>
        <v>343.45633176375179</v>
      </c>
      <c r="BF675" s="162">
        <f t="shared" si="214"/>
        <v>353.82871298301717</v>
      </c>
      <c r="BG675" s="162">
        <f t="shared" si="214"/>
        <v>364.51434011510435</v>
      </c>
    </row>
    <row r="676" spans="1:59" ht="13.75" customHeight="1" outlineLevel="1">
      <c r="B676" s="170"/>
      <c r="C676" s="170"/>
      <c r="F676" s="168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16"/>
      <c r="AH676" s="116"/>
      <c r="AI676" s="161"/>
      <c r="AJ676" s="161"/>
      <c r="AK676" s="161"/>
      <c r="AL676" s="161"/>
      <c r="AM676" s="161"/>
    </row>
    <row r="677" spans="1:59" ht="13.75" customHeight="1" outlineLevel="1">
      <c r="B677" s="170"/>
      <c r="C677" s="170"/>
      <c r="F677" s="168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16"/>
      <c r="AH677" s="116"/>
      <c r="AI677" s="161"/>
      <c r="AJ677" s="161"/>
      <c r="AK677" s="161"/>
      <c r="AL677" s="161"/>
      <c r="AM677" s="161"/>
    </row>
    <row r="678" spans="1:59" ht="13.75" customHeight="1" outlineLevel="1">
      <c r="B678" s="170"/>
      <c r="C678" s="170"/>
      <c r="F678" s="168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16"/>
      <c r="AH678" s="116"/>
      <c r="AI678" s="161"/>
      <c r="AJ678" s="161"/>
      <c r="AK678" s="161"/>
      <c r="AL678" s="161"/>
      <c r="AM678" s="161"/>
    </row>
    <row r="679" spans="1:59" ht="13.75" customHeight="1" outlineLevel="1">
      <c r="B679" s="170"/>
      <c r="C679" s="170"/>
      <c r="F679" s="168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16"/>
      <c r="AH679" s="116"/>
      <c r="AI679" s="161"/>
      <c r="AJ679" s="161"/>
      <c r="AK679" s="161"/>
      <c r="AL679" s="161"/>
      <c r="AM679" s="161"/>
    </row>
    <row r="680" spans="1:59" ht="13.75" customHeight="1" outlineLevel="1">
      <c r="B680" s="170"/>
      <c r="C680" s="170"/>
      <c r="F680" s="168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16"/>
      <c r="AH680" s="116"/>
      <c r="AI680" s="161"/>
      <c r="AJ680" s="161"/>
      <c r="AK680" s="161"/>
      <c r="AL680" s="161"/>
      <c r="AM680" s="161"/>
    </row>
    <row r="681" spans="1:59" ht="13.75" customHeight="1" outlineLevel="1">
      <c r="B681" s="170"/>
      <c r="C681" s="170"/>
      <c r="F681" s="168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16"/>
      <c r="AH681" s="116"/>
      <c r="AI681" s="161"/>
      <c r="AJ681" s="161"/>
      <c r="AK681" s="161"/>
      <c r="AL681" s="161"/>
      <c r="AM681" s="161"/>
    </row>
    <row r="682" spans="1:59" ht="13.75" customHeight="1" outlineLevel="1">
      <c r="B682" s="170"/>
      <c r="C682" s="170"/>
      <c r="F682" s="168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16"/>
      <c r="AH682" s="116"/>
      <c r="AI682" s="161"/>
      <c r="AJ682" s="161"/>
      <c r="AK682" s="161"/>
      <c r="AL682" s="161"/>
      <c r="AM682" s="161"/>
    </row>
    <row r="683" spans="1:59" ht="13.75" customHeight="1" outlineLevel="1">
      <c r="B683" s="170"/>
      <c r="C683" s="170"/>
      <c r="F683" s="168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16"/>
      <c r="AH683" s="116"/>
      <c r="AI683" s="161"/>
      <c r="AJ683" s="161"/>
      <c r="AK683" s="161"/>
      <c r="AL683" s="161"/>
      <c r="AM683" s="161"/>
    </row>
    <row r="684" spans="1:59" ht="13.75" customHeight="1" outlineLevel="1">
      <c r="B684" s="170"/>
      <c r="C684" s="170"/>
      <c r="F684" s="168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16"/>
      <c r="AH684" s="116"/>
      <c r="AI684" s="161"/>
      <c r="AJ684" s="161"/>
      <c r="AK684" s="161"/>
      <c r="AL684" s="161"/>
      <c r="AM684" s="161"/>
    </row>
    <row r="685" spans="1:59" ht="13.75" customHeight="1" outlineLevel="1">
      <c r="B685" s="170"/>
      <c r="C685" s="170"/>
      <c r="F685" s="168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16"/>
      <c r="AH685" s="116"/>
      <c r="AI685" s="161"/>
      <c r="AJ685" s="161"/>
      <c r="AK685" s="161"/>
      <c r="AL685" s="161"/>
      <c r="AM685" s="161"/>
    </row>
    <row r="686" spans="1:59" ht="13.75" customHeight="1" outlineLevel="1">
      <c r="B686" s="170"/>
      <c r="C686" s="170"/>
      <c r="F686" s="168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16"/>
      <c r="AH686" s="116"/>
      <c r="AI686" s="161"/>
      <c r="AJ686" s="161"/>
      <c r="AK686" s="161"/>
      <c r="AL686" s="161"/>
      <c r="AM686" s="161"/>
    </row>
    <row r="687" spans="1:59" ht="13.75" customHeight="1" outlineLevel="1">
      <c r="B687" s="170"/>
      <c r="C687" s="170"/>
      <c r="F687" s="168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16"/>
      <c r="AH687" s="116"/>
      <c r="AI687" s="161"/>
      <c r="AJ687" s="161"/>
      <c r="AK687" s="161"/>
      <c r="AL687" s="161"/>
      <c r="AM687" s="161"/>
    </row>
    <row r="688" spans="1:59" ht="13.75" customHeight="1">
      <c r="B688" s="170"/>
      <c r="C688" s="170"/>
      <c r="F688" s="168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16"/>
      <c r="AH688" s="116"/>
      <c r="AI688" s="161"/>
      <c r="AJ688" s="161"/>
      <c r="AK688" s="161"/>
      <c r="AL688" s="161"/>
      <c r="AM688" s="161"/>
    </row>
    <row r="689" spans="1:59" ht="13.75" customHeight="1" outlineLevel="1">
      <c r="B689" s="170"/>
      <c r="C689" s="170"/>
      <c r="F689" s="168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16"/>
      <c r="AH689" s="116"/>
      <c r="AI689" s="161"/>
      <c r="AJ689" s="161"/>
      <c r="AK689" s="161"/>
      <c r="AL689" s="161"/>
      <c r="AM689" s="161"/>
    </row>
    <row r="690" spans="1:59" ht="13.75" customHeight="1" outlineLevel="1">
      <c r="B690" s="170"/>
      <c r="C690" s="170"/>
      <c r="F690" s="168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16"/>
      <c r="AH690" s="116"/>
      <c r="AI690" s="161"/>
      <c r="AJ690" s="161"/>
      <c r="AK690" s="161"/>
      <c r="AL690" s="161"/>
      <c r="AM690" s="161"/>
    </row>
    <row r="691" spans="1:59" ht="13.75" customHeight="1" outlineLevel="1">
      <c r="B691" s="170"/>
      <c r="C691" s="170"/>
      <c r="F691" s="168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16"/>
      <c r="AH691" s="116"/>
      <c r="AI691" s="161"/>
      <c r="AJ691" s="161"/>
      <c r="AK691" s="161"/>
      <c r="AL691" s="161"/>
      <c r="AM691" s="161"/>
    </row>
    <row r="692" spans="1:59" ht="13.75" customHeight="1" outlineLevel="1">
      <c r="B692" s="170"/>
      <c r="C692" s="170"/>
      <c r="F692" s="168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16"/>
      <c r="AH692" s="116"/>
      <c r="AI692" s="161"/>
      <c r="AJ692" s="161"/>
      <c r="AK692" s="161"/>
      <c r="AL692" s="161"/>
      <c r="AM692" s="161"/>
    </row>
    <row r="693" spans="1:59" ht="13.75" customHeight="1" outlineLevel="1">
      <c r="B693" s="170"/>
      <c r="C693" s="170"/>
      <c r="F693" s="168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16"/>
      <c r="AH693" s="116"/>
      <c r="AI693" s="161"/>
      <c r="AJ693" s="161"/>
      <c r="AK693" s="161"/>
      <c r="AL693" s="161"/>
      <c r="AM693" s="161"/>
    </row>
    <row r="694" spans="1:59" ht="13.75" customHeight="1" outlineLevel="1">
      <c r="B694" s="170"/>
      <c r="C694" s="170"/>
      <c r="F694" s="168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16"/>
      <c r="AH694" s="116"/>
      <c r="AI694" s="161"/>
      <c r="AJ694" s="161"/>
      <c r="AK694" s="161"/>
      <c r="AL694" s="161"/>
      <c r="AM694" s="161"/>
    </row>
    <row r="695" spans="1:59" ht="13.75" customHeight="1" outlineLevel="1">
      <c r="B695" s="170"/>
      <c r="C695" s="170"/>
      <c r="F695" s="168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16"/>
      <c r="AH695" s="116"/>
      <c r="AI695" s="161"/>
      <c r="AJ695" s="161"/>
      <c r="AK695" s="161"/>
      <c r="AL695" s="161"/>
      <c r="AM695" s="161"/>
    </row>
    <row r="696" spans="1:59" ht="13.75" customHeight="1" outlineLevel="1">
      <c r="B696" s="170"/>
      <c r="C696" s="170"/>
      <c r="F696" s="168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16"/>
      <c r="AH696" s="116"/>
      <c r="AI696" s="161"/>
      <c r="AJ696" s="161"/>
      <c r="AK696" s="161"/>
      <c r="AL696" s="161"/>
      <c r="AM696" s="161"/>
    </row>
    <row r="697" spans="1:59" ht="13.75" customHeight="1" outlineLevel="1">
      <c r="B697" s="170"/>
      <c r="C697" s="170"/>
      <c r="F697" s="168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16"/>
      <c r="AH697" s="116"/>
      <c r="AI697" s="161"/>
      <c r="AJ697" s="161"/>
      <c r="AK697" s="161"/>
      <c r="AL697" s="161"/>
      <c r="AM697" s="161"/>
    </row>
    <row r="698" spans="1:59" ht="13.75" customHeight="1" outlineLevel="1">
      <c r="B698" s="170"/>
      <c r="C698" s="170"/>
      <c r="F698" s="168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16"/>
      <c r="AH698" s="116"/>
      <c r="AI698" s="161"/>
      <c r="AJ698" s="161"/>
      <c r="AK698" s="161"/>
      <c r="AL698" s="161"/>
      <c r="AM698" s="161"/>
    </row>
    <row r="699" spans="1:59" ht="13.75" customHeight="1" outlineLevel="1">
      <c r="B699" s="170"/>
      <c r="C699" s="170"/>
      <c r="F699" s="168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7"/>
      <c r="AG699" s="116"/>
      <c r="AH699" s="116"/>
      <c r="AI699" s="161"/>
      <c r="AJ699" s="161"/>
      <c r="AK699" s="161"/>
      <c r="AL699" s="161"/>
      <c r="AM699" s="161"/>
    </row>
    <row r="700" spans="1:59" ht="13.75" customHeight="1" outlineLevel="1">
      <c r="A700" s="141" t="s">
        <v>166</v>
      </c>
      <c r="B700" s="170" t="s">
        <v>623</v>
      </c>
      <c r="C700" s="170"/>
      <c r="F700" s="168" t="s">
        <v>624</v>
      </c>
      <c r="G700" s="109" t="s">
        <v>625</v>
      </c>
      <c r="J700" s="109"/>
      <c r="K700" s="109"/>
      <c r="L700" s="109"/>
      <c r="M700" s="109"/>
      <c r="N700" s="109"/>
      <c r="O700" s="109"/>
      <c r="P700" s="109"/>
      <c r="Q700" s="119">
        <v>22</v>
      </c>
      <c r="R700" s="119">
        <v>13</v>
      </c>
      <c r="S700" s="119">
        <v>15</v>
      </c>
      <c r="T700" s="119">
        <v>13</v>
      </c>
      <c r="U700" s="119">
        <v>7</v>
      </c>
      <c r="V700" s="119">
        <v>4</v>
      </c>
      <c r="W700" s="161">
        <v>6</v>
      </c>
      <c r="X700" s="161">
        <v>8</v>
      </c>
      <c r="Y700" s="161">
        <v>5</v>
      </c>
      <c r="Z700" s="161">
        <v>6</v>
      </c>
      <c r="AA700" s="161">
        <v>18</v>
      </c>
      <c r="AB700" s="161">
        <v>25</v>
      </c>
      <c r="AC700" s="161">
        <v>25</v>
      </c>
      <c r="AD700" s="119">
        <v>54</v>
      </c>
      <c r="AE700" s="119">
        <v>80</v>
      </c>
      <c r="AF700" s="119">
        <v>81.430492823964173</v>
      </c>
      <c r="AG700" s="119">
        <v>68.691002278015063</v>
      </c>
      <c r="AH700" s="119">
        <v>68.835589134918948</v>
      </c>
      <c r="AI700" s="119">
        <v>71.005376013726661</v>
      </c>
      <c r="AJ700" s="119">
        <v>79.138943763611039</v>
      </c>
      <c r="AK700" s="119">
        <v>83.593177648628313</v>
      </c>
      <c r="AL700" s="119">
        <v>91.584468073277847</v>
      </c>
      <c r="AM700" s="119">
        <v>97.30942877614045</v>
      </c>
      <c r="AN700" s="119">
        <v>101.85182353197703</v>
      </c>
      <c r="AO700" s="119">
        <v>106.56428071342722</v>
      </c>
      <c r="AP700" s="119">
        <v>111.30718603760384</v>
      </c>
      <c r="AQ700" s="119">
        <v>116.08111404161073</v>
      </c>
      <c r="AR700" s="119">
        <v>120.88665254106854</v>
      </c>
      <c r="AS700" s="119">
        <v>125.69890489844063</v>
      </c>
      <c r="AT700" s="119">
        <v>130.54251382632637</v>
      </c>
      <c r="AU700" s="119">
        <v>135.4181389392962</v>
      </c>
      <c r="AV700" s="119">
        <v>140.3264535674756</v>
      </c>
      <c r="AW700" s="119">
        <v>145.26814501535671</v>
      </c>
      <c r="AX700" s="119">
        <v>150.24391482555268</v>
      </c>
      <c r="AY700" s="119">
        <v>247.35243589969971</v>
      </c>
      <c r="AZ700" s="119">
        <v>268.29359763481324</v>
      </c>
      <c r="BA700" s="119">
        <v>291.41728116170572</v>
      </c>
      <c r="BB700" s="119">
        <v>315.09915253635592</v>
      </c>
      <c r="BC700" s="119">
        <f t="shared" ref="BC700:BG700" si="215">BB700*(1+((BB700-BA700)/BA700))</f>
        <v>340.70551867524858</v>
      </c>
      <c r="BD700" s="119">
        <f t="shared" si="215"/>
        <v>368.39277262853602</v>
      </c>
      <c r="BE700" s="119">
        <f t="shared" si="215"/>
        <v>398.33001664495634</v>
      </c>
      <c r="BF700" s="119">
        <f t="shared" si="215"/>
        <v>430.70009497814107</v>
      </c>
      <c r="BG700" s="119">
        <f t="shared" si="215"/>
        <v>465.70071062338195</v>
      </c>
    </row>
    <row r="701" spans="1:59" ht="13.75" customHeight="1" outlineLevel="1">
      <c r="B701" s="170"/>
      <c r="C701" s="170"/>
      <c r="F701" s="168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N701" s="109"/>
      <c r="AO701" s="109"/>
      <c r="AP701" s="109"/>
      <c r="AQ701" s="109"/>
      <c r="AR701" s="109"/>
      <c r="AS701" s="109"/>
      <c r="AT701" s="109"/>
      <c r="AU701" s="109"/>
      <c r="AV701" s="109"/>
      <c r="AW701" s="109"/>
      <c r="AX701" s="109"/>
      <c r="AY701" s="109"/>
      <c r="AZ701" s="109"/>
      <c r="BA701" s="109"/>
      <c r="BB701" s="109"/>
      <c r="BC701" s="109"/>
      <c r="BD701" s="109"/>
      <c r="BE701" s="109"/>
      <c r="BF701" s="109"/>
      <c r="BG701" s="109"/>
    </row>
    <row r="702" spans="1:59" ht="13.75" customHeight="1" outlineLevel="1">
      <c r="B702" s="170"/>
      <c r="C702" s="170"/>
      <c r="F702" s="168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16"/>
      <c r="AH702" s="116"/>
      <c r="AI702" s="161"/>
      <c r="AJ702" s="161"/>
      <c r="AK702" s="161"/>
      <c r="AL702" s="161"/>
      <c r="AM702" s="161"/>
    </row>
    <row r="703" spans="1:59" ht="13.75" customHeight="1" outlineLevel="1">
      <c r="B703" s="170"/>
      <c r="C703" s="170"/>
      <c r="F703" s="168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16"/>
      <c r="AH703" s="116"/>
      <c r="AI703" s="161"/>
      <c r="AJ703" s="161"/>
      <c r="AK703" s="161"/>
      <c r="AL703" s="161"/>
      <c r="AM703" s="161"/>
    </row>
    <row r="704" spans="1:59" ht="13.75" customHeight="1" outlineLevel="1">
      <c r="B704" s="170"/>
      <c r="C704" s="170"/>
      <c r="F704" s="168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16"/>
      <c r="AH704" s="116"/>
      <c r="AI704" s="161"/>
      <c r="AJ704" s="161"/>
      <c r="AK704" s="161"/>
      <c r="AL704" s="161"/>
      <c r="AM704" s="161"/>
    </row>
    <row r="705" spans="2:39" ht="13.75" customHeight="1" outlineLevel="1">
      <c r="B705" s="170"/>
      <c r="C705" s="170"/>
      <c r="F705" s="168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16"/>
      <c r="AH705" s="116"/>
      <c r="AI705" s="161"/>
      <c r="AJ705" s="161"/>
      <c r="AK705" s="161"/>
      <c r="AL705" s="161"/>
      <c r="AM705" s="161"/>
    </row>
    <row r="706" spans="2:39" ht="13.75" customHeight="1" outlineLevel="1">
      <c r="B706" s="170"/>
      <c r="C706" s="170"/>
      <c r="F706" s="168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16"/>
      <c r="AH706" s="116"/>
      <c r="AI706" s="161"/>
      <c r="AJ706" s="161"/>
      <c r="AK706" s="161"/>
      <c r="AL706" s="161"/>
      <c r="AM706" s="161"/>
    </row>
    <row r="707" spans="2:39" ht="13.75" customHeight="1" outlineLevel="1">
      <c r="B707" s="170"/>
      <c r="C707" s="170"/>
      <c r="F707" s="168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16"/>
      <c r="AH707" s="116"/>
      <c r="AI707" s="161"/>
      <c r="AJ707" s="161"/>
      <c r="AK707" s="161"/>
      <c r="AL707" s="161"/>
      <c r="AM707" s="161"/>
    </row>
    <row r="708" spans="2:39" ht="13.75" customHeight="1">
      <c r="B708" s="170"/>
      <c r="C708" s="170"/>
      <c r="F708" s="168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16"/>
      <c r="AH708" s="116"/>
      <c r="AI708" s="161"/>
      <c r="AJ708" s="161"/>
      <c r="AK708" s="161"/>
      <c r="AL708" s="161"/>
      <c r="AM708" s="161"/>
    </row>
    <row r="709" spans="2:39" ht="13.75" customHeight="1" outlineLevel="1">
      <c r="B709" s="170"/>
      <c r="C709" s="170"/>
      <c r="F709" s="168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40"/>
      <c r="AD709" s="140"/>
      <c r="AE709" s="109"/>
      <c r="AF709" s="109"/>
      <c r="AG709" s="116"/>
      <c r="AH709" s="116"/>
      <c r="AI709" s="161"/>
      <c r="AJ709" s="161"/>
      <c r="AK709" s="161"/>
      <c r="AL709" s="161"/>
      <c r="AM709" s="161"/>
    </row>
    <row r="710" spans="2:39" ht="13.75" customHeight="1" outlineLevel="1">
      <c r="B710" s="170"/>
      <c r="C710" s="170"/>
      <c r="F710" s="168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40"/>
      <c r="AD710" s="140"/>
      <c r="AE710" s="109"/>
      <c r="AF710" s="109"/>
      <c r="AG710" s="116"/>
      <c r="AH710" s="116"/>
      <c r="AI710" s="161"/>
      <c r="AJ710" s="161"/>
      <c r="AK710" s="161"/>
      <c r="AL710" s="161"/>
      <c r="AM710" s="161"/>
    </row>
    <row r="711" spans="2:39" ht="13.75" customHeight="1" outlineLevel="1">
      <c r="B711" s="170"/>
      <c r="C711" s="170"/>
      <c r="F711" s="168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16"/>
      <c r="AH711" s="116"/>
      <c r="AI711" s="161"/>
      <c r="AJ711" s="161"/>
      <c r="AK711" s="161"/>
      <c r="AL711" s="161"/>
      <c r="AM711" s="161"/>
    </row>
    <row r="712" spans="2:39" ht="13.75" customHeight="1" outlineLevel="1">
      <c r="B712" s="170"/>
      <c r="C712" s="170"/>
      <c r="F712" s="168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16"/>
      <c r="AH712" s="116"/>
      <c r="AI712" s="161"/>
      <c r="AJ712" s="161"/>
      <c r="AK712" s="161"/>
      <c r="AL712" s="161"/>
      <c r="AM712" s="161"/>
    </row>
    <row r="713" spans="2:39" ht="13.75" customHeight="1" outlineLevel="1">
      <c r="B713" s="170"/>
      <c r="C713" s="170"/>
      <c r="F713" s="168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16"/>
      <c r="AH713" s="116"/>
      <c r="AI713" s="161"/>
      <c r="AJ713" s="161"/>
      <c r="AK713" s="161"/>
      <c r="AL713" s="161"/>
      <c r="AM713" s="161"/>
    </row>
    <row r="714" spans="2:39" ht="13.75" customHeight="1" outlineLevel="1">
      <c r="B714" s="170"/>
      <c r="C714" s="170"/>
      <c r="F714" s="168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16"/>
      <c r="AH714" s="116"/>
      <c r="AI714" s="161"/>
      <c r="AJ714" s="161"/>
      <c r="AK714" s="161"/>
      <c r="AL714" s="161"/>
      <c r="AM714" s="161"/>
    </row>
    <row r="715" spans="2:39" ht="13.75" customHeight="1" outlineLevel="1">
      <c r="B715" s="170"/>
      <c r="C715" s="170"/>
      <c r="F715" s="168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16"/>
      <c r="AH715" s="116"/>
      <c r="AI715" s="161"/>
      <c r="AJ715" s="161"/>
      <c r="AK715" s="161"/>
      <c r="AL715" s="161"/>
      <c r="AM715" s="161"/>
    </row>
    <row r="716" spans="2:39" ht="13.75" customHeight="1" outlineLevel="1">
      <c r="B716" s="170"/>
      <c r="C716" s="170"/>
      <c r="F716" s="168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16"/>
      <c r="AH716" s="116"/>
      <c r="AI716" s="161"/>
      <c r="AJ716" s="161"/>
      <c r="AK716" s="161"/>
      <c r="AL716" s="161"/>
      <c r="AM716" s="161"/>
    </row>
    <row r="717" spans="2:39" ht="13.75" customHeight="1" outlineLevel="1">
      <c r="B717" s="170"/>
      <c r="C717" s="170"/>
      <c r="F717" s="168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16"/>
      <c r="AH717" s="116"/>
      <c r="AI717" s="161"/>
      <c r="AJ717" s="161"/>
      <c r="AK717" s="161"/>
      <c r="AL717" s="161"/>
      <c r="AM717" s="161"/>
    </row>
    <row r="718" spans="2:39" ht="13.75" customHeight="1" outlineLevel="1">
      <c r="B718" s="170"/>
      <c r="C718" s="170"/>
      <c r="F718" s="168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16"/>
      <c r="AH718" s="116"/>
      <c r="AI718" s="161"/>
      <c r="AJ718" s="161"/>
      <c r="AK718" s="161"/>
      <c r="AL718" s="161"/>
      <c r="AM718" s="161"/>
    </row>
    <row r="719" spans="2:39" ht="13.75" customHeight="1" outlineLevel="1">
      <c r="B719" s="170"/>
      <c r="C719" s="170"/>
      <c r="F719" s="168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16"/>
      <c r="AH719" s="116"/>
      <c r="AI719" s="161"/>
      <c r="AJ719" s="161"/>
      <c r="AK719" s="161"/>
      <c r="AL719" s="161"/>
      <c r="AM719" s="161"/>
    </row>
    <row r="720" spans="2:39" ht="13.75" customHeight="1" outlineLevel="1">
      <c r="B720" s="170"/>
      <c r="C720" s="170"/>
      <c r="F720" s="168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16"/>
      <c r="AH720" s="116"/>
      <c r="AI720" s="161"/>
      <c r="AJ720" s="161"/>
      <c r="AK720" s="161"/>
      <c r="AL720" s="161"/>
      <c r="AM720" s="161"/>
    </row>
    <row r="721" spans="2:39" ht="13.75" customHeight="1" outlineLevel="1">
      <c r="B721" s="170"/>
      <c r="C721" s="170"/>
      <c r="F721" s="168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16"/>
      <c r="AH721" s="116"/>
      <c r="AI721" s="161"/>
      <c r="AJ721" s="161"/>
      <c r="AK721" s="161"/>
      <c r="AL721" s="161"/>
      <c r="AM721" s="161"/>
    </row>
    <row r="722" spans="2:39" ht="13.75" customHeight="1" outlineLevel="1">
      <c r="B722" s="170"/>
      <c r="C722" s="170"/>
      <c r="F722" s="168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16"/>
      <c r="AH722" s="116"/>
      <c r="AI722" s="161"/>
      <c r="AJ722" s="161"/>
      <c r="AK722" s="161"/>
      <c r="AL722" s="161"/>
      <c r="AM722" s="161"/>
    </row>
    <row r="723" spans="2:39" ht="13.75" customHeight="1" outlineLevel="1">
      <c r="B723" s="170"/>
      <c r="C723" s="170"/>
      <c r="F723" s="168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16"/>
      <c r="AH723" s="116"/>
      <c r="AI723" s="161"/>
      <c r="AJ723" s="161"/>
      <c r="AK723" s="161"/>
      <c r="AL723" s="161"/>
      <c r="AM723" s="161"/>
    </row>
    <row r="724" spans="2:39" ht="13.75" customHeight="1" outlineLevel="1">
      <c r="B724" s="170"/>
      <c r="C724" s="170"/>
      <c r="F724" s="168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16"/>
      <c r="AH724" s="116"/>
      <c r="AI724" s="161"/>
      <c r="AJ724" s="161"/>
      <c r="AK724" s="161"/>
      <c r="AL724" s="161"/>
      <c r="AM724" s="161"/>
    </row>
    <row r="725" spans="2:39" ht="13.75" customHeight="1" outlineLevel="1">
      <c r="B725" s="170"/>
      <c r="C725" s="170"/>
      <c r="F725" s="168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16"/>
      <c r="AH725" s="116"/>
      <c r="AI725" s="161"/>
      <c r="AJ725" s="161"/>
      <c r="AK725" s="161"/>
      <c r="AL725" s="161"/>
      <c r="AM725" s="161"/>
    </row>
    <row r="726" spans="2:39" ht="13.75" customHeight="1" outlineLevel="1">
      <c r="B726" s="170"/>
      <c r="C726" s="170"/>
      <c r="F726" s="168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16"/>
      <c r="AH726" s="116"/>
      <c r="AI726" s="161"/>
      <c r="AJ726" s="161"/>
      <c r="AK726" s="161"/>
      <c r="AL726" s="161"/>
      <c r="AM726" s="161"/>
    </row>
    <row r="727" spans="2:39" ht="13.75" customHeight="1" outlineLevel="1">
      <c r="B727" s="170"/>
      <c r="C727" s="170"/>
      <c r="F727" s="168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16"/>
      <c r="AH727" s="116"/>
      <c r="AI727" s="161"/>
      <c r="AJ727" s="161"/>
      <c r="AK727" s="161"/>
      <c r="AL727" s="161"/>
      <c r="AM727" s="161"/>
    </row>
    <row r="728" spans="2:39" ht="13.75" customHeight="1">
      <c r="B728" s="170"/>
      <c r="C728" s="170"/>
      <c r="F728" s="168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16"/>
      <c r="AH728" s="116"/>
      <c r="AI728" s="161"/>
      <c r="AJ728" s="161"/>
      <c r="AK728" s="161"/>
      <c r="AL728" s="161"/>
      <c r="AM728" s="161"/>
    </row>
    <row r="729" spans="2:39" ht="13.75" customHeight="1" outlineLevel="1">
      <c r="B729" s="170"/>
      <c r="C729" s="170"/>
      <c r="F729" s="168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16"/>
      <c r="AH729" s="116"/>
      <c r="AI729" s="161"/>
      <c r="AJ729" s="161"/>
      <c r="AK729" s="161"/>
      <c r="AL729" s="161"/>
      <c r="AM729" s="161"/>
    </row>
    <row r="730" spans="2:39" ht="13.75" customHeight="1" outlineLevel="1">
      <c r="B730" s="170"/>
      <c r="C730" s="170"/>
      <c r="F730" s="168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16"/>
      <c r="AH730" s="116"/>
      <c r="AI730" s="161"/>
      <c r="AJ730" s="161"/>
      <c r="AK730" s="161"/>
      <c r="AL730" s="161"/>
      <c r="AM730" s="161"/>
    </row>
    <row r="731" spans="2:39" ht="13.75" customHeight="1" outlineLevel="1">
      <c r="B731" s="170"/>
      <c r="C731" s="170"/>
      <c r="F731" s="168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16"/>
      <c r="AH731" s="116"/>
      <c r="AI731" s="161"/>
      <c r="AJ731" s="161"/>
      <c r="AK731" s="161"/>
      <c r="AL731" s="161"/>
      <c r="AM731" s="161"/>
    </row>
    <row r="732" spans="2:39" ht="13.75" customHeight="1" outlineLevel="1">
      <c r="B732" s="170"/>
      <c r="C732" s="170"/>
      <c r="F732" s="168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16"/>
      <c r="AH732" s="116"/>
      <c r="AI732" s="161"/>
      <c r="AJ732" s="161"/>
      <c r="AK732" s="161"/>
      <c r="AL732" s="161"/>
      <c r="AM732" s="161"/>
    </row>
    <row r="733" spans="2:39" ht="13.75" customHeight="1" outlineLevel="1">
      <c r="B733" s="170"/>
      <c r="C733" s="170"/>
      <c r="F733" s="168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16"/>
      <c r="AH733" s="116"/>
      <c r="AI733" s="161"/>
      <c r="AJ733" s="161"/>
      <c r="AK733" s="161"/>
      <c r="AL733" s="161"/>
      <c r="AM733" s="161"/>
    </row>
    <row r="734" spans="2:39" ht="13.75" customHeight="1" outlineLevel="1">
      <c r="B734" s="170"/>
      <c r="C734" s="170"/>
      <c r="F734" s="168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16"/>
      <c r="AH734" s="116"/>
      <c r="AI734" s="161"/>
      <c r="AJ734" s="161"/>
      <c r="AK734" s="161"/>
      <c r="AL734" s="161"/>
      <c r="AM734" s="161"/>
    </row>
    <row r="735" spans="2:39" ht="13.75" customHeight="1" outlineLevel="1">
      <c r="B735" s="170"/>
      <c r="C735" s="170"/>
      <c r="F735" s="168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16"/>
      <c r="AH735" s="116"/>
      <c r="AI735" s="161"/>
      <c r="AJ735" s="161"/>
      <c r="AK735" s="161"/>
      <c r="AL735" s="161"/>
      <c r="AM735" s="161"/>
    </row>
    <row r="736" spans="2:39" ht="13.75" customHeight="1" outlineLevel="1">
      <c r="B736" s="170"/>
      <c r="C736" s="170"/>
      <c r="F736" s="168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16"/>
      <c r="AH736" s="116"/>
      <c r="AI736" s="161"/>
      <c r="AJ736" s="161"/>
      <c r="AK736" s="161"/>
      <c r="AL736" s="161"/>
      <c r="AM736" s="161"/>
    </row>
    <row r="737" spans="1:59" ht="13.75" customHeight="1" outlineLevel="1">
      <c r="B737" s="170"/>
      <c r="C737" s="170"/>
      <c r="F737" s="168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16"/>
      <c r="AH737" s="116"/>
      <c r="AI737" s="161"/>
      <c r="AJ737" s="161"/>
      <c r="AK737" s="161"/>
      <c r="AL737" s="161"/>
      <c r="AM737" s="161"/>
    </row>
    <row r="738" spans="1:59" ht="13.75" customHeight="1" outlineLevel="1">
      <c r="B738" s="170"/>
      <c r="C738" s="170"/>
      <c r="F738" s="168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16"/>
      <c r="AH738" s="116"/>
      <c r="AI738" s="161"/>
      <c r="AJ738" s="161"/>
      <c r="AK738" s="161"/>
      <c r="AL738" s="161"/>
      <c r="AM738" s="161"/>
    </row>
    <row r="739" spans="1:59" ht="13.75" customHeight="1" outlineLevel="1">
      <c r="B739" s="170"/>
      <c r="C739" s="170"/>
      <c r="F739" s="168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16"/>
      <c r="AH739" s="116"/>
      <c r="AI739" s="161"/>
      <c r="AJ739" s="161"/>
      <c r="AK739" s="161"/>
      <c r="AL739" s="161"/>
      <c r="AM739" s="161"/>
    </row>
    <row r="740" spans="1:59" ht="13.75" customHeight="1" outlineLevel="1">
      <c r="B740" s="170"/>
      <c r="C740" s="170"/>
      <c r="F740" s="168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16"/>
      <c r="AH740" s="116"/>
      <c r="AI740" s="161"/>
      <c r="AJ740" s="161"/>
      <c r="AK740" s="161"/>
      <c r="AL740" s="161"/>
      <c r="AM740" s="161"/>
    </row>
    <row r="741" spans="1:59" ht="13.75" customHeight="1" outlineLevel="1">
      <c r="B741" s="170"/>
      <c r="C741" s="170"/>
      <c r="F741" s="168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16"/>
      <c r="AH741" s="116"/>
      <c r="AI741" s="161"/>
      <c r="AJ741" s="161"/>
      <c r="AK741" s="161"/>
      <c r="AL741" s="161"/>
      <c r="AM741" s="161"/>
    </row>
    <row r="742" spans="1:59" ht="13.75" customHeight="1" outlineLevel="1">
      <c r="B742" s="170"/>
      <c r="C742" s="170"/>
      <c r="F742" s="168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16"/>
      <c r="AH742" s="116"/>
      <c r="AI742" s="161"/>
      <c r="AJ742" s="161"/>
      <c r="AK742" s="161"/>
      <c r="AL742" s="161"/>
      <c r="AM742" s="161"/>
    </row>
    <row r="743" spans="1:59" ht="13.75" customHeight="1" outlineLevel="1">
      <c r="B743" s="170"/>
      <c r="C743" s="170"/>
      <c r="F743" s="168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16"/>
      <c r="AH743" s="116"/>
      <c r="AI743" s="161"/>
      <c r="AJ743" s="161"/>
      <c r="AK743" s="161"/>
      <c r="AL743" s="161"/>
      <c r="AM743" s="161"/>
    </row>
    <row r="744" spans="1:59" ht="13.75" customHeight="1" outlineLevel="1">
      <c r="B744" s="170"/>
      <c r="C744" s="170"/>
      <c r="F744" s="168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16"/>
      <c r="AH744" s="116"/>
      <c r="AI744" s="161"/>
      <c r="AJ744" s="161"/>
      <c r="AK744" s="161"/>
      <c r="AL744" s="161"/>
      <c r="AM744" s="161"/>
    </row>
    <row r="745" spans="1:59" ht="13.75" customHeight="1" outlineLevel="1">
      <c r="B745" s="170"/>
      <c r="C745" s="170"/>
      <c r="F745" s="168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16"/>
      <c r="AH745" s="116"/>
      <c r="AI745" s="161"/>
      <c r="AJ745" s="161"/>
      <c r="AK745" s="161"/>
      <c r="AL745" s="161"/>
      <c r="AM745" s="161"/>
    </row>
    <row r="746" spans="1:59" ht="13.75" customHeight="1" outlineLevel="1">
      <c r="B746" s="170"/>
      <c r="C746" s="170"/>
      <c r="F746" s="168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16"/>
      <c r="AH746" s="116"/>
      <c r="AI746" s="161"/>
      <c r="AJ746" s="161"/>
      <c r="AK746" s="161"/>
      <c r="AL746" s="161"/>
      <c r="AM746" s="161"/>
    </row>
    <row r="747" spans="1:59" ht="13.75" customHeight="1" outlineLevel="1">
      <c r="B747" s="170"/>
      <c r="C747" s="170"/>
      <c r="F747" s="168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16"/>
      <c r="AH747" s="116"/>
      <c r="AI747" s="161"/>
      <c r="AJ747" s="161"/>
      <c r="AK747" s="161"/>
      <c r="AL747" s="161"/>
      <c r="AM747" s="161"/>
    </row>
    <row r="748" spans="1:59" ht="13.75" customHeight="1">
      <c r="B748" s="170"/>
      <c r="C748" s="170"/>
      <c r="F748" s="168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16"/>
      <c r="AH748" s="116"/>
      <c r="AI748" s="161"/>
      <c r="AJ748" s="161"/>
      <c r="AK748" s="161"/>
      <c r="AL748" s="161"/>
      <c r="AM748" s="161"/>
    </row>
    <row r="749" spans="1:59" ht="13.75" customHeight="1" outlineLevel="1">
      <c r="B749" s="170"/>
      <c r="C749" s="170"/>
      <c r="F749" s="168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23"/>
      <c r="AB749" s="123"/>
      <c r="AC749" s="123"/>
      <c r="AD749" s="123"/>
      <c r="AE749" s="109"/>
      <c r="AF749" s="109"/>
      <c r="AG749" s="116"/>
      <c r="AH749" s="116"/>
      <c r="AI749" s="161"/>
      <c r="AJ749" s="161"/>
      <c r="AK749" s="161"/>
      <c r="AL749" s="161"/>
      <c r="AM749" s="161"/>
    </row>
    <row r="750" spans="1:59" ht="13.75" customHeight="1" outlineLevel="1">
      <c r="A750" s="141" t="s">
        <v>166</v>
      </c>
      <c r="B750" s="170" t="s">
        <v>626</v>
      </c>
      <c r="C750" s="170"/>
      <c r="D750" s="142" t="s">
        <v>168</v>
      </c>
      <c r="E750" s="109" t="s">
        <v>627</v>
      </c>
      <c r="F750" s="168" t="s">
        <v>627</v>
      </c>
      <c r="G750" s="109" t="s">
        <v>3</v>
      </c>
      <c r="H750" s="109" t="s">
        <v>628</v>
      </c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7">
        <v>-0.19223098569402142</v>
      </c>
      <c r="Y750" s="107">
        <v>-6.7031162424513457E-3</v>
      </c>
      <c r="Z750" s="107">
        <v>5.4655061043752173E-2</v>
      </c>
      <c r="AA750" s="107">
        <v>5.9797316063086692E-2</v>
      </c>
      <c r="AB750" s="107">
        <v>-3.1308734691344431E-2</v>
      </c>
      <c r="AC750" s="107">
        <v>1.1460802108551604E-2</v>
      </c>
      <c r="AD750" s="107">
        <v>0.495564974588387</v>
      </c>
      <c r="AE750" s="107">
        <v>7.0624291330132927E-2</v>
      </c>
      <c r="AF750" s="107">
        <v>-0.17</v>
      </c>
      <c r="AG750" s="107">
        <f>4%+1%</f>
        <v>0.05</v>
      </c>
      <c r="AH750" s="107">
        <v>3.5000000000000003E-2</v>
      </c>
      <c r="AI750" s="107">
        <v>1.54E-2</v>
      </c>
      <c r="AJ750" s="107">
        <f>1.54%+1%</f>
        <v>2.5399999999999999E-2</v>
      </c>
      <c r="AK750" s="107">
        <f t="shared" ref="AK750:AM750" si="216">1.54%+1%</f>
        <v>2.5399999999999999E-2</v>
      </c>
      <c r="AL750" s="107">
        <f t="shared" si="216"/>
        <v>2.5399999999999999E-2</v>
      </c>
      <c r="AM750" s="107">
        <f t="shared" si="216"/>
        <v>2.5399999999999999E-2</v>
      </c>
      <c r="AN750" s="107">
        <f t="shared" ref="AN750:BC760" si="217">+AM750</f>
        <v>2.5399999999999999E-2</v>
      </c>
      <c r="AO750" s="107">
        <f t="shared" si="217"/>
        <v>2.5399999999999999E-2</v>
      </c>
      <c r="AP750" s="107">
        <f t="shared" si="217"/>
        <v>2.5399999999999999E-2</v>
      </c>
      <c r="AQ750" s="107">
        <f t="shared" si="217"/>
        <v>2.5399999999999999E-2</v>
      </c>
      <c r="AR750" s="107">
        <f t="shared" si="217"/>
        <v>2.5399999999999999E-2</v>
      </c>
      <c r="AS750" s="107">
        <f t="shared" si="217"/>
        <v>2.5399999999999999E-2</v>
      </c>
      <c r="AT750" s="107">
        <f t="shared" si="217"/>
        <v>2.5399999999999999E-2</v>
      </c>
      <c r="AU750" s="107">
        <f t="shared" si="217"/>
        <v>2.5399999999999999E-2</v>
      </c>
      <c r="AV750" s="107">
        <f t="shared" si="217"/>
        <v>2.5399999999999999E-2</v>
      </c>
      <c r="AW750" s="107">
        <f t="shared" si="217"/>
        <v>2.5399999999999999E-2</v>
      </c>
      <c r="AX750" s="107">
        <f t="shared" si="217"/>
        <v>2.5399999999999999E-2</v>
      </c>
      <c r="AY750" s="107">
        <f t="shared" si="217"/>
        <v>2.5399999999999999E-2</v>
      </c>
      <c r="AZ750" s="107">
        <f t="shared" si="217"/>
        <v>2.5399999999999999E-2</v>
      </c>
      <c r="BA750" s="107">
        <f t="shared" si="217"/>
        <v>2.5399999999999999E-2</v>
      </c>
      <c r="BB750" s="107">
        <f t="shared" si="217"/>
        <v>2.5399999999999999E-2</v>
      </c>
      <c r="BC750" s="107">
        <f t="shared" si="217"/>
        <v>2.5399999999999999E-2</v>
      </c>
      <c r="BD750" s="107">
        <f t="shared" ref="BD750:BG756" si="218">+BC750</f>
        <v>2.5399999999999999E-2</v>
      </c>
      <c r="BE750" s="107">
        <f t="shared" si="218"/>
        <v>2.5399999999999999E-2</v>
      </c>
      <c r="BF750" s="107">
        <f t="shared" si="218"/>
        <v>2.5399999999999999E-2</v>
      </c>
      <c r="BG750" s="107">
        <f t="shared" si="218"/>
        <v>2.5399999999999999E-2</v>
      </c>
    </row>
    <row r="751" spans="1:59" ht="13.75" customHeight="1" outlineLevel="1">
      <c r="A751" s="141" t="s">
        <v>166</v>
      </c>
      <c r="B751" s="170" t="s">
        <v>626</v>
      </c>
      <c r="C751" s="170"/>
      <c r="D751" s="142" t="s">
        <v>168</v>
      </c>
      <c r="E751" s="109" t="s">
        <v>629</v>
      </c>
      <c r="F751" s="168" t="s">
        <v>629</v>
      </c>
      <c r="G751" s="109" t="s">
        <v>3</v>
      </c>
      <c r="H751" s="109" t="s">
        <v>630</v>
      </c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7">
        <v>-0.19164163611645157</v>
      </c>
      <c r="Y751" s="107">
        <v>-0.12624122808495675</v>
      </c>
      <c r="Z751" s="107">
        <v>0.12470586704411879</v>
      </c>
      <c r="AA751" s="107">
        <v>0.1226329484888582</v>
      </c>
      <c r="AB751" s="107">
        <v>-0.13765718279790518</v>
      </c>
      <c r="AC751" s="107">
        <v>-1.9079336718261897E-2</v>
      </c>
      <c r="AD751" s="107">
        <v>0.46661453684939214</v>
      </c>
      <c r="AE751" s="107">
        <v>-5.9771736050965307E-3</v>
      </c>
      <c r="AF751" s="107">
        <v>-0.2</v>
      </c>
      <c r="AG751" s="107">
        <f>6.5%+1%</f>
        <v>7.4999999999999997E-2</v>
      </c>
      <c r="AH751" s="107">
        <v>4.4999999999999998E-2</v>
      </c>
      <c r="AI751" s="107">
        <v>1.3999999999999999E-2</v>
      </c>
      <c r="AJ751" s="107">
        <f>1.4%+1%</f>
        <v>2.4E-2</v>
      </c>
      <c r="AK751" s="107">
        <f t="shared" ref="AK751:AM751" si="219">1.4%+1%</f>
        <v>2.4E-2</v>
      </c>
      <c r="AL751" s="107">
        <f t="shared" si="219"/>
        <v>2.4E-2</v>
      </c>
      <c r="AM751" s="107">
        <f t="shared" si="219"/>
        <v>2.4E-2</v>
      </c>
      <c r="AN751" s="107">
        <f t="shared" si="217"/>
        <v>2.4E-2</v>
      </c>
      <c r="AO751" s="107">
        <f t="shared" si="217"/>
        <v>2.4E-2</v>
      </c>
      <c r="AP751" s="107">
        <f t="shared" si="217"/>
        <v>2.4E-2</v>
      </c>
      <c r="AQ751" s="107">
        <f t="shared" si="217"/>
        <v>2.4E-2</v>
      </c>
      <c r="AR751" s="107">
        <f t="shared" si="217"/>
        <v>2.4E-2</v>
      </c>
      <c r="AS751" s="107">
        <f t="shared" si="217"/>
        <v>2.4E-2</v>
      </c>
      <c r="AT751" s="107">
        <f t="shared" si="217"/>
        <v>2.4E-2</v>
      </c>
      <c r="AU751" s="107">
        <f t="shared" si="217"/>
        <v>2.4E-2</v>
      </c>
      <c r="AV751" s="107">
        <f t="shared" si="217"/>
        <v>2.4E-2</v>
      </c>
      <c r="AW751" s="107">
        <f t="shared" si="217"/>
        <v>2.4E-2</v>
      </c>
      <c r="AX751" s="107">
        <f t="shared" si="217"/>
        <v>2.4E-2</v>
      </c>
      <c r="AY751" s="107">
        <f t="shared" si="217"/>
        <v>2.4E-2</v>
      </c>
      <c r="AZ751" s="107">
        <f t="shared" si="217"/>
        <v>2.4E-2</v>
      </c>
      <c r="BA751" s="107">
        <f t="shared" si="217"/>
        <v>2.4E-2</v>
      </c>
      <c r="BB751" s="107">
        <f t="shared" si="217"/>
        <v>2.4E-2</v>
      </c>
      <c r="BC751" s="107">
        <f t="shared" si="217"/>
        <v>2.4E-2</v>
      </c>
      <c r="BD751" s="107">
        <f t="shared" si="218"/>
        <v>2.4E-2</v>
      </c>
      <c r="BE751" s="107">
        <f t="shared" si="218"/>
        <v>2.4E-2</v>
      </c>
      <c r="BF751" s="107">
        <f t="shared" si="218"/>
        <v>2.4E-2</v>
      </c>
      <c r="BG751" s="107">
        <f t="shared" si="218"/>
        <v>2.4E-2</v>
      </c>
    </row>
    <row r="752" spans="1:59" ht="13.75" customHeight="1" outlineLevel="1">
      <c r="A752" s="141" t="s">
        <v>166</v>
      </c>
      <c r="B752" s="170" t="s">
        <v>626</v>
      </c>
      <c r="C752" s="170"/>
      <c r="D752" s="170" t="s">
        <v>168</v>
      </c>
      <c r="E752" s="109" t="s">
        <v>631</v>
      </c>
      <c r="F752" s="168" t="s">
        <v>631</v>
      </c>
      <c r="G752" s="109" t="s">
        <v>3</v>
      </c>
      <c r="H752" s="109" t="s">
        <v>630</v>
      </c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7">
        <v>-8.5655611966961698E-2</v>
      </c>
      <c r="Y752" s="107">
        <v>-0.10498924685030631</v>
      </c>
      <c r="Z752" s="107">
        <v>0.11276921767664239</v>
      </c>
      <c r="AA752" s="107">
        <v>0.36938169521787434</v>
      </c>
      <c r="AB752" s="107">
        <v>-0.31272441704725606</v>
      </c>
      <c r="AC752" s="107">
        <v>-9.4299367224451869E-2</v>
      </c>
      <c r="AD752" s="107">
        <v>0.50654120741936648</v>
      </c>
      <c r="AE752" s="107">
        <v>7.8846435388632674E-2</v>
      </c>
      <c r="AF752" s="107">
        <v>-0.2</v>
      </c>
      <c r="AG752" s="107">
        <f>1.31428571428571%+1%</f>
        <v>2.31428571428571E-2</v>
      </c>
      <c r="AH752" s="107">
        <v>0.10998307952622666</v>
      </c>
      <c r="AI752" s="107">
        <v>4.2682926829268331E-2</v>
      </c>
      <c r="AJ752" s="107">
        <f>1.44%+1%</f>
        <v>2.4399999999999998E-2</v>
      </c>
      <c r="AK752" s="107">
        <f t="shared" ref="AK752:AM753" si="220">1.44%+1%</f>
        <v>2.4399999999999998E-2</v>
      </c>
      <c r="AL752" s="107">
        <f t="shared" si="220"/>
        <v>2.4399999999999998E-2</v>
      </c>
      <c r="AM752" s="107">
        <f t="shared" si="220"/>
        <v>2.4399999999999998E-2</v>
      </c>
      <c r="AN752" s="107">
        <f t="shared" si="217"/>
        <v>2.4399999999999998E-2</v>
      </c>
      <c r="AO752" s="107">
        <f t="shared" si="217"/>
        <v>2.4399999999999998E-2</v>
      </c>
      <c r="AP752" s="107">
        <f t="shared" si="217"/>
        <v>2.4399999999999998E-2</v>
      </c>
      <c r="AQ752" s="107">
        <f t="shared" si="217"/>
        <v>2.4399999999999998E-2</v>
      </c>
      <c r="AR752" s="107">
        <f t="shared" si="217"/>
        <v>2.4399999999999998E-2</v>
      </c>
      <c r="AS752" s="107">
        <f t="shared" si="217"/>
        <v>2.4399999999999998E-2</v>
      </c>
      <c r="AT752" s="107">
        <f t="shared" si="217"/>
        <v>2.4399999999999998E-2</v>
      </c>
      <c r="AU752" s="107">
        <f t="shared" si="217"/>
        <v>2.4399999999999998E-2</v>
      </c>
      <c r="AV752" s="107">
        <f t="shared" si="217"/>
        <v>2.4399999999999998E-2</v>
      </c>
      <c r="AW752" s="107">
        <f t="shared" si="217"/>
        <v>2.4399999999999998E-2</v>
      </c>
      <c r="AX752" s="107">
        <f t="shared" si="217"/>
        <v>2.4399999999999998E-2</v>
      </c>
      <c r="AY752" s="107">
        <f t="shared" si="217"/>
        <v>2.4399999999999998E-2</v>
      </c>
      <c r="AZ752" s="107">
        <f t="shared" si="217"/>
        <v>2.4399999999999998E-2</v>
      </c>
      <c r="BA752" s="107">
        <f t="shared" si="217"/>
        <v>2.4399999999999998E-2</v>
      </c>
      <c r="BB752" s="107">
        <f t="shared" si="217"/>
        <v>2.4399999999999998E-2</v>
      </c>
      <c r="BC752" s="107">
        <f t="shared" si="217"/>
        <v>2.4399999999999998E-2</v>
      </c>
      <c r="BD752" s="107">
        <f t="shared" si="218"/>
        <v>2.4399999999999998E-2</v>
      </c>
      <c r="BE752" s="107">
        <f t="shared" si="218"/>
        <v>2.4399999999999998E-2</v>
      </c>
      <c r="BF752" s="107">
        <f t="shared" si="218"/>
        <v>2.4399999999999998E-2</v>
      </c>
      <c r="BG752" s="107">
        <f t="shared" si="218"/>
        <v>2.4399999999999998E-2</v>
      </c>
    </row>
    <row r="753" spans="1:59" ht="13.75" customHeight="1" outlineLevel="1">
      <c r="A753" s="141" t="s">
        <v>166</v>
      </c>
      <c r="B753" s="170" t="s">
        <v>626</v>
      </c>
      <c r="C753" s="170"/>
      <c r="D753" s="142" t="s">
        <v>168</v>
      </c>
      <c r="E753" s="109" t="s">
        <v>632</v>
      </c>
      <c r="F753" s="168" t="s">
        <v>632</v>
      </c>
      <c r="G753" s="109" t="s">
        <v>3</v>
      </c>
      <c r="H753" s="109" t="s">
        <v>630</v>
      </c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7">
        <v>-5.0314239736676258E-2</v>
      </c>
      <c r="Y753" s="107">
        <v>-7.3835905383325962E-2</v>
      </c>
      <c r="Z753" s="107">
        <v>0.16064006384648377</v>
      </c>
      <c r="AA753" s="107">
        <v>0.2899839166908198</v>
      </c>
      <c r="AB753" s="107">
        <v>-0.25064239992974113</v>
      </c>
      <c r="AC753" s="107">
        <v>-0.21571183086213597</v>
      </c>
      <c r="AD753" s="107">
        <v>0.41374595520237367</v>
      </c>
      <c r="AE753" s="107">
        <v>0.13696280185315746</v>
      </c>
      <c r="AF753" s="107">
        <v>-0.25</v>
      </c>
      <c r="AG753" s="107">
        <f>-0.365764447695671%+1%</f>
        <v>6.3423555230432901E-3</v>
      </c>
      <c r="AH753" s="107">
        <v>0.19823788546255505</v>
      </c>
      <c r="AI753" s="107">
        <v>1.4705882352941124E-2</v>
      </c>
      <c r="AJ753" s="107">
        <f>1.44%+1%</f>
        <v>2.4399999999999998E-2</v>
      </c>
      <c r="AK753" s="107">
        <f t="shared" si="220"/>
        <v>2.4399999999999998E-2</v>
      </c>
      <c r="AL753" s="107">
        <f t="shared" si="220"/>
        <v>2.4399999999999998E-2</v>
      </c>
      <c r="AM753" s="107">
        <f t="shared" si="220"/>
        <v>2.4399999999999998E-2</v>
      </c>
      <c r="AN753" s="107">
        <f t="shared" si="217"/>
        <v>2.4399999999999998E-2</v>
      </c>
      <c r="AO753" s="107">
        <f t="shared" si="217"/>
        <v>2.4399999999999998E-2</v>
      </c>
      <c r="AP753" s="107">
        <f t="shared" si="217"/>
        <v>2.4399999999999998E-2</v>
      </c>
      <c r="AQ753" s="107">
        <f t="shared" si="217"/>
        <v>2.4399999999999998E-2</v>
      </c>
      <c r="AR753" s="107">
        <f t="shared" si="217"/>
        <v>2.4399999999999998E-2</v>
      </c>
      <c r="AS753" s="107">
        <f t="shared" si="217"/>
        <v>2.4399999999999998E-2</v>
      </c>
      <c r="AT753" s="107">
        <f t="shared" si="217"/>
        <v>2.4399999999999998E-2</v>
      </c>
      <c r="AU753" s="107">
        <f t="shared" si="217"/>
        <v>2.4399999999999998E-2</v>
      </c>
      <c r="AV753" s="107">
        <f t="shared" si="217"/>
        <v>2.4399999999999998E-2</v>
      </c>
      <c r="AW753" s="107">
        <f t="shared" si="217"/>
        <v>2.4399999999999998E-2</v>
      </c>
      <c r="AX753" s="107">
        <f t="shared" si="217"/>
        <v>2.4399999999999998E-2</v>
      </c>
      <c r="AY753" s="107">
        <f t="shared" si="217"/>
        <v>2.4399999999999998E-2</v>
      </c>
      <c r="AZ753" s="107">
        <f t="shared" si="217"/>
        <v>2.4399999999999998E-2</v>
      </c>
      <c r="BA753" s="107">
        <f t="shared" si="217"/>
        <v>2.4399999999999998E-2</v>
      </c>
      <c r="BB753" s="107">
        <f t="shared" si="217"/>
        <v>2.4399999999999998E-2</v>
      </c>
      <c r="BC753" s="107">
        <f t="shared" si="217"/>
        <v>2.4399999999999998E-2</v>
      </c>
      <c r="BD753" s="107">
        <f t="shared" si="218"/>
        <v>2.4399999999999998E-2</v>
      </c>
      <c r="BE753" s="107">
        <f t="shared" si="218"/>
        <v>2.4399999999999998E-2</v>
      </c>
      <c r="BF753" s="107">
        <f t="shared" si="218"/>
        <v>2.4399999999999998E-2</v>
      </c>
      <c r="BG753" s="107">
        <f t="shared" si="218"/>
        <v>2.4399999999999998E-2</v>
      </c>
    </row>
    <row r="754" spans="1:59" ht="13.75" customHeight="1" outlineLevel="1">
      <c r="A754" s="141" t="s">
        <v>166</v>
      </c>
      <c r="B754" s="170" t="s">
        <v>626</v>
      </c>
      <c r="C754" s="170"/>
      <c r="D754" s="142" t="s">
        <v>168</v>
      </c>
      <c r="E754" s="109" t="s">
        <v>633</v>
      </c>
      <c r="F754" s="168" t="s">
        <v>633</v>
      </c>
      <c r="G754" s="109" t="s">
        <v>3</v>
      </c>
      <c r="H754" s="109" t="s">
        <v>630</v>
      </c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7">
        <v>-0.18478542697723521</v>
      </c>
      <c r="Y754" s="107">
        <v>-3.4354423245972598E-2</v>
      </c>
      <c r="Z754" s="107">
        <v>0.16777302989984633</v>
      </c>
      <c r="AA754" s="107">
        <v>0.31179042447746386</v>
      </c>
      <c r="AB754" s="107">
        <v>-0.2220932716184405</v>
      </c>
      <c r="AC754" s="107">
        <v>-0.22647187646199729</v>
      </c>
      <c r="AD754" s="107">
        <v>0.51110815705544743</v>
      </c>
      <c r="AE754" s="107">
        <v>-4.6978295867671327E-2</v>
      </c>
      <c r="AF754" s="107">
        <v>-0.14761999999999997</v>
      </c>
      <c r="AG754" s="107">
        <f>4.97716%+1%</f>
        <v>5.9771600000000001E-2</v>
      </c>
      <c r="AH754" s="107">
        <v>0.13945532994923851</v>
      </c>
      <c r="AI754" s="107">
        <v>7.7128658536585404E-2</v>
      </c>
      <c r="AJ754" s="107">
        <f t="shared" ref="AJ754:AM756" si="221">1.24%+1%</f>
        <v>2.24E-2</v>
      </c>
      <c r="AK754" s="107">
        <f t="shared" si="221"/>
        <v>2.24E-2</v>
      </c>
      <c r="AL754" s="107">
        <f t="shared" si="221"/>
        <v>2.24E-2</v>
      </c>
      <c r="AM754" s="107">
        <f t="shared" si="221"/>
        <v>2.24E-2</v>
      </c>
      <c r="AN754" s="107">
        <f t="shared" si="217"/>
        <v>2.24E-2</v>
      </c>
      <c r="AO754" s="107">
        <f t="shared" si="217"/>
        <v>2.24E-2</v>
      </c>
      <c r="AP754" s="107">
        <f t="shared" si="217"/>
        <v>2.24E-2</v>
      </c>
      <c r="AQ754" s="107">
        <f t="shared" si="217"/>
        <v>2.24E-2</v>
      </c>
      <c r="AR754" s="107">
        <f t="shared" si="217"/>
        <v>2.24E-2</v>
      </c>
      <c r="AS754" s="107">
        <f t="shared" si="217"/>
        <v>2.24E-2</v>
      </c>
      <c r="AT754" s="107">
        <f t="shared" si="217"/>
        <v>2.24E-2</v>
      </c>
      <c r="AU754" s="107">
        <f t="shared" si="217"/>
        <v>2.24E-2</v>
      </c>
      <c r="AV754" s="107">
        <f t="shared" si="217"/>
        <v>2.24E-2</v>
      </c>
      <c r="AW754" s="107">
        <f t="shared" si="217"/>
        <v>2.24E-2</v>
      </c>
      <c r="AX754" s="107">
        <f t="shared" si="217"/>
        <v>2.24E-2</v>
      </c>
      <c r="AY754" s="107">
        <f t="shared" si="217"/>
        <v>2.24E-2</v>
      </c>
      <c r="AZ754" s="107">
        <f t="shared" si="217"/>
        <v>2.24E-2</v>
      </c>
      <c r="BA754" s="107">
        <f t="shared" si="217"/>
        <v>2.24E-2</v>
      </c>
      <c r="BB754" s="107">
        <f t="shared" si="217"/>
        <v>2.24E-2</v>
      </c>
      <c r="BC754" s="107">
        <f t="shared" si="217"/>
        <v>2.24E-2</v>
      </c>
      <c r="BD754" s="107">
        <f t="shared" si="218"/>
        <v>2.24E-2</v>
      </c>
      <c r="BE754" s="107">
        <f t="shared" si="218"/>
        <v>2.24E-2</v>
      </c>
      <c r="BF754" s="107">
        <f t="shared" si="218"/>
        <v>2.24E-2</v>
      </c>
      <c r="BG754" s="107">
        <f t="shared" si="218"/>
        <v>2.24E-2</v>
      </c>
    </row>
    <row r="755" spans="1:59" ht="13.75" customHeight="1" outlineLevel="1">
      <c r="A755" s="141" t="s">
        <v>166</v>
      </c>
      <c r="B755" s="170" t="s">
        <v>626</v>
      </c>
      <c r="C755" s="170"/>
      <c r="D755" s="142" t="s">
        <v>168</v>
      </c>
      <c r="E755" s="109" t="s">
        <v>634</v>
      </c>
      <c r="F755" s="168" t="s">
        <v>634</v>
      </c>
      <c r="G755" s="109" t="s">
        <v>3</v>
      </c>
      <c r="H755" s="109" t="s">
        <v>630</v>
      </c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7">
        <v>-0.14607224672400509</v>
      </c>
      <c r="Y755" s="107">
        <v>-8.7019617347763867E-2</v>
      </c>
      <c r="Z755" s="107">
        <v>8.3136808896251857E-2</v>
      </c>
      <c r="AA755" s="107">
        <v>0.2161700742120336</v>
      </c>
      <c r="AB755" s="107">
        <v>-1.1329868789465958E-2</v>
      </c>
      <c r="AC755" s="107">
        <v>-0.1907095251025408</v>
      </c>
      <c r="AD755" s="107">
        <v>0.25162596412204841</v>
      </c>
      <c r="AE755" s="107">
        <v>0.24744950170240676</v>
      </c>
      <c r="AF755" s="107">
        <v>-0.20938599999999993</v>
      </c>
      <c r="AG755" s="107">
        <f>2.95322228571428%+1%</f>
        <v>3.95322228571428E-2</v>
      </c>
      <c r="AH755" s="107">
        <v>0.13808333333333325</v>
      </c>
      <c r="AI755" s="107">
        <v>6.2644573170731743E-2</v>
      </c>
      <c r="AJ755" s="107">
        <f t="shared" si="221"/>
        <v>2.24E-2</v>
      </c>
      <c r="AK755" s="107">
        <f t="shared" si="221"/>
        <v>2.24E-2</v>
      </c>
      <c r="AL755" s="107">
        <f t="shared" si="221"/>
        <v>2.24E-2</v>
      </c>
      <c r="AM755" s="107">
        <f t="shared" si="221"/>
        <v>2.24E-2</v>
      </c>
      <c r="AN755" s="107">
        <f t="shared" si="217"/>
        <v>2.24E-2</v>
      </c>
      <c r="AO755" s="107">
        <f t="shared" si="217"/>
        <v>2.24E-2</v>
      </c>
      <c r="AP755" s="107">
        <f t="shared" si="217"/>
        <v>2.24E-2</v>
      </c>
      <c r="AQ755" s="107">
        <f t="shared" si="217"/>
        <v>2.24E-2</v>
      </c>
      <c r="AR755" s="107">
        <f t="shared" si="217"/>
        <v>2.24E-2</v>
      </c>
      <c r="AS755" s="107">
        <f t="shared" si="217"/>
        <v>2.24E-2</v>
      </c>
      <c r="AT755" s="107">
        <f t="shared" si="217"/>
        <v>2.24E-2</v>
      </c>
      <c r="AU755" s="107">
        <f t="shared" si="217"/>
        <v>2.24E-2</v>
      </c>
      <c r="AV755" s="107">
        <f t="shared" si="217"/>
        <v>2.24E-2</v>
      </c>
      <c r="AW755" s="107">
        <f t="shared" si="217"/>
        <v>2.24E-2</v>
      </c>
      <c r="AX755" s="107">
        <f t="shared" si="217"/>
        <v>2.24E-2</v>
      </c>
      <c r="AY755" s="107">
        <f t="shared" si="217"/>
        <v>2.24E-2</v>
      </c>
      <c r="AZ755" s="107">
        <f t="shared" si="217"/>
        <v>2.24E-2</v>
      </c>
      <c r="BA755" s="107">
        <f t="shared" si="217"/>
        <v>2.24E-2</v>
      </c>
      <c r="BB755" s="107">
        <f t="shared" si="217"/>
        <v>2.24E-2</v>
      </c>
      <c r="BC755" s="107">
        <f t="shared" si="217"/>
        <v>2.24E-2</v>
      </c>
      <c r="BD755" s="107">
        <f t="shared" si="218"/>
        <v>2.24E-2</v>
      </c>
      <c r="BE755" s="107">
        <f t="shared" si="218"/>
        <v>2.24E-2</v>
      </c>
      <c r="BF755" s="107">
        <f t="shared" si="218"/>
        <v>2.24E-2</v>
      </c>
      <c r="BG755" s="107">
        <f t="shared" si="218"/>
        <v>2.24E-2</v>
      </c>
    </row>
    <row r="756" spans="1:59" ht="13.75" customHeight="1" outlineLevel="1">
      <c r="A756" s="141" t="s">
        <v>166</v>
      </c>
      <c r="B756" s="170" t="s">
        <v>626</v>
      </c>
      <c r="C756" s="170"/>
      <c r="D756" s="142" t="s">
        <v>168</v>
      </c>
      <c r="E756" s="109" t="s">
        <v>635</v>
      </c>
      <c r="F756" s="168" t="s">
        <v>635</v>
      </c>
      <c r="G756" s="109" t="s">
        <v>3</v>
      </c>
      <c r="H756" s="109" t="s">
        <v>630</v>
      </c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7">
        <v>-0.21166955777901131</v>
      </c>
      <c r="Y756" s="107">
        <v>-2.4111321226262916E-2</v>
      </c>
      <c r="Z756" s="107">
        <v>0.17704977657392029</v>
      </c>
      <c r="AA756" s="107">
        <v>0.17172773495189664</v>
      </c>
      <c r="AB756" s="107">
        <v>-0.1584286555004093</v>
      </c>
      <c r="AC756" s="107">
        <v>-0.22629852956405783</v>
      </c>
      <c r="AD756" s="107">
        <v>0.40980419185987471</v>
      </c>
      <c r="AE756" s="107">
        <v>5.5164621288595894E-2</v>
      </c>
      <c r="AF756" s="107">
        <v>-0.17529999999999996</v>
      </c>
      <c r="AG756" s="107">
        <f>5.78782857142857%+1%</f>
        <v>6.7878285714285697E-2</v>
      </c>
      <c r="AH756" s="107">
        <v>0.16382148900169197</v>
      </c>
      <c r="AI756" s="107">
        <v>9.0195121951219565E-2</v>
      </c>
      <c r="AJ756" s="107">
        <f t="shared" si="221"/>
        <v>2.24E-2</v>
      </c>
      <c r="AK756" s="107">
        <f t="shared" si="221"/>
        <v>2.24E-2</v>
      </c>
      <c r="AL756" s="107">
        <f t="shared" si="221"/>
        <v>2.24E-2</v>
      </c>
      <c r="AM756" s="107">
        <f t="shared" si="221"/>
        <v>2.24E-2</v>
      </c>
      <c r="AN756" s="107">
        <f t="shared" si="217"/>
        <v>2.24E-2</v>
      </c>
      <c r="AO756" s="107">
        <f t="shared" si="217"/>
        <v>2.24E-2</v>
      </c>
      <c r="AP756" s="107">
        <f t="shared" si="217"/>
        <v>2.24E-2</v>
      </c>
      <c r="AQ756" s="107">
        <f t="shared" si="217"/>
        <v>2.24E-2</v>
      </c>
      <c r="AR756" s="107">
        <f t="shared" si="217"/>
        <v>2.24E-2</v>
      </c>
      <c r="AS756" s="107">
        <f t="shared" si="217"/>
        <v>2.24E-2</v>
      </c>
      <c r="AT756" s="107">
        <f t="shared" si="217"/>
        <v>2.24E-2</v>
      </c>
      <c r="AU756" s="107">
        <f t="shared" si="217"/>
        <v>2.24E-2</v>
      </c>
      <c r="AV756" s="107">
        <f t="shared" si="217"/>
        <v>2.24E-2</v>
      </c>
      <c r="AW756" s="107">
        <f t="shared" si="217"/>
        <v>2.24E-2</v>
      </c>
      <c r="AX756" s="107">
        <f t="shared" si="217"/>
        <v>2.24E-2</v>
      </c>
      <c r="AY756" s="107">
        <f t="shared" si="217"/>
        <v>2.24E-2</v>
      </c>
      <c r="AZ756" s="107">
        <f t="shared" si="217"/>
        <v>2.24E-2</v>
      </c>
      <c r="BA756" s="107">
        <f t="shared" si="217"/>
        <v>2.24E-2</v>
      </c>
      <c r="BB756" s="107">
        <f t="shared" si="217"/>
        <v>2.24E-2</v>
      </c>
      <c r="BC756" s="107">
        <f t="shared" si="217"/>
        <v>2.24E-2</v>
      </c>
      <c r="BD756" s="107">
        <f t="shared" si="218"/>
        <v>2.24E-2</v>
      </c>
      <c r="BE756" s="107">
        <f t="shared" si="218"/>
        <v>2.24E-2</v>
      </c>
      <c r="BF756" s="107">
        <f t="shared" si="218"/>
        <v>2.24E-2</v>
      </c>
      <c r="BG756" s="107">
        <f t="shared" si="218"/>
        <v>2.24E-2</v>
      </c>
    </row>
    <row r="757" spans="1:59" ht="13.75" customHeight="1" outlineLevel="1">
      <c r="A757" s="141" t="s">
        <v>166</v>
      </c>
      <c r="B757" s="170" t="s">
        <v>626</v>
      </c>
      <c r="C757" s="170"/>
      <c r="D757" s="142" t="s">
        <v>168</v>
      </c>
      <c r="E757" s="109" t="s">
        <v>636</v>
      </c>
      <c r="F757" s="168" t="s">
        <v>636</v>
      </c>
      <c r="G757" s="109" t="s">
        <v>3</v>
      </c>
      <c r="H757" s="109" t="s">
        <v>637</v>
      </c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7">
        <v>0.24308202748753494</v>
      </c>
      <c r="Y757" s="107">
        <v>0.13899870763363276</v>
      </c>
      <c r="Z757" s="107">
        <v>-2.003073179713688E-2</v>
      </c>
      <c r="AA757" s="107">
        <v>6.0517335273295281E-2</v>
      </c>
      <c r="AB757" s="107">
        <v>8.77976247175003E-2</v>
      </c>
      <c r="AC757" s="107">
        <v>-9.7064757311052352E-2</v>
      </c>
      <c r="AD757" s="107">
        <v>0.13879391384278095</v>
      </c>
      <c r="AE757" s="107">
        <v>0.24178548539933065</v>
      </c>
      <c r="AF757" s="107">
        <f t="shared" ref="AF757" si="222">AF3</f>
        <v>7.0965337750225954E-2</v>
      </c>
      <c r="AG757" s="107">
        <f>4.56050829113877%+1%</f>
        <v>5.5605082911387708E-2</v>
      </c>
      <c r="AH757" s="107">
        <v>2.022804629292696E-2</v>
      </c>
      <c r="AI757" s="107">
        <v>2.0195695412482784E-2</v>
      </c>
      <c r="AJ757" s="107">
        <f>AJ3/2+1%</f>
        <v>0.03</v>
      </c>
      <c r="AK757" s="107">
        <f t="shared" ref="AK757:AM757" si="223">AK3/2+1%</f>
        <v>0.03</v>
      </c>
      <c r="AL757" s="107">
        <f t="shared" si="223"/>
        <v>0.03</v>
      </c>
      <c r="AM757" s="107">
        <f t="shared" si="223"/>
        <v>0.03</v>
      </c>
      <c r="AN757" s="107">
        <f t="shared" si="217"/>
        <v>0.03</v>
      </c>
      <c r="AO757" s="107">
        <f t="shared" si="217"/>
        <v>0.03</v>
      </c>
      <c r="AP757" s="107">
        <f t="shared" si="217"/>
        <v>0.03</v>
      </c>
      <c r="AQ757" s="107">
        <f t="shared" si="217"/>
        <v>0.03</v>
      </c>
      <c r="AR757" s="107">
        <f t="shared" si="217"/>
        <v>0.03</v>
      </c>
      <c r="AS757" s="107">
        <f t="shared" si="217"/>
        <v>0.03</v>
      </c>
      <c r="AT757" s="107">
        <f t="shared" si="217"/>
        <v>0.03</v>
      </c>
      <c r="AU757" s="107">
        <f t="shared" si="217"/>
        <v>0.03</v>
      </c>
      <c r="AV757" s="107">
        <f t="shared" si="217"/>
        <v>0.03</v>
      </c>
      <c r="AW757" s="107">
        <f t="shared" si="217"/>
        <v>0.03</v>
      </c>
      <c r="AX757" s="107">
        <f t="shared" si="217"/>
        <v>0.03</v>
      </c>
      <c r="AY757" s="107">
        <f t="shared" ref="AY757:BG757" si="224">AY3/2</f>
        <v>0.02</v>
      </c>
      <c r="AZ757" s="107">
        <f t="shared" si="224"/>
        <v>0.02</v>
      </c>
      <c r="BA757" s="107">
        <f t="shared" si="224"/>
        <v>0.02</v>
      </c>
      <c r="BB757" s="107">
        <f t="shared" si="224"/>
        <v>0.02</v>
      </c>
      <c r="BC757" s="107">
        <f t="shared" si="224"/>
        <v>0.02</v>
      </c>
      <c r="BD757" s="107">
        <f t="shared" si="224"/>
        <v>0.02</v>
      </c>
      <c r="BE757" s="107">
        <f t="shared" si="224"/>
        <v>0.02</v>
      </c>
      <c r="BF757" s="107">
        <f t="shared" si="224"/>
        <v>0.02</v>
      </c>
      <c r="BG757" s="107">
        <f t="shared" si="224"/>
        <v>0.02</v>
      </c>
    </row>
    <row r="758" spans="1:59" ht="13.75" customHeight="1" outlineLevel="1">
      <c r="A758" s="141" t="s">
        <v>166</v>
      </c>
      <c r="B758" s="170" t="s">
        <v>626</v>
      </c>
      <c r="C758" s="170"/>
      <c r="D758" s="142" t="s">
        <v>168</v>
      </c>
      <c r="E758" s="109" t="s">
        <v>638</v>
      </c>
      <c r="F758" s="168" t="s">
        <v>639</v>
      </c>
      <c r="G758" s="109" t="s">
        <v>3</v>
      </c>
      <c r="H758" s="109" t="s">
        <v>640</v>
      </c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7">
        <v>6.5485797740845175E-2</v>
      </c>
      <c r="Y758" s="107">
        <v>-3.3424596655658889E-2</v>
      </c>
      <c r="Z758" s="107">
        <v>9.7976155239153373E-2</v>
      </c>
      <c r="AA758" s="107">
        <v>6.6898582353910552E-2</v>
      </c>
      <c r="AB758" s="107">
        <v>-6.6748932777744741E-2</v>
      </c>
      <c r="AC758" s="107">
        <v>5.5863463716705475E-2</v>
      </c>
      <c r="AD758" s="107">
        <v>0.42300291225592868</v>
      </c>
      <c r="AE758" s="107">
        <v>7.6299065102370278E-2</v>
      </c>
      <c r="AF758" s="107">
        <v>-0.1</v>
      </c>
      <c r="AG758" s="107">
        <f>4%+1%</f>
        <v>0.05</v>
      </c>
      <c r="AH758" s="107">
        <v>4.045609258585392E-2</v>
      </c>
      <c r="AI758" s="107">
        <v>2.0195695412482784E-2</v>
      </c>
      <c r="AJ758" s="107">
        <f>AJ3/2+1%</f>
        <v>0.03</v>
      </c>
      <c r="AK758" s="107">
        <f t="shared" ref="AK758:AM758" si="225">AK3/2+1%</f>
        <v>0.03</v>
      </c>
      <c r="AL758" s="107">
        <f t="shared" si="225"/>
        <v>0.03</v>
      </c>
      <c r="AM758" s="107">
        <f t="shared" si="225"/>
        <v>0.03</v>
      </c>
      <c r="AN758" s="107">
        <f t="shared" si="217"/>
        <v>0.03</v>
      </c>
      <c r="AO758" s="107">
        <f t="shared" si="217"/>
        <v>0.03</v>
      </c>
      <c r="AP758" s="107">
        <f t="shared" si="217"/>
        <v>0.03</v>
      </c>
      <c r="AQ758" s="107">
        <f t="shared" si="217"/>
        <v>0.03</v>
      </c>
      <c r="AR758" s="107">
        <f t="shared" si="217"/>
        <v>0.03</v>
      </c>
      <c r="AS758" s="107">
        <f t="shared" si="217"/>
        <v>0.03</v>
      </c>
      <c r="AT758" s="107">
        <f t="shared" si="217"/>
        <v>0.03</v>
      </c>
      <c r="AU758" s="107">
        <f t="shared" si="217"/>
        <v>0.03</v>
      </c>
      <c r="AV758" s="107">
        <f t="shared" si="217"/>
        <v>0.03</v>
      </c>
      <c r="AW758" s="107">
        <f t="shared" si="217"/>
        <v>0.03</v>
      </c>
      <c r="AX758" s="107">
        <f t="shared" si="217"/>
        <v>0.03</v>
      </c>
      <c r="AY758" s="107">
        <f t="shared" ref="AY758:BG758" si="226">AY3/2</f>
        <v>0.02</v>
      </c>
      <c r="AZ758" s="107">
        <f t="shared" si="226"/>
        <v>0.02</v>
      </c>
      <c r="BA758" s="107">
        <f t="shared" si="226"/>
        <v>0.02</v>
      </c>
      <c r="BB758" s="107">
        <f t="shared" si="226"/>
        <v>0.02</v>
      </c>
      <c r="BC758" s="107">
        <f t="shared" si="226"/>
        <v>0.02</v>
      </c>
      <c r="BD758" s="107">
        <f t="shared" si="226"/>
        <v>0.02</v>
      </c>
      <c r="BE758" s="107">
        <f t="shared" si="226"/>
        <v>0.02</v>
      </c>
      <c r="BF758" s="107">
        <f t="shared" si="226"/>
        <v>0.02</v>
      </c>
      <c r="BG758" s="107">
        <f t="shared" si="226"/>
        <v>0.02</v>
      </c>
    </row>
    <row r="759" spans="1:59" ht="13.75" customHeight="1" outlineLevel="1">
      <c r="A759" s="141" t="s">
        <v>166</v>
      </c>
      <c r="B759" s="170" t="s">
        <v>626</v>
      </c>
      <c r="C759" s="170"/>
      <c r="D759" s="142" t="s">
        <v>168</v>
      </c>
      <c r="E759" s="109" t="s">
        <v>641</v>
      </c>
      <c r="F759" s="168" t="s">
        <v>642</v>
      </c>
      <c r="G759" s="109" t="s">
        <v>3</v>
      </c>
      <c r="H759" s="109" t="s">
        <v>640</v>
      </c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7">
        <v>2.2932168524773644E-2</v>
      </c>
      <c r="Y759" s="107">
        <v>-6.4672293942403258E-2</v>
      </c>
      <c r="Z759" s="107">
        <v>0.390537491705375</v>
      </c>
      <c r="AA759" s="107">
        <v>-0.28272426200406575</v>
      </c>
      <c r="AB759" s="107">
        <v>0.65404369694227826</v>
      </c>
      <c r="AC759" s="107">
        <v>-1.5308749235769192E-2</v>
      </c>
      <c r="AD759" s="107">
        <v>0.43786610024100314</v>
      </c>
      <c r="AE759" s="107">
        <v>0.30578061612936214</v>
      </c>
      <c r="AF759" s="107">
        <v>-0.15</v>
      </c>
      <c r="AG759" s="107">
        <f>5%+1%</f>
        <v>6.0000000000000005E-2</v>
      </c>
      <c r="AH759" s="107">
        <v>4.045609258585392E-2</v>
      </c>
      <c r="AI759" s="107">
        <v>2.0195695412482784E-2</v>
      </c>
      <c r="AJ759" s="107">
        <f>AJ3/2+1%</f>
        <v>0.03</v>
      </c>
      <c r="AK759" s="107">
        <f t="shared" ref="AK759:AM759" si="227">AK3/2+1%</f>
        <v>0.03</v>
      </c>
      <c r="AL759" s="107">
        <f t="shared" si="227"/>
        <v>0.03</v>
      </c>
      <c r="AM759" s="107">
        <f t="shared" si="227"/>
        <v>0.03</v>
      </c>
      <c r="AN759" s="107">
        <f t="shared" si="217"/>
        <v>0.03</v>
      </c>
      <c r="AO759" s="107">
        <f t="shared" si="217"/>
        <v>0.03</v>
      </c>
      <c r="AP759" s="107">
        <f t="shared" si="217"/>
        <v>0.03</v>
      </c>
      <c r="AQ759" s="107">
        <f t="shared" si="217"/>
        <v>0.03</v>
      </c>
      <c r="AR759" s="107">
        <f t="shared" si="217"/>
        <v>0.03</v>
      </c>
      <c r="AS759" s="107">
        <f t="shared" si="217"/>
        <v>0.03</v>
      </c>
      <c r="AT759" s="107">
        <f t="shared" si="217"/>
        <v>0.03</v>
      </c>
      <c r="AU759" s="107">
        <f t="shared" si="217"/>
        <v>0.03</v>
      </c>
      <c r="AV759" s="107">
        <f t="shared" si="217"/>
        <v>0.03</v>
      </c>
      <c r="AW759" s="107">
        <f t="shared" si="217"/>
        <v>0.03</v>
      </c>
      <c r="AX759" s="107">
        <f t="shared" si="217"/>
        <v>0.03</v>
      </c>
      <c r="AY759" s="107">
        <f t="shared" ref="AY759:BG759" si="228">AY3/2</f>
        <v>0.02</v>
      </c>
      <c r="AZ759" s="107">
        <f t="shared" si="228"/>
        <v>0.02</v>
      </c>
      <c r="BA759" s="107">
        <f t="shared" si="228"/>
        <v>0.02</v>
      </c>
      <c r="BB759" s="107">
        <f t="shared" si="228"/>
        <v>0.02</v>
      </c>
      <c r="BC759" s="107">
        <f t="shared" si="228"/>
        <v>0.02</v>
      </c>
      <c r="BD759" s="107">
        <f t="shared" si="228"/>
        <v>0.02</v>
      </c>
      <c r="BE759" s="107">
        <f t="shared" si="228"/>
        <v>0.02</v>
      </c>
      <c r="BF759" s="107">
        <f t="shared" si="228"/>
        <v>0.02</v>
      </c>
      <c r="BG759" s="107">
        <f t="shared" si="228"/>
        <v>0.02</v>
      </c>
    </row>
    <row r="760" spans="1:59" ht="13.75" customHeight="1" outlineLevel="1">
      <c r="A760" s="141" t="s">
        <v>166</v>
      </c>
      <c r="B760" s="170" t="s">
        <v>626</v>
      </c>
      <c r="C760" s="170"/>
      <c r="D760" s="142" t="s">
        <v>168</v>
      </c>
      <c r="E760" s="109" t="s">
        <v>643</v>
      </c>
      <c r="F760" s="168" t="s">
        <v>643</v>
      </c>
      <c r="G760" s="109" t="s">
        <v>3</v>
      </c>
      <c r="H760" s="109" t="s">
        <v>630</v>
      </c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7">
        <v>-0.32424994973755972</v>
      </c>
      <c r="Y760" s="107">
        <v>-6.2653951352830695E-2</v>
      </c>
      <c r="Z760" s="107">
        <v>3.291649518986639E-2</v>
      </c>
      <c r="AA760" s="107">
        <v>0.13398569145386086</v>
      </c>
      <c r="AB760" s="107">
        <v>-0.10378683560189783</v>
      </c>
      <c r="AC760" s="107">
        <v>-0.1153151984378924</v>
      </c>
      <c r="AD760" s="107">
        <v>0.71222908321158007</v>
      </c>
      <c r="AE760" s="107">
        <v>-0.17600590603085531</v>
      </c>
      <c r="AF760" s="107">
        <v>-0.19</v>
      </c>
      <c r="AG760" s="107">
        <f>5%+1%</f>
        <v>6.0000000000000005E-2</v>
      </c>
      <c r="AH760" s="107">
        <v>0.03</v>
      </c>
      <c r="AI760" s="107">
        <v>1.540000000000008E-2</v>
      </c>
      <c r="AJ760" s="107">
        <f>1.54000000000001%+1%</f>
        <v>2.5400000000000103E-2</v>
      </c>
      <c r="AK760" s="107">
        <f t="shared" ref="AK760:AM760" si="229">1.54000000000001%+1%</f>
        <v>2.5400000000000103E-2</v>
      </c>
      <c r="AL760" s="107">
        <f t="shared" si="229"/>
        <v>2.5400000000000103E-2</v>
      </c>
      <c r="AM760" s="107">
        <f t="shared" si="229"/>
        <v>2.5400000000000103E-2</v>
      </c>
      <c r="AN760" s="107">
        <f t="shared" si="217"/>
        <v>2.5400000000000103E-2</v>
      </c>
      <c r="AO760" s="107">
        <f t="shared" si="217"/>
        <v>2.5400000000000103E-2</v>
      </c>
      <c r="AP760" s="107">
        <f t="shared" si="217"/>
        <v>2.5400000000000103E-2</v>
      </c>
      <c r="AQ760" s="107">
        <f t="shared" si="217"/>
        <v>2.5400000000000103E-2</v>
      </c>
      <c r="AR760" s="107">
        <f t="shared" si="217"/>
        <v>2.5400000000000103E-2</v>
      </c>
      <c r="AS760" s="107">
        <f t="shared" si="217"/>
        <v>2.5400000000000103E-2</v>
      </c>
      <c r="AT760" s="107">
        <f t="shared" si="217"/>
        <v>2.5400000000000103E-2</v>
      </c>
      <c r="AU760" s="107">
        <f t="shared" si="217"/>
        <v>2.5400000000000103E-2</v>
      </c>
      <c r="AV760" s="107">
        <f t="shared" si="217"/>
        <v>2.5400000000000103E-2</v>
      </c>
      <c r="AW760" s="107">
        <f t="shared" si="217"/>
        <v>2.5400000000000103E-2</v>
      </c>
      <c r="AX760" s="107">
        <f t="shared" si="217"/>
        <v>2.5400000000000103E-2</v>
      </c>
      <c r="AY760" s="107">
        <f t="shared" si="217"/>
        <v>2.5400000000000103E-2</v>
      </c>
      <c r="AZ760" s="107">
        <f t="shared" si="217"/>
        <v>2.5400000000000103E-2</v>
      </c>
      <c r="BA760" s="107">
        <f t="shared" si="217"/>
        <v>2.5400000000000103E-2</v>
      </c>
      <c r="BB760" s="107">
        <f t="shared" si="217"/>
        <v>2.5400000000000103E-2</v>
      </c>
      <c r="BC760" s="107">
        <f t="shared" si="217"/>
        <v>2.5400000000000103E-2</v>
      </c>
      <c r="BD760" s="107">
        <f t="shared" ref="BD760:BG760" si="230">+BC760</f>
        <v>2.5400000000000103E-2</v>
      </c>
      <c r="BE760" s="107">
        <f t="shared" si="230"/>
        <v>2.5400000000000103E-2</v>
      </c>
      <c r="BF760" s="107">
        <f t="shared" si="230"/>
        <v>2.5400000000000103E-2</v>
      </c>
      <c r="BG760" s="107">
        <f t="shared" si="230"/>
        <v>2.5400000000000103E-2</v>
      </c>
    </row>
    <row r="761" spans="1:59" ht="13.75" customHeight="1" outlineLevel="1">
      <c r="B761" s="170"/>
      <c r="C761" s="170"/>
      <c r="F761" s="168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16"/>
      <c r="AH761" s="116"/>
      <c r="AI761" s="161"/>
      <c r="AJ761" s="161"/>
      <c r="AK761" s="161"/>
      <c r="AL761" s="161"/>
      <c r="AM761" s="161"/>
    </row>
    <row r="762" spans="1:59" ht="13.75" customHeight="1" outlineLevel="1">
      <c r="B762" s="170"/>
      <c r="C762" s="170"/>
      <c r="F762" s="168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16"/>
      <c r="AH762" s="116"/>
      <c r="AI762" s="161"/>
      <c r="AJ762" s="161"/>
      <c r="AK762" s="161"/>
      <c r="AL762" s="161"/>
      <c r="AM762" s="161"/>
    </row>
    <row r="763" spans="1:59" ht="13.75" customHeight="1" outlineLevel="1">
      <c r="B763" s="170"/>
      <c r="C763" s="170"/>
      <c r="F763" s="168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16"/>
      <c r="AH763" s="116"/>
      <c r="AI763" s="161"/>
      <c r="AJ763" s="161"/>
      <c r="AK763" s="161"/>
      <c r="AL763" s="161"/>
      <c r="AM763" s="161"/>
    </row>
    <row r="764" spans="1:59" ht="13.75" customHeight="1" outlineLevel="1">
      <c r="B764" s="170"/>
      <c r="C764" s="170"/>
      <c r="F764" s="168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16"/>
      <c r="AH764" s="116"/>
      <c r="AI764" s="161"/>
      <c r="AJ764" s="161"/>
      <c r="AK764" s="161"/>
      <c r="AL764" s="161"/>
      <c r="AM764" s="161"/>
    </row>
    <row r="765" spans="1:59" ht="13.75" customHeight="1" outlineLevel="1">
      <c r="B765" s="170"/>
      <c r="C765" s="170"/>
      <c r="F765" s="168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16"/>
      <c r="AH765" s="116"/>
      <c r="AI765" s="161"/>
      <c r="AJ765" s="161"/>
      <c r="AK765" s="161"/>
      <c r="AL765" s="161"/>
      <c r="AM765" s="161"/>
    </row>
    <row r="766" spans="1:59" ht="13.75" customHeight="1" outlineLevel="1">
      <c r="B766" s="170"/>
      <c r="C766" s="170"/>
      <c r="F766" s="168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16"/>
      <c r="AH766" s="116"/>
      <c r="AI766" s="161"/>
      <c r="AJ766" s="161"/>
      <c r="AK766" s="161"/>
      <c r="AL766" s="161"/>
      <c r="AM766" s="161"/>
    </row>
    <row r="767" spans="1:59" ht="13.75" customHeight="1" outlineLevel="1">
      <c r="B767" s="170"/>
      <c r="C767" s="170"/>
      <c r="F767" s="168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16"/>
      <c r="AH767" s="116"/>
      <c r="AI767" s="161"/>
      <c r="AJ767" s="161"/>
      <c r="AK767" s="161"/>
      <c r="AL767" s="161"/>
      <c r="AM767" s="161"/>
    </row>
    <row r="768" spans="1:59" ht="13.75" customHeight="1">
      <c r="B768" s="170"/>
      <c r="C768" s="170"/>
      <c r="F768" s="168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16"/>
      <c r="AH768" s="116"/>
      <c r="AI768" s="161"/>
      <c r="AJ768" s="161"/>
      <c r="AK768" s="161"/>
      <c r="AL768" s="161"/>
      <c r="AM768" s="161"/>
    </row>
    <row r="769" spans="2:39" ht="13.75" customHeight="1" outlineLevel="1">
      <c r="B769" s="170"/>
      <c r="C769" s="170"/>
      <c r="F769" s="168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16"/>
      <c r="AH769" s="116"/>
      <c r="AI769" s="161"/>
      <c r="AJ769" s="161"/>
      <c r="AK769" s="161"/>
      <c r="AL769" s="161"/>
      <c r="AM769" s="161"/>
    </row>
    <row r="770" spans="2:39" ht="13.75" customHeight="1" outlineLevel="1">
      <c r="B770" s="170"/>
      <c r="C770" s="170"/>
      <c r="F770" s="168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16"/>
      <c r="AH770" s="116"/>
      <c r="AI770" s="161"/>
      <c r="AJ770" s="161"/>
      <c r="AK770" s="161"/>
      <c r="AL770" s="161"/>
      <c r="AM770" s="161"/>
    </row>
    <row r="771" spans="2:39" ht="13.75" customHeight="1" outlineLevel="1">
      <c r="B771" s="170"/>
      <c r="C771" s="170"/>
      <c r="F771" s="168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16"/>
      <c r="AH771" s="116"/>
      <c r="AI771" s="161"/>
      <c r="AJ771" s="161"/>
      <c r="AK771" s="161"/>
      <c r="AL771" s="161"/>
      <c r="AM771" s="161"/>
    </row>
    <row r="772" spans="2:39" ht="13.75" customHeight="1" outlineLevel="1">
      <c r="B772" s="170"/>
      <c r="C772" s="170"/>
      <c r="F772" s="168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16"/>
      <c r="AH772" s="116"/>
      <c r="AI772" s="161"/>
      <c r="AJ772" s="161"/>
      <c r="AK772" s="161"/>
      <c r="AL772" s="161"/>
      <c r="AM772" s="161"/>
    </row>
    <row r="773" spans="2:39" ht="13.75" customHeight="1" outlineLevel="1">
      <c r="B773" s="170"/>
      <c r="C773" s="170"/>
      <c r="F773" s="168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16"/>
      <c r="AH773" s="116"/>
      <c r="AI773" s="161"/>
      <c r="AJ773" s="161"/>
      <c r="AK773" s="161"/>
      <c r="AL773" s="161"/>
      <c r="AM773" s="161"/>
    </row>
    <row r="774" spans="2:39" ht="13.75" customHeight="1" outlineLevel="1">
      <c r="B774" s="170"/>
      <c r="C774" s="170"/>
      <c r="F774" s="168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16"/>
      <c r="AH774" s="116"/>
      <c r="AI774" s="161"/>
      <c r="AJ774" s="161"/>
      <c r="AK774" s="161"/>
      <c r="AL774" s="161"/>
      <c r="AM774" s="161"/>
    </row>
    <row r="775" spans="2:39" ht="13.75" customHeight="1" outlineLevel="1">
      <c r="B775" s="170"/>
      <c r="C775" s="170"/>
      <c r="F775" s="168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16"/>
      <c r="AH775" s="116"/>
      <c r="AI775" s="161"/>
      <c r="AJ775" s="161"/>
      <c r="AK775" s="161"/>
      <c r="AL775" s="161"/>
      <c r="AM775" s="161"/>
    </row>
    <row r="776" spans="2:39" ht="13.75" customHeight="1" outlineLevel="1">
      <c r="B776" s="170"/>
      <c r="C776" s="170"/>
      <c r="F776" s="168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16"/>
      <c r="AH776" s="116"/>
      <c r="AI776" s="161"/>
      <c r="AJ776" s="161"/>
      <c r="AK776" s="161"/>
      <c r="AL776" s="161"/>
      <c r="AM776" s="161"/>
    </row>
    <row r="777" spans="2:39" ht="13.75" customHeight="1" outlineLevel="1">
      <c r="B777" s="170"/>
      <c r="C777" s="170"/>
      <c r="F777" s="168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16"/>
      <c r="AH777" s="116"/>
      <c r="AI777" s="161"/>
      <c r="AJ777" s="161"/>
      <c r="AK777" s="161"/>
      <c r="AL777" s="161"/>
      <c r="AM777" s="161"/>
    </row>
    <row r="778" spans="2:39" ht="13.75" customHeight="1" outlineLevel="1">
      <c r="B778" s="170"/>
      <c r="C778" s="170"/>
      <c r="F778" s="168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16"/>
      <c r="AH778" s="116"/>
      <c r="AI778" s="161"/>
      <c r="AJ778" s="161"/>
      <c r="AK778" s="161"/>
      <c r="AL778" s="161"/>
      <c r="AM778" s="161"/>
    </row>
    <row r="779" spans="2:39" ht="13.75" customHeight="1" outlineLevel="1">
      <c r="B779" s="170"/>
      <c r="C779" s="170"/>
      <c r="F779" s="168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16"/>
      <c r="AH779" s="116"/>
      <c r="AI779" s="161"/>
      <c r="AJ779" s="161"/>
      <c r="AK779" s="161"/>
      <c r="AL779" s="161"/>
      <c r="AM779" s="161"/>
    </row>
    <row r="780" spans="2:39" ht="13.75" customHeight="1" outlineLevel="1">
      <c r="B780" s="170"/>
      <c r="C780" s="170"/>
      <c r="F780" s="168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16"/>
      <c r="AH780" s="116"/>
      <c r="AI780" s="161"/>
      <c r="AJ780" s="161"/>
      <c r="AK780" s="161"/>
      <c r="AL780" s="161"/>
      <c r="AM780" s="161"/>
    </row>
    <row r="781" spans="2:39" ht="13.75" customHeight="1" outlineLevel="1">
      <c r="B781" s="170"/>
      <c r="C781" s="170"/>
      <c r="F781" s="168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16"/>
      <c r="AH781" s="116"/>
      <c r="AI781" s="161"/>
      <c r="AJ781" s="161"/>
      <c r="AK781" s="161"/>
      <c r="AL781" s="161"/>
      <c r="AM781" s="161"/>
    </row>
    <row r="782" spans="2:39" ht="13.75" customHeight="1" outlineLevel="1">
      <c r="B782" s="170"/>
      <c r="C782" s="170"/>
      <c r="F782" s="168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16"/>
      <c r="AH782" s="116"/>
      <c r="AI782" s="161"/>
      <c r="AJ782" s="161"/>
      <c r="AK782" s="161"/>
      <c r="AL782" s="161"/>
      <c r="AM782" s="161"/>
    </row>
    <row r="783" spans="2:39" ht="13.75" customHeight="1" outlineLevel="1">
      <c r="B783" s="170"/>
      <c r="C783" s="170"/>
      <c r="F783" s="168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16"/>
      <c r="AH783" s="116"/>
      <c r="AI783" s="161"/>
      <c r="AJ783" s="161"/>
      <c r="AK783" s="161"/>
      <c r="AL783" s="161"/>
      <c r="AM783" s="161"/>
    </row>
    <row r="784" spans="2:39" ht="13.75" customHeight="1" outlineLevel="1">
      <c r="B784" s="170"/>
      <c r="C784" s="170"/>
      <c r="F784" s="168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16"/>
      <c r="AH784" s="116"/>
      <c r="AI784" s="161"/>
      <c r="AJ784" s="161"/>
      <c r="AK784" s="161"/>
      <c r="AL784" s="161"/>
      <c r="AM784" s="161"/>
    </row>
    <row r="785" spans="2:39" ht="13.75" customHeight="1" outlineLevel="1">
      <c r="B785" s="170"/>
      <c r="C785" s="170"/>
      <c r="F785" s="168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16"/>
      <c r="AH785" s="116"/>
      <c r="AI785" s="161"/>
      <c r="AJ785" s="161"/>
      <c r="AK785" s="161"/>
      <c r="AL785" s="161"/>
      <c r="AM785" s="161"/>
    </row>
    <row r="786" spans="2:39" ht="13.75" customHeight="1" outlineLevel="1">
      <c r="B786" s="170"/>
      <c r="C786" s="170"/>
      <c r="F786" s="168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16"/>
      <c r="AH786" s="116"/>
      <c r="AI786" s="161"/>
      <c r="AJ786" s="161"/>
      <c r="AK786" s="161"/>
      <c r="AL786" s="161"/>
      <c r="AM786" s="161"/>
    </row>
    <row r="787" spans="2:39" ht="13.75" customHeight="1" outlineLevel="1">
      <c r="B787" s="170"/>
      <c r="C787" s="170"/>
      <c r="F787" s="168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16"/>
      <c r="AH787" s="116"/>
      <c r="AI787" s="161"/>
      <c r="AJ787" s="161"/>
      <c r="AK787" s="161"/>
      <c r="AL787" s="161"/>
      <c r="AM787" s="161"/>
    </row>
    <row r="788" spans="2:39" ht="13.75" customHeight="1">
      <c r="B788" s="170"/>
      <c r="C788" s="170"/>
      <c r="F788" s="168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16"/>
      <c r="AH788" s="116"/>
      <c r="AI788" s="161"/>
      <c r="AJ788" s="161"/>
      <c r="AK788" s="161"/>
      <c r="AL788" s="161"/>
      <c r="AM788" s="161"/>
    </row>
    <row r="789" spans="2:39" ht="13.75" customHeight="1" outlineLevel="1">
      <c r="B789" s="170"/>
      <c r="C789" s="170"/>
      <c r="F789" s="168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16"/>
      <c r="AH789" s="116"/>
      <c r="AI789" s="161"/>
      <c r="AJ789" s="161"/>
      <c r="AK789" s="161"/>
      <c r="AL789" s="161"/>
      <c r="AM789" s="161"/>
    </row>
    <row r="790" spans="2:39" ht="13.75" customHeight="1" outlineLevel="1">
      <c r="B790" s="170"/>
      <c r="C790" s="170"/>
      <c r="F790" s="168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16"/>
      <c r="AH790" s="116"/>
      <c r="AI790" s="161"/>
      <c r="AJ790" s="161"/>
      <c r="AK790" s="161"/>
      <c r="AL790" s="161"/>
      <c r="AM790" s="161"/>
    </row>
    <row r="791" spans="2:39" ht="13.75" customHeight="1" outlineLevel="1">
      <c r="B791" s="170"/>
      <c r="C791" s="170"/>
      <c r="F791" s="168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16"/>
      <c r="AH791" s="116"/>
      <c r="AI791" s="161"/>
      <c r="AJ791" s="161"/>
      <c r="AK791" s="161"/>
      <c r="AL791" s="161"/>
      <c r="AM791" s="161"/>
    </row>
    <row r="792" spans="2:39" ht="13.75" customHeight="1" outlineLevel="1">
      <c r="B792" s="170"/>
      <c r="C792" s="170"/>
      <c r="F792" s="168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16"/>
      <c r="AH792" s="116"/>
      <c r="AI792" s="161"/>
      <c r="AJ792" s="161"/>
      <c r="AK792" s="161"/>
      <c r="AL792" s="161"/>
      <c r="AM792" s="161"/>
    </row>
    <row r="793" spans="2:39" ht="13.75" customHeight="1" outlineLevel="1">
      <c r="B793" s="170"/>
      <c r="C793" s="170"/>
      <c r="F793" s="168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16"/>
      <c r="AH793" s="116"/>
      <c r="AI793" s="161"/>
      <c r="AJ793" s="161"/>
      <c r="AK793" s="161"/>
      <c r="AL793" s="161"/>
      <c r="AM793" s="161"/>
    </row>
    <row r="794" spans="2:39" ht="13.75" customHeight="1" outlineLevel="1">
      <c r="B794" s="170"/>
      <c r="C794" s="170"/>
      <c r="F794" s="168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16"/>
      <c r="AH794" s="116"/>
      <c r="AI794" s="161"/>
      <c r="AJ794" s="161"/>
      <c r="AK794" s="161"/>
      <c r="AL794" s="161"/>
      <c r="AM794" s="161"/>
    </row>
    <row r="795" spans="2:39" ht="13.75" customHeight="1" outlineLevel="1">
      <c r="B795" s="170"/>
      <c r="C795" s="170"/>
      <c r="F795" s="168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16"/>
      <c r="AH795" s="116"/>
      <c r="AI795" s="161"/>
      <c r="AJ795" s="161"/>
      <c r="AK795" s="161"/>
      <c r="AL795" s="161"/>
      <c r="AM795" s="161"/>
    </row>
    <row r="796" spans="2:39" ht="13.75" customHeight="1" outlineLevel="1">
      <c r="B796" s="170"/>
      <c r="C796" s="170"/>
      <c r="F796" s="168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16"/>
      <c r="AH796" s="116"/>
      <c r="AI796" s="161"/>
      <c r="AJ796" s="161"/>
      <c r="AK796" s="161"/>
      <c r="AL796" s="161"/>
      <c r="AM796" s="161"/>
    </row>
    <row r="797" spans="2:39" ht="13.75" customHeight="1" outlineLevel="1">
      <c r="B797" s="170"/>
      <c r="C797" s="170"/>
      <c r="F797" s="168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16"/>
      <c r="AH797" s="116"/>
      <c r="AI797" s="161"/>
      <c r="AJ797" s="161"/>
      <c r="AK797" s="161"/>
      <c r="AL797" s="161"/>
      <c r="AM797" s="161"/>
    </row>
    <row r="798" spans="2:39" ht="13.75" customHeight="1" outlineLevel="1">
      <c r="B798" s="170"/>
      <c r="C798" s="170"/>
      <c r="F798" s="168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16"/>
      <c r="AH798" s="116"/>
      <c r="AI798" s="161"/>
      <c r="AJ798" s="161"/>
      <c r="AK798" s="161"/>
      <c r="AL798" s="161"/>
      <c r="AM798" s="161"/>
    </row>
    <row r="799" spans="2:39" ht="13.75" customHeight="1" outlineLevel="1">
      <c r="B799" s="170"/>
      <c r="C799" s="170"/>
      <c r="F799" s="168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16"/>
      <c r="AH799" s="116"/>
      <c r="AI799" s="161"/>
      <c r="AJ799" s="161"/>
      <c r="AK799" s="161"/>
      <c r="AL799" s="161"/>
      <c r="AM799" s="161"/>
    </row>
    <row r="800" spans="2:39" ht="13.75" customHeight="1" outlineLevel="1">
      <c r="B800" s="170"/>
      <c r="C800" s="170"/>
      <c r="F800" s="168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16"/>
      <c r="AH800" s="116"/>
      <c r="AI800" s="161"/>
      <c r="AJ800" s="161"/>
      <c r="AK800" s="161"/>
      <c r="AL800" s="161"/>
      <c r="AM800" s="161"/>
    </row>
    <row r="801" spans="2:39" ht="13.75" customHeight="1" outlineLevel="1">
      <c r="B801" s="170"/>
      <c r="C801" s="170"/>
      <c r="F801" s="168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16"/>
      <c r="AH801" s="116"/>
      <c r="AI801" s="161"/>
      <c r="AJ801" s="161"/>
      <c r="AK801" s="161"/>
      <c r="AL801" s="161"/>
      <c r="AM801" s="161"/>
    </row>
    <row r="802" spans="2:39" ht="13.75" customHeight="1" outlineLevel="1">
      <c r="B802" s="170"/>
      <c r="C802" s="170"/>
      <c r="F802" s="168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16"/>
      <c r="AH802" s="116"/>
      <c r="AI802" s="161"/>
      <c r="AJ802" s="161"/>
      <c r="AK802" s="161"/>
      <c r="AL802" s="161"/>
      <c r="AM802" s="161"/>
    </row>
    <row r="803" spans="2:39" ht="13.75" customHeight="1" outlineLevel="1">
      <c r="B803" s="170"/>
      <c r="C803" s="170"/>
      <c r="F803" s="168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16"/>
      <c r="AH803" s="116"/>
      <c r="AI803" s="161"/>
      <c r="AJ803" s="161"/>
      <c r="AK803" s="161"/>
      <c r="AL803" s="161"/>
      <c r="AM803" s="161"/>
    </row>
    <row r="804" spans="2:39" ht="13.75" customHeight="1" outlineLevel="1">
      <c r="B804" s="170"/>
      <c r="C804" s="170"/>
      <c r="F804" s="168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16"/>
      <c r="AH804" s="116"/>
      <c r="AI804" s="161"/>
      <c r="AJ804" s="161"/>
      <c r="AK804" s="161"/>
      <c r="AL804" s="161"/>
      <c r="AM804" s="161"/>
    </row>
    <row r="805" spans="2:39" ht="13.75" customHeight="1" outlineLevel="1">
      <c r="B805" s="170"/>
      <c r="C805" s="170"/>
      <c r="F805" s="168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16"/>
      <c r="AH805" s="116"/>
      <c r="AI805" s="161"/>
      <c r="AJ805" s="161"/>
      <c r="AK805" s="161"/>
      <c r="AL805" s="161"/>
      <c r="AM805" s="161"/>
    </row>
    <row r="806" spans="2:39" ht="13.75" customHeight="1" outlineLevel="1">
      <c r="B806" s="170"/>
      <c r="C806" s="170"/>
      <c r="F806" s="168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16"/>
      <c r="AH806" s="116"/>
      <c r="AI806" s="161"/>
      <c r="AJ806" s="161"/>
      <c r="AK806" s="161"/>
      <c r="AL806" s="161"/>
      <c r="AM806" s="161"/>
    </row>
    <row r="807" spans="2:39" ht="13.75" customHeight="1" outlineLevel="1">
      <c r="B807" s="170"/>
      <c r="C807" s="170"/>
      <c r="F807" s="168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16"/>
      <c r="AH807" s="116"/>
      <c r="AI807" s="161"/>
      <c r="AJ807" s="161"/>
      <c r="AK807" s="161"/>
      <c r="AL807" s="161"/>
      <c r="AM807" s="161"/>
    </row>
    <row r="808" spans="2:39" ht="13.75" customHeight="1">
      <c r="B808" s="170"/>
      <c r="C808" s="170"/>
      <c r="F808" s="168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16"/>
      <c r="AH808" s="116"/>
      <c r="AI808" s="161"/>
      <c r="AJ808" s="161"/>
      <c r="AK808" s="161"/>
      <c r="AL808" s="161"/>
      <c r="AM808" s="161"/>
    </row>
    <row r="809" spans="2:39" ht="13.75" customHeight="1" outlineLevel="1">
      <c r="B809" s="170"/>
      <c r="C809" s="170"/>
      <c r="F809" s="168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16"/>
      <c r="AH809" s="116"/>
      <c r="AI809" s="161"/>
      <c r="AJ809" s="161"/>
      <c r="AK809" s="161"/>
      <c r="AL809" s="161"/>
      <c r="AM809" s="161"/>
    </row>
    <row r="810" spans="2:39" ht="13.75" customHeight="1" outlineLevel="1">
      <c r="B810" s="170"/>
      <c r="C810" s="170"/>
      <c r="F810" s="168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16"/>
      <c r="AH810" s="116"/>
      <c r="AI810" s="161"/>
      <c r="AJ810" s="161"/>
      <c r="AK810" s="161"/>
      <c r="AL810" s="161"/>
      <c r="AM810" s="161"/>
    </row>
    <row r="811" spans="2:39" ht="13.75" customHeight="1" outlineLevel="1">
      <c r="B811" s="170"/>
      <c r="C811" s="170"/>
      <c r="F811" s="168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16"/>
      <c r="AH811" s="116"/>
      <c r="AI811" s="161"/>
      <c r="AJ811" s="161"/>
      <c r="AK811" s="161"/>
      <c r="AL811" s="161"/>
      <c r="AM811" s="161"/>
    </row>
    <row r="812" spans="2:39" ht="13.75" customHeight="1" outlineLevel="1">
      <c r="B812" s="170"/>
      <c r="C812" s="170"/>
      <c r="F812" s="168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16"/>
      <c r="AH812" s="116"/>
      <c r="AI812" s="161"/>
      <c r="AJ812" s="161"/>
      <c r="AK812" s="161"/>
      <c r="AL812" s="161"/>
      <c r="AM812" s="161"/>
    </row>
    <row r="813" spans="2:39" ht="13.75" customHeight="1" outlineLevel="1">
      <c r="B813" s="170"/>
      <c r="C813" s="170"/>
      <c r="F813" s="168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16"/>
      <c r="AH813" s="116"/>
      <c r="AI813" s="161"/>
      <c r="AJ813" s="161"/>
      <c r="AK813" s="161"/>
      <c r="AL813" s="161"/>
      <c r="AM813" s="161"/>
    </row>
    <row r="814" spans="2:39" ht="13.75" customHeight="1" outlineLevel="1">
      <c r="B814" s="170"/>
      <c r="C814" s="170"/>
      <c r="F814" s="168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16"/>
      <c r="AH814" s="116"/>
      <c r="AI814" s="161"/>
      <c r="AJ814" s="161"/>
      <c r="AK814" s="161"/>
      <c r="AL814" s="161"/>
      <c r="AM814" s="161"/>
    </row>
    <row r="815" spans="2:39" ht="13.75" customHeight="1" outlineLevel="1">
      <c r="B815" s="170"/>
      <c r="C815" s="170"/>
      <c r="F815" s="168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16"/>
      <c r="AH815" s="116"/>
      <c r="AI815" s="161"/>
      <c r="AJ815" s="161"/>
      <c r="AK815" s="161"/>
      <c r="AL815" s="161"/>
      <c r="AM815" s="161"/>
    </row>
    <row r="816" spans="2:39" ht="13.75" customHeight="1" outlineLevel="1">
      <c r="B816" s="170"/>
      <c r="C816" s="170"/>
      <c r="F816" s="168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16"/>
      <c r="AH816" s="116"/>
      <c r="AI816" s="161"/>
      <c r="AJ816" s="161"/>
      <c r="AK816" s="161"/>
      <c r="AL816" s="161"/>
      <c r="AM816" s="161"/>
    </row>
    <row r="817" spans="2:39" ht="13.75" customHeight="1" outlineLevel="1">
      <c r="B817" s="170"/>
      <c r="C817" s="170"/>
      <c r="F817" s="168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16"/>
      <c r="AH817" s="116"/>
      <c r="AI817" s="161"/>
      <c r="AJ817" s="161"/>
      <c r="AK817" s="161"/>
      <c r="AL817" s="161"/>
      <c r="AM817" s="161"/>
    </row>
    <row r="818" spans="2:39" ht="13.75" customHeight="1" outlineLevel="1">
      <c r="B818" s="170"/>
      <c r="C818" s="170"/>
      <c r="F818" s="168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16"/>
      <c r="AH818" s="116"/>
      <c r="AI818" s="161"/>
      <c r="AJ818" s="161"/>
      <c r="AK818" s="161"/>
      <c r="AL818" s="161"/>
      <c r="AM818" s="161"/>
    </row>
    <row r="819" spans="2:39" ht="13.75" customHeight="1" outlineLevel="1">
      <c r="B819" s="170"/>
      <c r="C819" s="170"/>
      <c r="F819" s="168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16"/>
      <c r="AH819" s="116"/>
      <c r="AI819" s="161"/>
      <c r="AJ819" s="161"/>
      <c r="AK819" s="161"/>
      <c r="AL819" s="161"/>
      <c r="AM819" s="161"/>
    </row>
    <row r="820" spans="2:39" ht="13.75" customHeight="1" outlineLevel="1">
      <c r="B820" s="170"/>
      <c r="C820" s="170"/>
      <c r="F820" s="168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16"/>
      <c r="AH820" s="116"/>
      <c r="AI820" s="161"/>
      <c r="AJ820" s="161"/>
      <c r="AK820" s="161"/>
      <c r="AL820" s="161"/>
      <c r="AM820" s="161"/>
    </row>
    <row r="821" spans="2:39" ht="13.75" customHeight="1" outlineLevel="1">
      <c r="B821" s="170"/>
      <c r="C821" s="170"/>
      <c r="F821" s="168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16"/>
      <c r="AH821" s="116"/>
      <c r="AI821" s="161"/>
      <c r="AJ821" s="161"/>
      <c r="AK821" s="161"/>
      <c r="AL821" s="161"/>
      <c r="AM821" s="161"/>
    </row>
    <row r="822" spans="2:39" ht="13.75" customHeight="1" outlineLevel="1">
      <c r="B822" s="170"/>
      <c r="C822" s="170"/>
      <c r="F822" s="168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16"/>
      <c r="AH822" s="116"/>
      <c r="AI822" s="161"/>
      <c r="AJ822" s="161"/>
      <c r="AK822" s="161"/>
      <c r="AL822" s="161"/>
      <c r="AM822" s="161"/>
    </row>
    <row r="823" spans="2:39" ht="13.75" customHeight="1" outlineLevel="1">
      <c r="B823" s="170"/>
      <c r="C823" s="170"/>
      <c r="F823" s="168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16"/>
      <c r="AH823" s="116"/>
      <c r="AI823" s="161"/>
      <c r="AJ823" s="161"/>
      <c r="AK823" s="161"/>
      <c r="AL823" s="161"/>
      <c r="AM823" s="161"/>
    </row>
    <row r="824" spans="2:39" ht="13.75" customHeight="1" outlineLevel="1">
      <c r="B824" s="170"/>
      <c r="C824" s="170"/>
      <c r="F824" s="168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16"/>
      <c r="AH824" s="116"/>
      <c r="AI824" s="161"/>
      <c r="AJ824" s="161"/>
      <c r="AK824" s="161"/>
      <c r="AL824" s="161"/>
      <c r="AM824" s="161"/>
    </row>
    <row r="825" spans="2:39" ht="13.75" customHeight="1" outlineLevel="1">
      <c r="B825" s="170"/>
      <c r="C825" s="170"/>
      <c r="F825" s="168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16"/>
      <c r="AH825" s="116"/>
      <c r="AI825" s="161"/>
      <c r="AJ825" s="161"/>
      <c r="AK825" s="161"/>
      <c r="AL825" s="161"/>
      <c r="AM825" s="161"/>
    </row>
    <row r="826" spans="2:39" ht="13.75" customHeight="1" outlineLevel="1">
      <c r="B826" s="170"/>
      <c r="C826" s="170"/>
      <c r="F826" s="168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16"/>
      <c r="AH826" s="116"/>
      <c r="AI826" s="161"/>
      <c r="AJ826" s="161"/>
      <c r="AK826" s="161"/>
      <c r="AL826" s="161"/>
      <c r="AM826" s="161"/>
    </row>
    <row r="827" spans="2:39" ht="13.75" customHeight="1" outlineLevel="1">
      <c r="B827" s="170"/>
      <c r="C827" s="170"/>
      <c r="F827" s="168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16"/>
      <c r="AH827" s="116"/>
      <c r="AI827" s="161"/>
      <c r="AJ827" s="161"/>
      <c r="AK827" s="161"/>
      <c r="AL827" s="161"/>
      <c r="AM827" s="161"/>
    </row>
    <row r="828" spans="2:39" ht="13.75" customHeight="1">
      <c r="B828" s="170"/>
      <c r="C828" s="170"/>
      <c r="F828" s="168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28"/>
      <c r="AH828" s="128"/>
      <c r="AI828" s="128"/>
      <c r="AJ828" s="128"/>
      <c r="AK828" s="128"/>
      <c r="AL828" s="128"/>
      <c r="AM828" s="128"/>
    </row>
    <row r="829" spans="2:39" ht="13.75" customHeight="1" outlineLevel="1">
      <c r="B829" s="170"/>
      <c r="C829" s="170"/>
      <c r="F829" s="168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16"/>
      <c r="AH829" s="116"/>
      <c r="AI829" s="116"/>
      <c r="AJ829" s="116"/>
      <c r="AK829" s="116"/>
      <c r="AL829" s="116"/>
      <c r="AM829" s="116"/>
    </row>
    <row r="830" spans="2:39" ht="13.75" customHeight="1" outlineLevel="1">
      <c r="B830" s="170"/>
      <c r="C830" s="170"/>
      <c r="F830" s="168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16"/>
      <c r="AH830" s="116"/>
      <c r="AI830" s="161"/>
      <c r="AJ830" s="161"/>
      <c r="AK830" s="161"/>
      <c r="AL830" s="161"/>
      <c r="AM830" s="161"/>
    </row>
    <row r="831" spans="2:39" ht="13.75" customHeight="1" outlineLevel="1">
      <c r="B831" s="170"/>
      <c r="C831" s="170"/>
      <c r="F831" s="168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16"/>
      <c r="AH831" s="116"/>
      <c r="AI831" s="161"/>
      <c r="AJ831" s="161"/>
      <c r="AK831" s="161"/>
      <c r="AL831" s="161"/>
      <c r="AM831" s="161"/>
    </row>
    <row r="832" spans="2:39" ht="13.75" customHeight="1" outlineLevel="1">
      <c r="B832" s="170"/>
      <c r="C832" s="170"/>
      <c r="F832" s="168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16"/>
      <c r="AH832" s="116"/>
      <c r="AI832" s="161"/>
      <c r="AJ832" s="161"/>
      <c r="AK832" s="161"/>
      <c r="AL832" s="161"/>
      <c r="AM832" s="161"/>
    </row>
    <row r="833" spans="2:39" ht="13.75" customHeight="1" outlineLevel="1">
      <c r="B833" s="170"/>
      <c r="C833" s="170"/>
      <c r="F833" s="168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16"/>
      <c r="AH833" s="116"/>
      <c r="AI833" s="161"/>
      <c r="AJ833" s="161"/>
      <c r="AK833" s="161"/>
      <c r="AL833" s="161"/>
      <c r="AM833" s="161"/>
    </row>
    <row r="834" spans="2:39" ht="13.75" customHeight="1" outlineLevel="1">
      <c r="B834" s="170"/>
      <c r="C834" s="170"/>
      <c r="F834" s="168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16"/>
      <c r="AH834" s="116"/>
      <c r="AI834" s="161"/>
      <c r="AJ834" s="161"/>
      <c r="AK834" s="161"/>
      <c r="AL834" s="161"/>
      <c r="AM834" s="161"/>
    </row>
    <row r="835" spans="2:39" ht="13.75" customHeight="1" outlineLevel="1">
      <c r="B835" s="170"/>
      <c r="C835" s="170"/>
      <c r="F835" s="168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16"/>
      <c r="AH835" s="116"/>
      <c r="AI835" s="161"/>
      <c r="AJ835" s="161"/>
      <c r="AK835" s="161"/>
      <c r="AL835" s="161"/>
      <c r="AM835" s="161"/>
    </row>
    <row r="836" spans="2:39" ht="13.75" customHeight="1" outlineLevel="1">
      <c r="B836" s="170"/>
      <c r="C836" s="170"/>
      <c r="F836" s="168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16"/>
      <c r="AH836" s="116"/>
      <c r="AI836" s="161"/>
      <c r="AJ836" s="161"/>
      <c r="AK836" s="161"/>
      <c r="AL836" s="161"/>
      <c r="AM836" s="161"/>
    </row>
    <row r="837" spans="2:39" ht="13.75" customHeight="1" outlineLevel="1">
      <c r="B837" s="170"/>
      <c r="C837" s="170"/>
      <c r="F837" s="168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16"/>
      <c r="AH837" s="116"/>
      <c r="AI837" s="161"/>
      <c r="AJ837" s="161"/>
      <c r="AK837" s="161"/>
      <c r="AL837" s="161"/>
      <c r="AM837" s="161"/>
    </row>
    <row r="838" spans="2:39" ht="13.75" customHeight="1" outlineLevel="1">
      <c r="B838" s="170"/>
      <c r="C838" s="170"/>
      <c r="F838" s="168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16"/>
      <c r="AH838" s="116"/>
      <c r="AI838" s="161"/>
      <c r="AJ838" s="161"/>
      <c r="AK838" s="161"/>
      <c r="AL838" s="161"/>
      <c r="AM838" s="161"/>
    </row>
    <row r="839" spans="2:39" ht="13.75" customHeight="1" outlineLevel="1">
      <c r="B839" s="170"/>
      <c r="C839" s="170"/>
      <c r="F839" s="168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16"/>
      <c r="AH839" s="116"/>
      <c r="AI839" s="161"/>
      <c r="AJ839" s="161"/>
      <c r="AK839" s="161"/>
      <c r="AL839" s="161"/>
      <c r="AM839" s="161"/>
    </row>
    <row r="840" spans="2:39" ht="13.75" customHeight="1" outlineLevel="1">
      <c r="B840" s="170"/>
      <c r="C840" s="170"/>
      <c r="F840" s="168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16"/>
      <c r="AH840" s="116"/>
      <c r="AI840" s="161"/>
      <c r="AJ840" s="161"/>
      <c r="AK840" s="161"/>
      <c r="AL840" s="161"/>
      <c r="AM840" s="161"/>
    </row>
    <row r="841" spans="2:39" ht="13.75" customHeight="1" outlineLevel="1">
      <c r="B841" s="170"/>
      <c r="C841" s="170"/>
      <c r="F841" s="168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16"/>
      <c r="AH841" s="116"/>
      <c r="AI841" s="161"/>
      <c r="AJ841" s="161"/>
      <c r="AK841" s="161"/>
      <c r="AL841" s="161"/>
      <c r="AM841" s="161"/>
    </row>
    <row r="842" spans="2:39" ht="13.75" customHeight="1" outlineLevel="1">
      <c r="B842" s="170"/>
      <c r="C842" s="170"/>
      <c r="F842" s="168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16"/>
      <c r="AH842" s="116"/>
      <c r="AI842" s="161"/>
      <c r="AJ842" s="161"/>
      <c r="AK842" s="161"/>
      <c r="AL842" s="161"/>
      <c r="AM842" s="161"/>
    </row>
    <row r="843" spans="2:39" ht="13.75" customHeight="1" outlineLevel="1">
      <c r="B843" s="170"/>
      <c r="C843" s="170"/>
      <c r="F843" s="168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16"/>
      <c r="AH843" s="116"/>
      <c r="AI843" s="161"/>
      <c r="AJ843" s="161"/>
      <c r="AK843" s="161"/>
      <c r="AL843" s="161"/>
      <c r="AM843" s="161"/>
    </row>
    <row r="844" spans="2:39" ht="13.75" customHeight="1" outlineLevel="1">
      <c r="B844" s="170"/>
      <c r="C844" s="170"/>
      <c r="F844" s="168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16"/>
      <c r="AH844" s="116"/>
      <c r="AI844" s="161"/>
      <c r="AJ844" s="161"/>
      <c r="AK844" s="161"/>
      <c r="AL844" s="161"/>
      <c r="AM844" s="161"/>
    </row>
    <row r="845" spans="2:39" ht="13.75" customHeight="1" outlineLevel="1">
      <c r="B845" s="170"/>
      <c r="C845" s="170"/>
      <c r="F845" s="168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16"/>
      <c r="AH845" s="116"/>
      <c r="AI845" s="161"/>
      <c r="AJ845" s="161"/>
      <c r="AK845" s="161"/>
      <c r="AL845" s="161"/>
      <c r="AM845" s="161"/>
    </row>
    <row r="846" spans="2:39" ht="13.75" customHeight="1" outlineLevel="1">
      <c r="B846" s="170"/>
      <c r="C846" s="170"/>
      <c r="F846" s="168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16"/>
      <c r="AH846" s="116"/>
      <c r="AI846" s="161"/>
      <c r="AJ846" s="161"/>
      <c r="AK846" s="161"/>
      <c r="AL846" s="161"/>
      <c r="AM846" s="161"/>
    </row>
    <row r="847" spans="2:39" ht="13.75" customHeight="1" outlineLevel="1">
      <c r="B847" s="170"/>
      <c r="C847" s="170"/>
      <c r="F847" s="168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16"/>
      <c r="AH847" s="116"/>
      <c r="AI847" s="161"/>
      <c r="AJ847" s="161"/>
      <c r="AK847" s="161"/>
      <c r="AL847" s="161"/>
      <c r="AM847" s="161"/>
    </row>
    <row r="848" spans="2:39" ht="13.75" customHeight="1">
      <c r="F848" s="168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16"/>
      <c r="AH848" s="116"/>
      <c r="AI848" s="161"/>
      <c r="AJ848" s="161"/>
      <c r="AK848" s="161"/>
      <c r="AL848" s="161"/>
      <c r="AM848" s="161"/>
    </row>
    <row r="849" spans="6:39" ht="13.75" customHeight="1" outlineLevel="1">
      <c r="F849" s="168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16"/>
      <c r="AH849" s="116"/>
      <c r="AI849" s="161"/>
      <c r="AJ849" s="161"/>
      <c r="AK849" s="161"/>
      <c r="AL849" s="161"/>
      <c r="AM849" s="161"/>
    </row>
    <row r="850" spans="6:39" ht="13.75" customHeight="1" outlineLevel="1">
      <c r="F850" s="168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16"/>
      <c r="AH850" s="116"/>
      <c r="AI850" s="161"/>
      <c r="AJ850" s="161"/>
      <c r="AK850" s="161"/>
      <c r="AL850" s="161"/>
      <c r="AM850" s="161"/>
    </row>
    <row r="851" spans="6:39" ht="13.75" customHeight="1" outlineLevel="1">
      <c r="F851" s="168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16"/>
      <c r="AH851" s="116"/>
      <c r="AI851" s="161"/>
      <c r="AJ851" s="161"/>
      <c r="AK851" s="161"/>
      <c r="AL851" s="161"/>
      <c r="AM851" s="161"/>
    </row>
    <row r="852" spans="6:39" ht="13.75" customHeight="1" outlineLevel="1">
      <c r="F852" s="168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16"/>
      <c r="AH852" s="116"/>
      <c r="AI852" s="161"/>
      <c r="AJ852" s="161"/>
      <c r="AK852" s="161"/>
      <c r="AL852" s="161"/>
      <c r="AM852" s="161"/>
    </row>
    <row r="853" spans="6:39" ht="13.75" customHeight="1" outlineLevel="1">
      <c r="F853" s="168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16"/>
      <c r="AH853" s="116"/>
      <c r="AI853" s="161"/>
      <c r="AJ853" s="161"/>
      <c r="AK853" s="161"/>
      <c r="AL853" s="161"/>
      <c r="AM853" s="161"/>
    </row>
    <row r="854" spans="6:39" ht="13.75" customHeight="1" outlineLevel="1">
      <c r="F854" s="168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16"/>
      <c r="AH854" s="116"/>
      <c r="AI854" s="161"/>
      <c r="AJ854" s="161"/>
      <c r="AK854" s="161"/>
      <c r="AL854" s="161"/>
      <c r="AM854" s="161"/>
    </row>
    <row r="855" spans="6:39" ht="13.75" customHeight="1" outlineLevel="1">
      <c r="F855" s="168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16"/>
      <c r="AH855" s="116"/>
      <c r="AI855" s="161"/>
      <c r="AJ855" s="161"/>
      <c r="AK855" s="161"/>
      <c r="AL855" s="161"/>
      <c r="AM855" s="161"/>
    </row>
    <row r="856" spans="6:39" ht="13.75" customHeight="1" outlineLevel="1">
      <c r="F856" s="168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16"/>
      <c r="AH856" s="116"/>
      <c r="AI856" s="161"/>
      <c r="AJ856" s="161"/>
      <c r="AK856" s="161"/>
      <c r="AL856" s="161"/>
      <c r="AM856" s="161"/>
    </row>
    <row r="857" spans="6:39" ht="13.75" customHeight="1" outlineLevel="1">
      <c r="F857" s="168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16"/>
      <c r="AH857" s="116"/>
      <c r="AI857" s="161"/>
      <c r="AJ857" s="161"/>
      <c r="AK857" s="161"/>
      <c r="AL857" s="161"/>
      <c r="AM857" s="161"/>
    </row>
    <row r="858" spans="6:39" ht="13.75" customHeight="1" outlineLevel="1">
      <c r="F858" s="168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16"/>
      <c r="AH858" s="116"/>
      <c r="AI858" s="161"/>
      <c r="AJ858" s="161"/>
      <c r="AK858" s="161"/>
      <c r="AL858" s="161"/>
      <c r="AM858" s="161"/>
    </row>
    <row r="859" spans="6:39" ht="13.75" customHeight="1" outlineLevel="1">
      <c r="F859" s="168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16"/>
      <c r="AH859" s="116"/>
      <c r="AI859" s="161"/>
      <c r="AJ859" s="161"/>
      <c r="AK859" s="161"/>
      <c r="AL859" s="161"/>
      <c r="AM859" s="161"/>
    </row>
    <row r="860" spans="6:39" ht="13.75" customHeight="1" outlineLevel="1">
      <c r="F860" s="168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16"/>
      <c r="AH860" s="116"/>
      <c r="AI860" s="161"/>
      <c r="AJ860" s="161"/>
      <c r="AK860" s="161"/>
      <c r="AL860" s="161"/>
      <c r="AM860" s="161"/>
    </row>
    <row r="861" spans="6:39" ht="13.75" customHeight="1" outlineLevel="1">
      <c r="F861" s="168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16"/>
      <c r="AH861" s="116"/>
      <c r="AI861" s="161"/>
      <c r="AJ861" s="161"/>
      <c r="AK861" s="161"/>
      <c r="AL861" s="161"/>
      <c r="AM861" s="161"/>
    </row>
    <row r="862" spans="6:39" ht="13.75" customHeight="1" outlineLevel="1">
      <c r="F862" s="168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16"/>
      <c r="AH862" s="116"/>
      <c r="AI862" s="161"/>
      <c r="AJ862" s="161"/>
      <c r="AK862" s="161"/>
      <c r="AL862" s="161"/>
      <c r="AM862" s="161"/>
    </row>
    <row r="863" spans="6:39" ht="13.75" customHeight="1" outlineLevel="1">
      <c r="F863" s="168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16"/>
      <c r="AH863" s="116"/>
      <c r="AI863" s="161"/>
      <c r="AJ863" s="161"/>
      <c r="AK863" s="161"/>
      <c r="AL863" s="161"/>
      <c r="AM863" s="161"/>
    </row>
    <row r="864" spans="6:39" ht="13.75" customHeight="1" outlineLevel="1">
      <c r="F864" s="168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16"/>
      <c r="AH864" s="116"/>
      <c r="AI864" s="161"/>
      <c r="AJ864" s="161"/>
      <c r="AK864" s="161"/>
      <c r="AL864" s="161"/>
      <c r="AM864" s="161"/>
    </row>
    <row r="865" spans="6:39" ht="13.75" customHeight="1" outlineLevel="1">
      <c r="F865" s="168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16"/>
      <c r="AH865" s="116"/>
      <c r="AI865" s="161"/>
      <c r="AJ865" s="161"/>
      <c r="AK865" s="161"/>
      <c r="AL865" s="161"/>
      <c r="AM865" s="161"/>
    </row>
    <row r="866" spans="6:39" ht="13.75" customHeight="1" outlineLevel="1">
      <c r="F866" s="168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16"/>
      <c r="AH866" s="116"/>
      <c r="AI866" s="161"/>
      <c r="AJ866" s="161"/>
      <c r="AK866" s="161"/>
      <c r="AL866" s="161"/>
      <c r="AM866" s="161"/>
    </row>
    <row r="867" spans="6:39" ht="13.75" customHeight="1" outlineLevel="1">
      <c r="F867" s="168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16"/>
      <c r="AH867" s="116"/>
      <c r="AI867" s="161"/>
      <c r="AJ867" s="161"/>
      <c r="AK867" s="161"/>
      <c r="AL867" s="161"/>
      <c r="AM867" s="161"/>
    </row>
    <row r="868" spans="6:39" ht="13.75" customHeight="1">
      <c r="F868" s="168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16"/>
      <c r="AH868" s="116"/>
      <c r="AI868" s="161"/>
      <c r="AJ868" s="161"/>
      <c r="AK868" s="161"/>
      <c r="AL868" s="161"/>
      <c r="AM868" s="161"/>
    </row>
    <row r="869" spans="6:39" ht="13.75" customHeight="1" outlineLevel="1">
      <c r="F869" s="168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16"/>
      <c r="AH869" s="116"/>
      <c r="AI869" s="161"/>
      <c r="AJ869" s="161"/>
      <c r="AK869" s="161"/>
      <c r="AL869" s="161"/>
      <c r="AM869" s="161"/>
    </row>
    <row r="870" spans="6:39" ht="13.75" customHeight="1" outlineLevel="1">
      <c r="F870" s="168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16"/>
      <c r="AH870" s="116"/>
      <c r="AI870" s="161"/>
      <c r="AJ870" s="161"/>
      <c r="AK870" s="161"/>
      <c r="AL870" s="161"/>
      <c r="AM870" s="161"/>
    </row>
    <row r="871" spans="6:39" ht="13.75" customHeight="1" outlineLevel="1">
      <c r="F871" s="168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16"/>
      <c r="AH871" s="116"/>
      <c r="AI871" s="161"/>
      <c r="AJ871" s="161"/>
      <c r="AK871" s="161"/>
      <c r="AL871" s="161"/>
      <c r="AM871" s="161"/>
    </row>
    <row r="872" spans="6:39" ht="13.75" customHeight="1" outlineLevel="1">
      <c r="F872" s="168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16"/>
      <c r="AH872" s="116"/>
      <c r="AI872" s="161"/>
      <c r="AJ872" s="161"/>
      <c r="AK872" s="161"/>
      <c r="AL872" s="161"/>
      <c r="AM872" s="161"/>
    </row>
    <row r="873" spans="6:39" ht="13.75" customHeight="1" outlineLevel="1">
      <c r="F873" s="168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16"/>
      <c r="AH873" s="116"/>
      <c r="AI873" s="161"/>
      <c r="AJ873" s="161"/>
      <c r="AK873" s="161"/>
      <c r="AL873" s="161"/>
      <c r="AM873" s="161"/>
    </row>
    <row r="874" spans="6:39" ht="13.75" customHeight="1" outlineLevel="1">
      <c r="F874" s="168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16"/>
      <c r="AH874" s="116"/>
      <c r="AI874" s="161"/>
      <c r="AJ874" s="161"/>
      <c r="AK874" s="161"/>
      <c r="AL874" s="161"/>
      <c r="AM874" s="161"/>
    </row>
    <row r="875" spans="6:39" ht="13.75" customHeight="1" outlineLevel="1">
      <c r="F875" s="168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16"/>
      <c r="AH875" s="116"/>
      <c r="AI875" s="161"/>
      <c r="AJ875" s="161"/>
      <c r="AK875" s="161"/>
      <c r="AL875" s="161"/>
      <c r="AM875" s="161"/>
    </row>
    <row r="876" spans="6:39" ht="13.75" customHeight="1" outlineLevel="1">
      <c r="F876" s="168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16"/>
      <c r="AH876" s="116"/>
      <c r="AI876" s="161"/>
      <c r="AJ876" s="161"/>
      <c r="AK876" s="161"/>
      <c r="AL876" s="161"/>
      <c r="AM876" s="161"/>
    </row>
    <row r="877" spans="6:39" ht="13.75" customHeight="1" outlineLevel="1">
      <c r="F877" s="168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16"/>
      <c r="AH877" s="116"/>
      <c r="AI877" s="161"/>
      <c r="AJ877" s="161"/>
      <c r="AK877" s="161"/>
      <c r="AL877" s="161"/>
      <c r="AM877" s="161"/>
    </row>
    <row r="878" spans="6:39" ht="13.75" customHeight="1" outlineLevel="1">
      <c r="F878" s="168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16"/>
      <c r="AH878" s="116"/>
      <c r="AI878" s="161"/>
      <c r="AJ878" s="161"/>
      <c r="AK878" s="161"/>
      <c r="AL878" s="161"/>
      <c r="AM878" s="161"/>
    </row>
    <row r="879" spans="6:39" ht="13.75" customHeight="1" outlineLevel="1">
      <c r="F879" s="168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16"/>
      <c r="AH879" s="116"/>
      <c r="AI879" s="161"/>
      <c r="AJ879" s="161"/>
      <c r="AK879" s="161"/>
      <c r="AL879" s="161"/>
      <c r="AM879" s="161"/>
    </row>
    <row r="880" spans="6:39" ht="13.75" customHeight="1" outlineLevel="1">
      <c r="F880" s="168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16"/>
      <c r="AH880" s="116"/>
      <c r="AI880" s="161"/>
      <c r="AJ880" s="161"/>
      <c r="AK880" s="161"/>
      <c r="AL880" s="161"/>
      <c r="AM880" s="161"/>
    </row>
    <row r="881" spans="6:39" ht="13.75" customHeight="1" outlineLevel="1">
      <c r="F881" s="168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16"/>
      <c r="AH881" s="116"/>
      <c r="AI881" s="161"/>
      <c r="AJ881" s="161"/>
      <c r="AK881" s="161"/>
      <c r="AL881" s="161"/>
      <c r="AM881" s="161"/>
    </row>
    <row r="882" spans="6:39" ht="13.75" customHeight="1" outlineLevel="1">
      <c r="F882" s="168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16"/>
      <c r="AH882" s="116"/>
      <c r="AI882" s="161"/>
      <c r="AJ882" s="161"/>
      <c r="AK882" s="161"/>
      <c r="AL882" s="161"/>
      <c r="AM882" s="161"/>
    </row>
    <row r="883" spans="6:39" ht="13.75" customHeight="1" outlineLevel="1">
      <c r="F883" s="168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16"/>
      <c r="AH883" s="116"/>
      <c r="AI883" s="161"/>
      <c r="AJ883" s="161"/>
      <c r="AK883" s="161"/>
      <c r="AL883" s="161"/>
      <c r="AM883" s="161"/>
    </row>
    <row r="884" spans="6:39" ht="13.75" customHeight="1" outlineLevel="1">
      <c r="F884" s="168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16"/>
      <c r="AH884" s="116"/>
      <c r="AI884" s="161"/>
      <c r="AJ884" s="161"/>
      <c r="AK884" s="161"/>
      <c r="AL884" s="161"/>
      <c r="AM884" s="161"/>
    </row>
    <row r="885" spans="6:39" ht="13.75" customHeight="1" outlineLevel="1">
      <c r="F885" s="168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16"/>
      <c r="AH885" s="116"/>
      <c r="AI885" s="161"/>
      <c r="AJ885" s="161"/>
      <c r="AK885" s="161"/>
      <c r="AL885" s="161"/>
      <c r="AM885" s="161"/>
    </row>
    <row r="886" spans="6:39" ht="13.75" customHeight="1" outlineLevel="1">
      <c r="F886" s="168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16"/>
      <c r="AH886" s="116"/>
      <c r="AI886" s="161"/>
      <c r="AJ886" s="161"/>
      <c r="AK886" s="161"/>
      <c r="AL886" s="161"/>
      <c r="AM886" s="161"/>
    </row>
    <row r="887" spans="6:39" ht="13.75" customHeight="1" outlineLevel="1">
      <c r="F887" s="168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16"/>
      <c r="AH887" s="116"/>
      <c r="AI887" s="161"/>
      <c r="AJ887" s="161"/>
      <c r="AK887" s="161"/>
      <c r="AL887" s="161"/>
      <c r="AM887" s="161"/>
    </row>
    <row r="888" spans="6:39" ht="13.75" customHeight="1">
      <c r="F888" s="168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16"/>
      <c r="AH888" s="116"/>
      <c r="AI888" s="161"/>
      <c r="AJ888" s="161"/>
      <c r="AK888" s="161"/>
      <c r="AL888" s="161"/>
      <c r="AM888" s="161"/>
    </row>
    <row r="889" spans="6:39" ht="13.75" customHeight="1" outlineLevel="1">
      <c r="F889" s="168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16"/>
      <c r="AH889" s="116"/>
      <c r="AI889" s="161"/>
      <c r="AJ889" s="161"/>
      <c r="AK889" s="161"/>
      <c r="AL889" s="161"/>
      <c r="AM889" s="161"/>
    </row>
    <row r="890" spans="6:39" ht="13.75" customHeight="1" outlineLevel="1">
      <c r="F890" s="168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16"/>
      <c r="AH890" s="116"/>
      <c r="AI890" s="161"/>
      <c r="AJ890" s="161"/>
      <c r="AK890" s="161"/>
      <c r="AL890" s="161"/>
      <c r="AM890" s="161"/>
    </row>
    <row r="891" spans="6:39" ht="13.75" customHeight="1" outlineLevel="1">
      <c r="F891" s="168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16"/>
      <c r="AH891" s="116"/>
      <c r="AI891" s="161"/>
      <c r="AJ891" s="161"/>
      <c r="AK891" s="161"/>
      <c r="AL891" s="161"/>
      <c r="AM891" s="161"/>
    </row>
    <row r="892" spans="6:39" ht="13.75" customHeight="1" outlineLevel="1">
      <c r="F892" s="168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16"/>
      <c r="AH892" s="116"/>
      <c r="AI892" s="161"/>
      <c r="AJ892" s="161"/>
      <c r="AK892" s="161"/>
      <c r="AL892" s="161"/>
      <c r="AM892" s="161"/>
    </row>
    <row r="893" spans="6:39" ht="13.75" customHeight="1" outlineLevel="1">
      <c r="F893" s="168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16"/>
      <c r="AH893" s="116"/>
      <c r="AI893" s="161"/>
      <c r="AJ893" s="161"/>
      <c r="AK893" s="161"/>
      <c r="AL893" s="161"/>
      <c r="AM893" s="161"/>
    </row>
    <row r="894" spans="6:39" ht="13.75" customHeight="1" outlineLevel="1">
      <c r="F894" s="168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16"/>
      <c r="AH894" s="116"/>
      <c r="AI894" s="161"/>
      <c r="AJ894" s="161"/>
      <c r="AK894" s="161"/>
      <c r="AL894" s="161"/>
      <c r="AM894" s="161"/>
    </row>
    <row r="895" spans="6:39" ht="13.75" customHeight="1" outlineLevel="1">
      <c r="F895" s="168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16"/>
      <c r="AH895" s="116"/>
      <c r="AI895" s="161"/>
      <c r="AJ895" s="161"/>
      <c r="AK895" s="161"/>
      <c r="AL895" s="161"/>
      <c r="AM895" s="161"/>
    </row>
    <row r="896" spans="6:39" ht="13.75" customHeight="1" outlineLevel="1">
      <c r="F896" s="168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16"/>
      <c r="AH896" s="116"/>
      <c r="AI896" s="161"/>
      <c r="AJ896" s="161"/>
      <c r="AK896" s="161"/>
      <c r="AL896" s="161"/>
      <c r="AM896" s="161"/>
    </row>
    <row r="897" spans="6:39" ht="13.75" customHeight="1" outlineLevel="1">
      <c r="F897" s="168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16"/>
      <c r="AH897" s="116"/>
      <c r="AI897" s="161"/>
      <c r="AJ897" s="161"/>
      <c r="AK897" s="161"/>
      <c r="AL897" s="161"/>
      <c r="AM897" s="161"/>
    </row>
    <row r="898" spans="6:39" ht="13.75" customHeight="1" outlineLevel="1">
      <c r="F898" s="168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16"/>
      <c r="AH898" s="116"/>
      <c r="AI898" s="161"/>
      <c r="AJ898" s="161"/>
      <c r="AK898" s="161"/>
      <c r="AL898" s="161"/>
      <c r="AM898" s="161"/>
    </row>
    <row r="899" spans="6:39" ht="13.75" customHeight="1" outlineLevel="1">
      <c r="F899" s="168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16"/>
      <c r="AH899" s="116"/>
      <c r="AI899" s="161"/>
      <c r="AJ899" s="161"/>
      <c r="AK899" s="161"/>
      <c r="AL899" s="161"/>
      <c r="AM899" s="161"/>
    </row>
    <row r="900" spans="6:39" ht="13.75" customHeight="1" outlineLevel="1">
      <c r="F900" s="168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16"/>
      <c r="AH900" s="116"/>
      <c r="AI900" s="161"/>
      <c r="AJ900" s="161"/>
      <c r="AK900" s="161"/>
      <c r="AL900" s="161"/>
      <c r="AM900" s="161"/>
    </row>
    <row r="901" spans="6:39" ht="13.75" customHeight="1" outlineLevel="1">
      <c r="F901" s="168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16"/>
      <c r="AH901" s="116"/>
      <c r="AI901" s="161"/>
      <c r="AJ901" s="161"/>
      <c r="AK901" s="161"/>
      <c r="AL901" s="161"/>
      <c r="AM901" s="161"/>
    </row>
    <row r="902" spans="6:39" ht="13.75" customHeight="1" outlineLevel="1">
      <c r="F902" s="168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16"/>
      <c r="AH902" s="116"/>
      <c r="AI902" s="161"/>
      <c r="AJ902" s="161"/>
      <c r="AK902" s="161"/>
      <c r="AL902" s="161"/>
      <c r="AM902" s="161"/>
    </row>
    <row r="903" spans="6:39" ht="13.75" customHeight="1" outlineLevel="1">
      <c r="F903" s="168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16"/>
      <c r="AH903" s="116"/>
      <c r="AI903" s="161"/>
      <c r="AJ903" s="161"/>
      <c r="AK903" s="161"/>
      <c r="AL903" s="161"/>
      <c r="AM903" s="161"/>
    </row>
    <row r="904" spans="6:39" ht="13.75" customHeight="1" outlineLevel="1">
      <c r="F904" s="168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16"/>
      <c r="AH904" s="116"/>
      <c r="AI904" s="161"/>
      <c r="AJ904" s="161"/>
      <c r="AK904" s="161"/>
      <c r="AL904" s="161"/>
      <c r="AM904" s="161"/>
    </row>
    <row r="905" spans="6:39" ht="13.75" customHeight="1" outlineLevel="1">
      <c r="F905" s="168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16"/>
      <c r="AH905" s="116"/>
      <c r="AI905" s="161"/>
      <c r="AJ905" s="161"/>
      <c r="AK905" s="161"/>
      <c r="AL905" s="161"/>
      <c r="AM905" s="161"/>
    </row>
    <row r="906" spans="6:39" ht="13.75" customHeight="1" outlineLevel="1">
      <c r="F906" s="168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16"/>
      <c r="AH906" s="116"/>
      <c r="AI906" s="161"/>
      <c r="AJ906" s="161"/>
      <c r="AK906" s="161"/>
      <c r="AL906" s="161"/>
      <c r="AM906" s="161"/>
    </row>
    <row r="907" spans="6:39" ht="13.75" customHeight="1" outlineLevel="1">
      <c r="F907" s="168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16"/>
      <c r="AH907" s="116"/>
      <c r="AI907" s="161"/>
      <c r="AJ907" s="161"/>
      <c r="AK907" s="161"/>
      <c r="AL907" s="161"/>
      <c r="AM907" s="161"/>
    </row>
    <row r="908" spans="6:39" ht="13.75" customHeight="1">
      <c r="F908" s="168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16"/>
      <c r="AH908" s="116"/>
      <c r="AI908" s="161"/>
      <c r="AJ908" s="161"/>
      <c r="AK908" s="161"/>
      <c r="AL908" s="161"/>
      <c r="AM908" s="161"/>
    </row>
    <row r="909" spans="6:39" ht="13.75" customHeight="1" outlineLevel="1">
      <c r="F909" s="168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16"/>
      <c r="AH909" s="116"/>
      <c r="AI909" s="161"/>
      <c r="AJ909" s="161"/>
      <c r="AK909" s="161"/>
      <c r="AL909" s="161"/>
      <c r="AM909" s="161"/>
    </row>
    <row r="910" spans="6:39" ht="13.75" customHeight="1" outlineLevel="1">
      <c r="F910" s="168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16"/>
      <c r="AH910" s="116"/>
      <c r="AI910" s="161"/>
      <c r="AJ910" s="161"/>
      <c r="AK910" s="161"/>
      <c r="AL910" s="161"/>
      <c r="AM910" s="161"/>
    </row>
    <row r="911" spans="6:39" ht="13.75" customHeight="1" outlineLevel="1">
      <c r="F911" s="168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16"/>
      <c r="AH911" s="116"/>
      <c r="AI911" s="161"/>
      <c r="AJ911" s="161"/>
      <c r="AK911" s="161"/>
      <c r="AL911" s="161"/>
      <c r="AM911" s="161"/>
    </row>
    <row r="912" spans="6:39" ht="13.75" customHeight="1" outlineLevel="1">
      <c r="F912" s="168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16"/>
      <c r="AH912" s="116"/>
      <c r="AI912" s="161"/>
      <c r="AJ912" s="161"/>
      <c r="AK912" s="161"/>
      <c r="AL912" s="161"/>
      <c r="AM912" s="161"/>
    </row>
    <row r="913" spans="6:39" ht="13.75" customHeight="1" outlineLevel="1">
      <c r="F913" s="168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16"/>
      <c r="AH913" s="116"/>
      <c r="AI913" s="161"/>
      <c r="AJ913" s="161"/>
      <c r="AK913" s="161"/>
      <c r="AL913" s="161"/>
      <c r="AM913" s="161"/>
    </row>
    <row r="914" spans="6:39" ht="13.75" customHeight="1" outlineLevel="1">
      <c r="F914" s="168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16"/>
      <c r="AH914" s="116"/>
      <c r="AI914" s="161"/>
      <c r="AJ914" s="161"/>
      <c r="AK914" s="161"/>
      <c r="AL914" s="161"/>
      <c r="AM914" s="161"/>
    </row>
    <row r="915" spans="6:39" ht="13.75" customHeight="1" outlineLevel="1">
      <c r="F915" s="168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16"/>
      <c r="AH915" s="116"/>
      <c r="AI915" s="161"/>
      <c r="AJ915" s="161"/>
      <c r="AK915" s="161"/>
      <c r="AL915" s="161"/>
      <c r="AM915" s="161"/>
    </row>
    <row r="916" spans="6:39" ht="13.75" customHeight="1" outlineLevel="1">
      <c r="F916" s="168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16"/>
      <c r="AH916" s="116"/>
      <c r="AI916" s="161"/>
      <c r="AJ916" s="161"/>
      <c r="AK916" s="161"/>
      <c r="AL916" s="161"/>
      <c r="AM916" s="161"/>
    </row>
    <row r="917" spans="6:39" ht="13.75" customHeight="1" outlineLevel="1">
      <c r="F917" s="168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16"/>
      <c r="AH917" s="116"/>
      <c r="AI917" s="161"/>
      <c r="AJ917" s="161"/>
      <c r="AK917" s="161"/>
      <c r="AL917" s="161"/>
      <c r="AM917" s="161"/>
    </row>
    <row r="918" spans="6:39" ht="13.75" customHeight="1" outlineLevel="1">
      <c r="F918" s="168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16"/>
      <c r="AH918" s="116"/>
      <c r="AI918" s="161"/>
      <c r="AJ918" s="161"/>
      <c r="AK918" s="161"/>
      <c r="AL918" s="161"/>
      <c r="AM918" s="161"/>
    </row>
    <row r="919" spans="6:39" ht="13.75" customHeight="1" outlineLevel="1">
      <c r="F919" s="168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16"/>
      <c r="AH919" s="116"/>
      <c r="AI919" s="161"/>
      <c r="AJ919" s="161"/>
      <c r="AK919" s="161"/>
      <c r="AL919" s="161"/>
      <c r="AM919" s="161"/>
    </row>
    <row r="920" spans="6:39" ht="13.75" customHeight="1" outlineLevel="1">
      <c r="F920" s="168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16"/>
      <c r="AH920" s="116"/>
      <c r="AI920" s="161"/>
      <c r="AJ920" s="161"/>
      <c r="AK920" s="161"/>
      <c r="AL920" s="161"/>
      <c r="AM920" s="161"/>
    </row>
    <row r="921" spans="6:39" ht="13.75" customHeight="1" outlineLevel="1">
      <c r="F921" s="168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16"/>
      <c r="AH921" s="116"/>
      <c r="AI921" s="161"/>
      <c r="AJ921" s="161"/>
      <c r="AK921" s="161"/>
      <c r="AL921" s="161"/>
      <c r="AM921" s="161"/>
    </row>
    <row r="922" spans="6:39" ht="13.75" customHeight="1" outlineLevel="1">
      <c r="F922" s="168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16"/>
      <c r="AH922" s="116"/>
      <c r="AI922" s="161"/>
      <c r="AJ922" s="161"/>
      <c r="AK922" s="161"/>
      <c r="AL922" s="161"/>
      <c r="AM922" s="161"/>
    </row>
    <row r="923" spans="6:39" ht="13.75" customHeight="1" outlineLevel="1">
      <c r="F923" s="168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16"/>
      <c r="AH923" s="116"/>
      <c r="AI923" s="161"/>
      <c r="AJ923" s="161"/>
      <c r="AK923" s="161"/>
      <c r="AL923" s="161"/>
      <c r="AM923" s="161"/>
    </row>
    <row r="924" spans="6:39" ht="13.75" customHeight="1" outlineLevel="1">
      <c r="F924" s="168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16"/>
      <c r="AH924" s="116"/>
      <c r="AI924" s="161"/>
      <c r="AJ924" s="161"/>
      <c r="AK924" s="161"/>
      <c r="AL924" s="161"/>
      <c r="AM924" s="161"/>
    </row>
    <row r="925" spans="6:39" ht="13.75" customHeight="1" outlineLevel="1">
      <c r="F925" s="168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16"/>
      <c r="AH925" s="116"/>
      <c r="AI925" s="161"/>
      <c r="AJ925" s="161"/>
      <c r="AK925" s="161"/>
      <c r="AL925" s="161"/>
      <c r="AM925" s="161"/>
    </row>
    <row r="926" spans="6:39" ht="13.75" customHeight="1" outlineLevel="1">
      <c r="F926" s="168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16"/>
      <c r="AH926" s="116"/>
      <c r="AI926" s="161"/>
      <c r="AJ926" s="161"/>
      <c r="AK926" s="161"/>
      <c r="AL926" s="161"/>
      <c r="AM926" s="161"/>
    </row>
    <row r="927" spans="6:39" ht="13.75" customHeight="1" outlineLevel="1">
      <c r="F927" s="168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16"/>
      <c r="AH927" s="116"/>
      <c r="AI927" s="161"/>
      <c r="AJ927" s="161"/>
      <c r="AK927" s="161"/>
      <c r="AL927" s="161"/>
      <c r="AM927" s="161"/>
    </row>
    <row r="928" spans="6:39" ht="13.75" customHeight="1">
      <c r="F928" s="168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16"/>
      <c r="AH928" s="116"/>
      <c r="AI928" s="161"/>
      <c r="AJ928" s="161"/>
      <c r="AK928" s="161"/>
      <c r="AL928" s="161"/>
      <c r="AM928" s="161"/>
    </row>
    <row r="929" spans="1:39" s="109" customFormat="1" ht="13.75" customHeight="1" outlineLevel="1">
      <c r="A929" s="141"/>
      <c r="B929" s="142"/>
      <c r="C929" s="142"/>
      <c r="D929" s="142"/>
      <c r="F929" s="168"/>
      <c r="AG929" s="116"/>
      <c r="AH929" s="116"/>
    </row>
    <row r="930" spans="1:39" s="109" customFormat="1" ht="13.75" customHeight="1" outlineLevel="1">
      <c r="A930" s="141"/>
      <c r="B930" s="142"/>
      <c r="C930" s="142"/>
      <c r="D930" s="142"/>
      <c r="F930" s="168"/>
      <c r="AG930" s="116"/>
      <c r="AH930" s="116"/>
    </row>
    <row r="931" spans="1:39" s="109" customFormat="1" ht="13.75" customHeight="1" outlineLevel="1">
      <c r="A931" s="141"/>
      <c r="B931" s="142"/>
      <c r="C931" s="142"/>
      <c r="D931" s="142"/>
      <c r="F931" s="168"/>
      <c r="AG931" s="116"/>
      <c r="AH931" s="116"/>
    </row>
    <row r="932" spans="1:39" s="109" customFormat="1" ht="13.75" customHeight="1" outlineLevel="1">
      <c r="A932" s="141"/>
      <c r="B932" s="142"/>
      <c r="C932" s="142"/>
      <c r="D932" s="142"/>
      <c r="F932" s="168"/>
      <c r="AG932" s="116"/>
      <c r="AH932" s="116"/>
    </row>
    <row r="933" spans="1:39" s="109" customFormat="1" ht="13.75" customHeight="1" outlineLevel="1">
      <c r="A933" s="141"/>
      <c r="B933" s="142"/>
      <c r="C933" s="142"/>
      <c r="D933" s="142"/>
      <c r="F933" s="168"/>
      <c r="AG933" s="116"/>
      <c r="AH933" s="116"/>
    </row>
    <row r="934" spans="1:39" s="109" customFormat="1" ht="13.75" customHeight="1" outlineLevel="1">
      <c r="A934" s="141"/>
      <c r="B934" s="142"/>
      <c r="C934" s="142"/>
      <c r="D934" s="142"/>
      <c r="F934" s="168"/>
      <c r="AG934" s="116"/>
      <c r="AH934" s="116"/>
    </row>
    <row r="935" spans="1:39" s="109" customFormat="1" ht="13.75" customHeight="1" outlineLevel="1">
      <c r="A935" s="141"/>
      <c r="B935" s="142"/>
      <c r="C935" s="142"/>
      <c r="D935" s="142"/>
      <c r="F935" s="168"/>
      <c r="AG935" s="116"/>
      <c r="AH935" s="116"/>
    </row>
    <row r="936" spans="1:39" s="109" customFormat="1" ht="13.75" customHeight="1" outlineLevel="1">
      <c r="A936" s="141"/>
      <c r="B936" s="142"/>
      <c r="C936" s="142"/>
      <c r="D936" s="142"/>
      <c r="F936" s="168"/>
      <c r="AG936" s="116"/>
      <c r="AH936" s="116"/>
    </row>
    <row r="937" spans="1:39" s="109" customFormat="1" ht="13.75" customHeight="1" outlineLevel="1">
      <c r="A937" s="141"/>
      <c r="B937" s="142"/>
      <c r="C937" s="142"/>
      <c r="D937" s="142"/>
      <c r="F937" s="168"/>
      <c r="AG937" s="116"/>
      <c r="AH937" s="116"/>
    </row>
    <row r="938" spans="1:39" s="109" customFormat="1" ht="13.75" customHeight="1" outlineLevel="1">
      <c r="A938" s="141"/>
      <c r="B938" s="142"/>
      <c r="C938" s="142"/>
      <c r="D938" s="142"/>
      <c r="F938" s="168"/>
      <c r="AG938" s="116"/>
      <c r="AH938" s="116"/>
    </row>
    <row r="939" spans="1:39" ht="13.75" customHeight="1" outlineLevel="1">
      <c r="F939" s="168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16"/>
      <c r="AH939" s="116"/>
      <c r="AI939" s="161"/>
      <c r="AJ939" s="161"/>
      <c r="AK939" s="161"/>
      <c r="AL939" s="161"/>
      <c r="AM939" s="161"/>
    </row>
    <row r="940" spans="1:39" ht="13.75" customHeight="1" outlineLevel="1">
      <c r="F940" s="168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16"/>
      <c r="AH940" s="116"/>
      <c r="AI940" s="161"/>
      <c r="AJ940" s="161"/>
      <c r="AK940" s="161"/>
      <c r="AL940" s="161"/>
      <c r="AM940" s="161"/>
    </row>
    <row r="941" spans="1:39" ht="13.75" customHeight="1" outlineLevel="1">
      <c r="F941" s="168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16"/>
      <c r="AH941" s="116"/>
      <c r="AI941" s="161"/>
      <c r="AJ941" s="161"/>
      <c r="AK941" s="161"/>
      <c r="AL941" s="161"/>
      <c r="AM941" s="161"/>
    </row>
    <row r="942" spans="1:39" ht="13.75" customHeight="1" outlineLevel="1">
      <c r="F942" s="168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16"/>
      <c r="AH942" s="116"/>
      <c r="AI942" s="161"/>
      <c r="AJ942" s="161"/>
      <c r="AK942" s="161"/>
      <c r="AL942" s="161"/>
      <c r="AM942" s="161"/>
    </row>
    <row r="943" spans="1:39" ht="13.75" customHeight="1" outlineLevel="1">
      <c r="F943" s="168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16"/>
      <c r="AH943" s="116"/>
      <c r="AI943" s="161"/>
      <c r="AJ943" s="161"/>
      <c r="AK943" s="161"/>
      <c r="AL943" s="161"/>
      <c r="AM943" s="161"/>
    </row>
    <row r="944" spans="1:39" ht="13.75" customHeight="1" outlineLevel="1">
      <c r="F944" s="168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16"/>
      <c r="AH944" s="116"/>
      <c r="AI944" s="161"/>
      <c r="AJ944" s="161"/>
      <c r="AK944" s="161"/>
      <c r="AL944" s="161"/>
      <c r="AM944" s="161"/>
    </row>
    <row r="945" spans="6:39" ht="13.75" customHeight="1" outlineLevel="1">
      <c r="F945" s="168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16"/>
      <c r="AH945" s="116"/>
      <c r="AI945" s="161"/>
      <c r="AJ945" s="161"/>
      <c r="AK945" s="161"/>
      <c r="AL945" s="161"/>
      <c r="AM945" s="161"/>
    </row>
    <row r="946" spans="6:39" ht="13.75" customHeight="1" outlineLevel="1">
      <c r="F946" s="168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16"/>
      <c r="AH946" s="116"/>
      <c r="AI946" s="161"/>
      <c r="AJ946" s="161"/>
      <c r="AK946" s="161"/>
      <c r="AL946" s="161"/>
      <c r="AM946" s="161"/>
    </row>
    <row r="947" spans="6:39" ht="13.75" customHeight="1" outlineLevel="1">
      <c r="F947" s="168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16"/>
      <c r="AH947" s="116"/>
      <c r="AI947" s="161"/>
      <c r="AJ947" s="161"/>
      <c r="AK947" s="161"/>
      <c r="AL947" s="161"/>
      <c r="AM947" s="161"/>
    </row>
    <row r="948" spans="6:39" ht="13.75" customHeight="1">
      <c r="F948" s="168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16"/>
      <c r="AH948" s="116"/>
      <c r="AI948" s="161"/>
      <c r="AJ948" s="161"/>
      <c r="AK948" s="161"/>
      <c r="AL948" s="161"/>
      <c r="AM948" s="161"/>
    </row>
    <row r="949" spans="6:39" ht="13.75" customHeight="1" outlineLevel="1">
      <c r="F949" s="168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16"/>
      <c r="AH949" s="116"/>
      <c r="AI949" s="161"/>
      <c r="AJ949" s="161"/>
      <c r="AK949" s="161"/>
      <c r="AL949" s="161"/>
      <c r="AM949" s="161"/>
    </row>
    <row r="950" spans="6:39" ht="13.75" customHeight="1" outlineLevel="1">
      <c r="F950" s="168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16"/>
      <c r="AH950" s="116"/>
      <c r="AI950" s="161"/>
      <c r="AJ950" s="161"/>
      <c r="AK950" s="161"/>
      <c r="AL950" s="161"/>
      <c r="AM950" s="161"/>
    </row>
    <row r="951" spans="6:39" ht="13.75" customHeight="1" outlineLevel="1">
      <c r="F951" s="168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16"/>
      <c r="AH951" s="116"/>
      <c r="AI951" s="161"/>
      <c r="AJ951" s="161"/>
      <c r="AK951" s="161"/>
      <c r="AL951" s="161"/>
      <c r="AM951" s="161"/>
    </row>
    <row r="952" spans="6:39" ht="13.75" customHeight="1" outlineLevel="1">
      <c r="F952" s="168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16"/>
      <c r="AH952" s="116"/>
      <c r="AI952" s="161"/>
      <c r="AJ952" s="161"/>
      <c r="AK952" s="161"/>
      <c r="AL952" s="161"/>
      <c r="AM952" s="161"/>
    </row>
    <row r="953" spans="6:39" ht="13.75" customHeight="1" outlineLevel="1">
      <c r="F953" s="168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16"/>
      <c r="AH953" s="116"/>
      <c r="AI953" s="161"/>
      <c r="AJ953" s="161"/>
      <c r="AK953" s="161"/>
      <c r="AL953" s="161"/>
      <c r="AM953" s="161"/>
    </row>
    <row r="954" spans="6:39" ht="13.75" customHeight="1" outlineLevel="1">
      <c r="F954" s="168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16"/>
      <c r="AH954" s="116"/>
      <c r="AI954" s="161"/>
      <c r="AJ954" s="161"/>
      <c r="AK954" s="161"/>
      <c r="AL954" s="161"/>
      <c r="AM954" s="161"/>
    </row>
    <row r="955" spans="6:39" ht="13.75" customHeight="1" outlineLevel="1">
      <c r="F955" s="168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16"/>
      <c r="AH955" s="116"/>
      <c r="AI955" s="161"/>
      <c r="AJ955" s="161"/>
      <c r="AK955" s="161"/>
      <c r="AL955" s="161"/>
      <c r="AM955" s="161"/>
    </row>
    <row r="956" spans="6:39" ht="13.75" customHeight="1" outlineLevel="1">
      <c r="F956" s="168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16"/>
      <c r="AH956" s="116"/>
      <c r="AI956" s="161"/>
      <c r="AJ956" s="161"/>
      <c r="AK956" s="161"/>
      <c r="AL956" s="161"/>
      <c r="AM956" s="161"/>
    </row>
    <row r="957" spans="6:39" ht="13.75" customHeight="1" outlineLevel="1">
      <c r="F957" s="168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16"/>
      <c r="AH957" s="116"/>
      <c r="AI957" s="161"/>
      <c r="AJ957" s="161"/>
      <c r="AK957" s="161"/>
      <c r="AL957" s="161"/>
      <c r="AM957" s="161"/>
    </row>
    <row r="958" spans="6:39" ht="13.75" customHeight="1" outlineLevel="1">
      <c r="F958" s="168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16"/>
      <c r="AH958" s="116"/>
      <c r="AI958" s="161"/>
      <c r="AJ958" s="161"/>
      <c r="AK958" s="161"/>
      <c r="AL958" s="161"/>
      <c r="AM958" s="161"/>
    </row>
    <row r="959" spans="6:39" ht="13.75" customHeight="1" outlineLevel="1">
      <c r="F959" s="168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16"/>
      <c r="AH959" s="116"/>
      <c r="AI959" s="161"/>
      <c r="AJ959" s="161"/>
      <c r="AK959" s="161"/>
      <c r="AL959" s="161"/>
      <c r="AM959" s="161"/>
    </row>
    <row r="960" spans="6:39" ht="13.75" customHeight="1" outlineLevel="1">
      <c r="F960" s="168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16"/>
      <c r="AH960" s="116"/>
      <c r="AI960" s="161"/>
      <c r="AJ960" s="161"/>
      <c r="AK960" s="161"/>
      <c r="AL960" s="161"/>
      <c r="AM960" s="161"/>
    </row>
    <row r="961" spans="1:39" ht="13.75" customHeight="1" outlineLevel="1">
      <c r="F961" s="168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AG961" s="116"/>
      <c r="AH961" s="116"/>
      <c r="AI961" s="161"/>
      <c r="AJ961" s="161"/>
      <c r="AK961" s="161"/>
      <c r="AL961" s="161"/>
      <c r="AM961" s="161"/>
    </row>
    <row r="962" spans="1:39" ht="13.75" customHeight="1" outlineLevel="1">
      <c r="F962" s="168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AG962" s="116"/>
      <c r="AH962" s="116"/>
      <c r="AI962" s="161"/>
      <c r="AJ962" s="161"/>
      <c r="AK962" s="161"/>
      <c r="AL962" s="161"/>
      <c r="AM962" s="161"/>
    </row>
    <row r="963" spans="1:39" ht="13.75" customHeight="1" outlineLevel="1">
      <c r="F963" s="168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AG963" s="116"/>
      <c r="AH963" s="116"/>
      <c r="AI963" s="161"/>
      <c r="AJ963" s="161"/>
      <c r="AK963" s="161"/>
      <c r="AL963" s="161"/>
      <c r="AM963" s="161"/>
    </row>
    <row r="964" spans="1:39" ht="13.75" customHeight="1" outlineLevel="1">
      <c r="F964" s="168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AG964" s="116"/>
      <c r="AH964" s="116"/>
      <c r="AI964" s="161"/>
      <c r="AJ964" s="161"/>
      <c r="AK964" s="161"/>
      <c r="AL964" s="161"/>
      <c r="AM964" s="161"/>
    </row>
    <row r="965" spans="1:39" ht="13.75" customHeight="1" outlineLevel="1">
      <c r="F965" s="168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AG965" s="116"/>
      <c r="AH965" s="116"/>
      <c r="AI965" s="161"/>
      <c r="AJ965" s="161"/>
      <c r="AK965" s="161"/>
      <c r="AL965" s="161"/>
      <c r="AM965" s="161"/>
    </row>
    <row r="966" spans="1:39" ht="13.75" customHeight="1" outlineLevel="1">
      <c r="F966" s="168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AG966" s="116"/>
      <c r="AH966" s="116"/>
      <c r="AI966" s="161"/>
      <c r="AJ966" s="161"/>
      <c r="AK966" s="161"/>
      <c r="AL966" s="161"/>
      <c r="AM966" s="161"/>
    </row>
    <row r="967" spans="1:39" ht="13.75" customHeight="1" outlineLevel="1">
      <c r="F967" s="168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AG967" s="116"/>
      <c r="AH967" s="116"/>
      <c r="AI967" s="161"/>
      <c r="AJ967" s="161"/>
      <c r="AK967" s="161"/>
      <c r="AL967" s="161"/>
      <c r="AM967" s="161"/>
    </row>
    <row r="968" spans="1:39" ht="13.75" customHeight="1">
      <c r="A968" s="170"/>
      <c r="F968" s="168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AG968" s="116"/>
      <c r="AH968" s="116"/>
      <c r="AI968" s="161"/>
      <c r="AJ968" s="161"/>
      <c r="AK968" s="161"/>
      <c r="AL968" s="161"/>
      <c r="AM968" s="161"/>
    </row>
    <row r="969" spans="1:39" outlineLevel="1">
      <c r="A969" s="170"/>
      <c r="F969" s="168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61"/>
      <c r="AJ969" s="161"/>
      <c r="AK969" s="161"/>
      <c r="AL969" s="161"/>
      <c r="AM969" s="161"/>
    </row>
    <row r="970" spans="1:39" outlineLevel="1">
      <c r="A970" s="170"/>
      <c r="F970" s="168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61"/>
      <c r="AJ970" s="161"/>
      <c r="AK970" s="161"/>
      <c r="AL970" s="161"/>
      <c r="AM970" s="161"/>
    </row>
    <row r="971" spans="1:39" outlineLevel="1">
      <c r="A971" s="170"/>
      <c r="F971" s="168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61"/>
      <c r="AJ971" s="161"/>
      <c r="AK971" s="161"/>
      <c r="AL971" s="161"/>
      <c r="AM971" s="161"/>
    </row>
    <row r="972" spans="1:39" outlineLevel="1">
      <c r="A972" s="170"/>
      <c r="F972" s="168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61"/>
      <c r="AJ972" s="161"/>
      <c r="AK972" s="161"/>
      <c r="AL972" s="161"/>
      <c r="AM972" s="161"/>
    </row>
    <row r="973" spans="1:39" outlineLevel="1">
      <c r="A973" s="170"/>
      <c r="F973" s="168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AG973" s="116"/>
      <c r="AH973" s="116"/>
      <c r="AI973" s="161"/>
      <c r="AJ973" s="161"/>
      <c r="AK973" s="161"/>
      <c r="AL973" s="161"/>
      <c r="AM973" s="161"/>
    </row>
    <row r="974" spans="1:39" outlineLevel="1">
      <c r="A974" s="170"/>
      <c r="F974" s="168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AG974" s="116"/>
      <c r="AH974" s="116"/>
      <c r="AI974" s="161"/>
      <c r="AJ974" s="161"/>
      <c r="AK974" s="161"/>
      <c r="AL974" s="161"/>
      <c r="AM974" s="161"/>
    </row>
    <row r="975" spans="1:39" outlineLevel="1">
      <c r="A975" s="170"/>
      <c r="F975" s="168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AG975" s="116"/>
      <c r="AH975" s="116"/>
      <c r="AI975" s="161"/>
      <c r="AJ975" s="161"/>
      <c r="AK975" s="161"/>
      <c r="AL975" s="161"/>
      <c r="AM975" s="161"/>
    </row>
    <row r="976" spans="1:39" outlineLevel="1">
      <c r="A976" s="170"/>
      <c r="F976" s="168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AG976" s="116"/>
      <c r="AH976" s="116"/>
      <c r="AI976" s="161"/>
      <c r="AJ976" s="161"/>
      <c r="AK976" s="161"/>
      <c r="AL976" s="161"/>
      <c r="AM976" s="161"/>
    </row>
    <row r="977" spans="1:59" outlineLevel="1">
      <c r="A977" s="170"/>
      <c r="F977" s="168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I977" s="161"/>
      <c r="AJ977" s="161"/>
      <c r="AK977" s="161"/>
      <c r="AL977" s="161"/>
      <c r="AM977" s="161"/>
    </row>
    <row r="978" spans="1:59" outlineLevel="1">
      <c r="A978" s="170"/>
      <c r="F978" s="168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I978" s="161"/>
      <c r="AJ978" s="161"/>
      <c r="AK978" s="161"/>
      <c r="AL978" s="161"/>
      <c r="AM978" s="161"/>
    </row>
    <row r="979" spans="1:59" outlineLevel="1">
      <c r="A979" s="170"/>
      <c r="F979" s="168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I979" s="161"/>
      <c r="AJ979" s="161"/>
      <c r="AK979" s="161"/>
      <c r="AL979" s="161"/>
      <c r="AM979" s="161"/>
    </row>
    <row r="980" spans="1:59" outlineLevel="1">
      <c r="A980" s="170"/>
      <c r="F980" s="168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I980" s="161"/>
      <c r="AJ980" s="161"/>
      <c r="AK980" s="161"/>
      <c r="AL980" s="161"/>
      <c r="AM980" s="161"/>
    </row>
    <row r="981" spans="1:59" outlineLevel="1">
      <c r="A981" s="170"/>
      <c r="F981" s="168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I981" s="161"/>
      <c r="AJ981" s="161"/>
      <c r="AK981" s="161"/>
      <c r="AL981" s="161"/>
      <c r="AM981" s="161"/>
    </row>
    <row r="982" spans="1:59" outlineLevel="1">
      <c r="A982" s="170"/>
      <c r="F982" s="168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I982" s="161"/>
      <c r="AJ982" s="161"/>
      <c r="AK982" s="161"/>
      <c r="AL982" s="161"/>
      <c r="AM982" s="161"/>
    </row>
    <row r="983" spans="1:59" outlineLevel="1">
      <c r="A983" s="170"/>
      <c r="F983" s="168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I983" s="161"/>
      <c r="AJ983" s="161"/>
      <c r="AK983" s="161"/>
      <c r="AL983" s="161"/>
      <c r="AM983" s="161"/>
    </row>
    <row r="984" spans="1:59" outlineLevel="1">
      <c r="A984" s="170"/>
      <c r="F984" s="168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I984" s="161"/>
      <c r="AJ984" s="161"/>
      <c r="AK984" s="161"/>
      <c r="AL984" s="161"/>
      <c r="AM984" s="161"/>
    </row>
    <row r="985" spans="1:59" outlineLevel="1">
      <c r="A985" s="170"/>
      <c r="F985" s="168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I985" s="161"/>
      <c r="AJ985" s="161"/>
      <c r="AK985" s="161"/>
      <c r="AL985" s="161"/>
      <c r="AM985" s="161"/>
    </row>
    <row r="986" spans="1:59" outlineLevel="1">
      <c r="A986" s="170"/>
      <c r="F986" s="168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I986" s="161"/>
      <c r="AJ986" s="161"/>
      <c r="AK986" s="161"/>
      <c r="AL986" s="161"/>
      <c r="AM986" s="161"/>
    </row>
    <row r="987" spans="1:59" outlineLevel="1">
      <c r="A987" s="170"/>
      <c r="F987" s="168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I987" s="161"/>
      <c r="AJ987" s="161"/>
      <c r="AK987" s="161"/>
      <c r="AL987" s="161"/>
      <c r="AM987" s="161"/>
    </row>
    <row r="988" spans="1:59">
      <c r="A988" s="141" t="s">
        <v>644</v>
      </c>
      <c r="F988" s="168" t="s">
        <v>645</v>
      </c>
      <c r="G988" s="109" t="s">
        <v>3</v>
      </c>
      <c r="J988" s="131">
        <v>1</v>
      </c>
      <c r="K988" s="131">
        <v>1</v>
      </c>
      <c r="L988" s="131">
        <v>1</v>
      </c>
      <c r="M988" s="131">
        <v>1</v>
      </c>
      <c r="N988" s="131">
        <v>1</v>
      </c>
      <c r="O988" s="131">
        <v>1</v>
      </c>
      <c r="P988" s="131">
        <v>1</v>
      </c>
      <c r="Q988" s="131">
        <v>1</v>
      </c>
      <c r="R988" s="131">
        <v>1</v>
      </c>
      <c r="S988" s="131">
        <v>1</v>
      </c>
      <c r="T988" s="131">
        <v>1</v>
      </c>
      <c r="U988" s="131">
        <v>1</v>
      </c>
      <c r="V988" s="131">
        <v>1</v>
      </c>
      <c r="W988" s="131">
        <v>1</v>
      </c>
      <c r="X988" s="131">
        <v>1</v>
      </c>
      <c r="Y988" s="131">
        <v>1</v>
      </c>
      <c r="Z988" s="131">
        <v>1</v>
      </c>
      <c r="AA988" s="131">
        <v>1</v>
      </c>
      <c r="AB988" s="131">
        <v>1</v>
      </c>
      <c r="AC988" s="131">
        <v>1</v>
      </c>
      <c r="AD988" s="131">
        <v>1</v>
      </c>
      <c r="AE988" s="131">
        <v>1</v>
      </c>
      <c r="AF988" s="131">
        <v>1</v>
      </c>
      <c r="AG988" s="131">
        <v>1</v>
      </c>
      <c r="AH988" s="131">
        <v>1</v>
      </c>
      <c r="AI988" s="131">
        <v>1</v>
      </c>
      <c r="AJ988" s="131">
        <v>1</v>
      </c>
      <c r="AK988" s="131">
        <v>1</v>
      </c>
      <c r="AL988" s="131">
        <v>1</v>
      </c>
      <c r="AM988" s="131">
        <v>1</v>
      </c>
      <c r="AN988" s="131">
        <v>1</v>
      </c>
      <c r="AO988" s="131">
        <v>1</v>
      </c>
      <c r="AP988" s="131">
        <v>1</v>
      </c>
      <c r="AQ988" s="131">
        <v>1</v>
      </c>
      <c r="AR988" s="131">
        <v>1</v>
      </c>
      <c r="AS988" s="131">
        <v>1</v>
      </c>
      <c r="AT988" s="131">
        <v>1</v>
      </c>
      <c r="AU988" s="131">
        <v>1</v>
      </c>
      <c r="AV988" s="131">
        <v>1</v>
      </c>
      <c r="AW988" s="131">
        <v>1</v>
      </c>
      <c r="AX988" s="131">
        <v>1</v>
      </c>
      <c r="AY988" s="131">
        <v>1</v>
      </c>
      <c r="AZ988" s="131">
        <v>1</v>
      </c>
      <c r="BA988" s="131">
        <v>1</v>
      </c>
      <c r="BB988" s="131">
        <v>1</v>
      </c>
      <c r="BC988" s="131">
        <f>BB988</f>
        <v>1</v>
      </c>
      <c r="BD988" s="131">
        <f t="shared" ref="BD988:BG988" si="231">BC988</f>
        <v>1</v>
      </c>
      <c r="BE988" s="131">
        <f t="shared" si="231"/>
        <v>1</v>
      </c>
      <c r="BF988" s="131">
        <f t="shared" si="231"/>
        <v>1</v>
      </c>
      <c r="BG988" s="131">
        <f t="shared" si="231"/>
        <v>1</v>
      </c>
    </row>
    <row r="989" spans="1:59">
      <c r="A989" s="141" t="s">
        <v>644</v>
      </c>
      <c r="F989" s="168" t="s">
        <v>646</v>
      </c>
      <c r="G989" s="109" t="s">
        <v>3</v>
      </c>
      <c r="J989" s="131">
        <v>1</v>
      </c>
      <c r="K989" s="131">
        <v>1</v>
      </c>
      <c r="L989" s="131">
        <v>1</v>
      </c>
      <c r="M989" s="131">
        <v>1</v>
      </c>
      <c r="N989" s="131">
        <v>1</v>
      </c>
      <c r="O989" s="131">
        <v>1</v>
      </c>
      <c r="P989" s="131">
        <v>1</v>
      </c>
      <c r="Q989" s="131">
        <v>1</v>
      </c>
      <c r="R989" s="131">
        <v>1</v>
      </c>
      <c r="S989" s="131">
        <v>1</v>
      </c>
      <c r="T989" s="131">
        <v>1</v>
      </c>
      <c r="U989" s="131">
        <v>1</v>
      </c>
      <c r="V989" s="131">
        <v>1</v>
      </c>
      <c r="W989" s="131">
        <v>1</v>
      </c>
      <c r="X989" s="131">
        <v>1</v>
      </c>
      <c r="Y989" s="131">
        <v>1</v>
      </c>
      <c r="Z989" s="131">
        <v>1</v>
      </c>
      <c r="AA989" s="131">
        <v>1</v>
      </c>
      <c r="AB989" s="131">
        <v>1</v>
      </c>
      <c r="AC989" s="131">
        <v>1</v>
      </c>
      <c r="AD989" s="131">
        <v>1</v>
      </c>
      <c r="AE989" s="131">
        <v>1</v>
      </c>
      <c r="AF989" s="131">
        <v>1</v>
      </c>
      <c r="AG989" s="131">
        <v>1</v>
      </c>
      <c r="AH989" s="131">
        <v>1</v>
      </c>
      <c r="AI989" s="131">
        <v>1</v>
      </c>
      <c r="AJ989" s="131">
        <v>1</v>
      </c>
      <c r="AK989" s="131">
        <v>1</v>
      </c>
      <c r="AL989" s="131">
        <v>1</v>
      </c>
      <c r="AM989" s="131">
        <v>1</v>
      </c>
      <c r="AN989" s="131">
        <v>1</v>
      </c>
      <c r="AO989" s="131">
        <v>1</v>
      </c>
      <c r="AP989" s="131">
        <v>1</v>
      </c>
      <c r="AQ989" s="131">
        <v>1</v>
      </c>
      <c r="AR989" s="131">
        <v>1</v>
      </c>
      <c r="AS989" s="131">
        <v>1</v>
      </c>
      <c r="AT989" s="131">
        <v>1</v>
      </c>
      <c r="AU989" s="131">
        <v>1</v>
      </c>
      <c r="AV989" s="131">
        <v>1</v>
      </c>
      <c r="AW989" s="131">
        <v>1</v>
      </c>
      <c r="AX989" s="131">
        <v>1</v>
      </c>
      <c r="AY989" s="131">
        <v>1</v>
      </c>
      <c r="AZ989" s="131">
        <v>1</v>
      </c>
      <c r="BA989" s="131">
        <v>1</v>
      </c>
      <c r="BB989" s="131">
        <v>1</v>
      </c>
      <c r="BC989" s="131">
        <f t="shared" ref="BC989:BG998" si="232">BB989</f>
        <v>1</v>
      </c>
      <c r="BD989" s="131">
        <f t="shared" si="232"/>
        <v>1</v>
      </c>
      <c r="BE989" s="131">
        <f t="shared" si="232"/>
        <v>1</v>
      </c>
      <c r="BF989" s="131">
        <f t="shared" si="232"/>
        <v>1</v>
      </c>
      <c r="BG989" s="131">
        <f t="shared" si="232"/>
        <v>1</v>
      </c>
    </row>
    <row r="990" spans="1:59">
      <c r="A990" s="141" t="s">
        <v>644</v>
      </c>
      <c r="F990" s="168" t="s">
        <v>647</v>
      </c>
      <c r="G990" s="109" t="s">
        <v>3</v>
      </c>
      <c r="J990" s="131">
        <v>1</v>
      </c>
      <c r="K990" s="131">
        <v>1</v>
      </c>
      <c r="L990" s="131">
        <v>1</v>
      </c>
      <c r="M990" s="131">
        <v>1</v>
      </c>
      <c r="N990" s="131">
        <v>1</v>
      </c>
      <c r="O990" s="131">
        <v>1</v>
      </c>
      <c r="P990" s="131">
        <v>1</v>
      </c>
      <c r="Q990" s="131">
        <v>1</v>
      </c>
      <c r="R990" s="131">
        <v>1</v>
      </c>
      <c r="S990" s="131">
        <v>1</v>
      </c>
      <c r="T990" s="131">
        <v>1</v>
      </c>
      <c r="U990" s="131">
        <v>1</v>
      </c>
      <c r="V990" s="131">
        <v>1</v>
      </c>
      <c r="W990" s="131">
        <v>1</v>
      </c>
      <c r="X990" s="131">
        <v>1</v>
      </c>
      <c r="Y990" s="131">
        <v>1</v>
      </c>
      <c r="Z990" s="131">
        <v>1</v>
      </c>
      <c r="AA990" s="131">
        <v>1</v>
      </c>
      <c r="AB990" s="131">
        <v>1</v>
      </c>
      <c r="AC990" s="131">
        <v>1</v>
      </c>
      <c r="AD990" s="131">
        <v>1</v>
      </c>
      <c r="AE990" s="131">
        <v>1</v>
      </c>
      <c r="AF990" s="131">
        <v>1</v>
      </c>
      <c r="AG990" s="131">
        <v>1</v>
      </c>
      <c r="AH990" s="131">
        <v>1</v>
      </c>
      <c r="AI990" s="131">
        <v>1</v>
      </c>
      <c r="AJ990" s="131">
        <v>1</v>
      </c>
      <c r="AK990" s="131">
        <v>1</v>
      </c>
      <c r="AL990" s="131">
        <v>1</v>
      </c>
      <c r="AM990" s="131">
        <v>1</v>
      </c>
      <c r="AN990" s="131">
        <v>1</v>
      </c>
      <c r="AO990" s="131">
        <v>1</v>
      </c>
      <c r="AP990" s="131">
        <v>1</v>
      </c>
      <c r="AQ990" s="131">
        <v>1</v>
      </c>
      <c r="AR990" s="131">
        <v>1</v>
      </c>
      <c r="AS990" s="131">
        <v>1</v>
      </c>
      <c r="AT990" s="131">
        <v>1</v>
      </c>
      <c r="AU990" s="131">
        <v>1</v>
      </c>
      <c r="AV990" s="131">
        <v>1</v>
      </c>
      <c r="AW990" s="131">
        <v>1</v>
      </c>
      <c r="AX990" s="131">
        <v>1</v>
      </c>
      <c r="AY990" s="131">
        <v>1</v>
      </c>
      <c r="AZ990" s="131">
        <v>1</v>
      </c>
      <c r="BA990" s="131">
        <v>1</v>
      </c>
      <c r="BB990" s="131">
        <v>1</v>
      </c>
      <c r="BC990" s="131">
        <f t="shared" si="232"/>
        <v>1</v>
      </c>
      <c r="BD990" s="131">
        <f t="shared" si="232"/>
        <v>1</v>
      </c>
      <c r="BE990" s="131">
        <f t="shared" si="232"/>
        <v>1</v>
      </c>
      <c r="BF990" s="131">
        <f t="shared" si="232"/>
        <v>1</v>
      </c>
      <c r="BG990" s="131">
        <f t="shared" si="232"/>
        <v>1</v>
      </c>
    </row>
    <row r="991" spans="1:59">
      <c r="A991" s="141" t="s">
        <v>644</v>
      </c>
      <c r="F991" s="168" t="s">
        <v>648</v>
      </c>
      <c r="G991" s="109" t="s">
        <v>3</v>
      </c>
      <c r="J991" s="131">
        <v>1</v>
      </c>
      <c r="K991" s="131">
        <v>1</v>
      </c>
      <c r="L991" s="131">
        <v>1</v>
      </c>
      <c r="M991" s="131">
        <v>1</v>
      </c>
      <c r="N991" s="131">
        <v>1</v>
      </c>
      <c r="O991" s="131">
        <v>1</v>
      </c>
      <c r="P991" s="131">
        <v>1</v>
      </c>
      <c r="Q991" s="131">
        <v>1</v>
      </c>
      <c r="R991" s="131">
        <v>1</v>
      </c>
      <c r="S991" s="131">
        <v>1</v>
      </c>
      <c r="T991" s="131">
        <v>1</v>
      </c>
      <c r="U991" s="131">
        <v>1</v>
      </c>
      <c r="V991" s="131">
        <v>1</v>
      </c>
      <c r="W991" s="131">
        <v>1</v>
      </c>
      <c r="X991" s="131">
        <v>1</v>
      </c>
      <c r="Y991" s="131">
        <v>1</v>
      </c>
      <c r="Z991" s="131">
        <v>1</v>
      </c>
      <c r="AA991" s="131">
        <v>1</v>
      </c>
      <c r="AB991" s="131">
        <v>1</v>
      </c>
      <c r="AC991" s="131">
        <v>1</v>
      </c>
      <c r="AD991" s="131">
        <v>1</v>
      </c>
      <c r="AE991" s="131">
        <v>1</v>
      </c>
      <c r="AF991" s="131">
        <v>1</v>
      </c>
      <c r="AG991" s="131">
        <v>1</v>
      </c>
      <c r="AH991" s="131">
        <v>1</v>
      </c>
      <c r="AI991" s="131">
        <v>1</v>
      </c>
      <c r="AJ991" s="131">
        <v>1</v>
      </c>
      <c r="AK991" s="131">
        <v>1</v>
      </c>
      <c r="AL991" s="131">
        <v>1</v>
      </c>
      <c r="AM991" s="131">
        <v>1</v>
      </c>
      <c r="AN991" s="131">
        <v>1</v>
      </c>
      <c r="AO991" s="131">
        <v>1</v>
      </c>
      <c r="AP991" s="131">
        <v>1</v>
      </c>
      <c r="AQ991" s="131">
        <v>1</v>
      </c>
      <c r="AR991" s="131">
        <v>1</v>
      </c>
      <c r="AS991" s="131">
        <v>1</v>
      </c>
      <c r="AT991" s="131">
        <v>1</v>
      </c>
      <c r="AU991" s="131">
        <v>1</v>
      </c>
      <c r="AV991" s="131">
        <v>1</v>
      </c>
      <c r="AW991" s="131">
        <v>1</v>
      </c>
      <c r="AX991" s="131">
        <v>1</v>
      </c>
      <c r="AY991" s="131">
        <v>1</v>
      </c>
      <c r="AZ991" s="131">
        <v>1</v>
      </c>
      <c r="BA991" s="131">
        <v>1</v>
      </c>
      <c r="BB991" s="131">
        <v>1</v>
      </c>
      <c r="BC991" s="131">
        <f t="shared" si="232"/>
        <v>1</v>
      </c>
      <c r="BD991" s="131">
        <f t="shared" si="232"/>
        <v>1</v>
      </c>
      <c r="BE991" s="131">
        <f t="shared" si="232"/>
        <v>1</v>
      </c>
      <c r="BF991" s="131">
        <f t="shared" si="232"/>
        <v>1</v>
      </c>
      <c r="BG991" s="131">
        <f t="shared" si="232"/>
        <v>1</v>
      </c>
    </row>
    <row r="992" spans="1:59">
      <c r="A992" s="141" t="s">
        <v>644</v>
      </c>
      <c r="F992" s="168" t="s">
        <v>649</v>
      </c>
      <c r="G992" s="109" t="s">
        <v>3</v>
      </c>
      <c r="J992" s="131">
        <v>1</v>
      </c>
      <c r="K992" s="131">
        <v>1</v>
      </c>
      <c r="L992" s="131">
        <v>1</v>
      </c>
      <c r="M992" s="131">
        <v>1</v>
      </c>
      <c r="N992" s="131">
        <v>1</v>
      </c>
      <c r="O992" s="131">
        <v>1</v>
      </c>
      <c r="P992" s="131">
        <v>1</v>
      </c>
      <c r="Q992" s="131">
        <v>1</v>
      </c>
      <c r="R992" s="131">
        <v>1</v>
      </c>
      <c r="S992" s="131">
        <v>1</v>
      </c>
      <c r="T992" s="131">
        <v>1</v>
      </c>
      <c r="U992" s="131">
        <v>1</v>
      </c>
      <c r="V992" s="131">
        <v>1</v>
      </c>
      <c r="W992" s="131">
        <v>1</v>
      </c>
      <c r="X992" s="131">
        <v>1</v>
      </c>
      <c r="Y992" s="131">
        <v>1</v>
      </c>
      <c r="Z992" s="131">
        <v>1</v>
      </c>
      <c r="AA992" s="131">
        <v>1</v>
      </c>
      <c r="AB992" s="131">
        <v>1</v>
      </c>
      <c r="AC992" s="131">
        <v>1</v>
      </c>
      <c r="AD992" s="131">
        <v>1</v>
      </c>
      <c r="AE992" s="131">
        <v>1</v>
      </c>
      <c r="AF992" s="131">
        <v>1</v>
      </c>
      <c r="AG992" s="131">
        <v>1</v>
      </c>
      <c r="AH992" s="131">
        <v>1</v>
      </c>
      <c r="AI992" s="131">
        <v>1</v>
      </c>
      <c r="AJ992" s="131">
        <v>1</v>
      </c>
      <c r="AK992" s="131">
        <v>1</v>
      </c>
      <c r="AL992" s="131">
        <v>1</v>
      </c>
      <c r="AM992" s="131">
        <v>1</v>
      </c>
      <c r="AN992" s="131">
        <v>1</v>
      </c>
      <c r="AO992" s="131">
        <v>1</v>
      </c>
      <c r="AP992" s="131">
        <v>1</v>
      </c>
      <c r="AQ992" s="131">
        <v>1</v>
      </c>
      <c r="AR992" s="131">
        <v>1</v>
      </c>
      <c r="AS992" s="131">
        <v>1</v>
      </c>
      <c r="AT992" s="131">
        <v>1</v>
      </c>
      <c r="AU992" s="131">
        <v>1</v>
      </c>
      <c r="AV992" s="131">
        <v>1</v>
      </c>
      <c r="AW992" s="131">
        <v>1</v>
      </c>
      <c r="AX992" s="131">
        <v>1</v>
      </c>
      <c r="AY992" s="131">
        <v>1</v>
      </c>
      <c r="AZ992" s="131">
        <v>1</v>
      </c>
      <c r="BA992" s="131">
        <v>1</v>
      </c>
      <c r="BB992" s="131">
        <v>1</v>
      </c>
      <c r="BC992" s="131">
        <f t="shared" si="232"/>
        <v>1</v>
      </c>
      <c r="BD992" s="131">
        <f t="shared" si="232"/>
        <v>1</v>
      </c>
      <c r="BE992" s="131">
        <f t="shared" si="232"/>
        <v>1</v>
      </c>
      <c r="BF992" s="131">
        <f t="shared" si="232"/>
        <v>1</v>
      </c>
      <c r="BG992" s="131">
        <f t="shared" si="232"/>
        <v>1</v>
      </c>
    </row>
    <row r="993" spans="1:59">
      <c r="A993" s="141" t="s">
        <v>644</v>
      </c>
      <c r="F993" s="168" t="s">
        <v>650</v>
      </c>
      <c r="G993" s="109" t="s">
        <v>3</v>
      </c>
      <c r="J993" s="131">
        <v>1</v>
      </c>
      <c r="K993" s="131">
        <v>1</v>
      </c>
      <c r="L993" s="131">
        <v>1</v>
      </c>
      <c r="M993" s="131">
        <v>1</v>
      </c>
      <c r="N993" s="131">
        <v>1</v>
      </c>
      <c r="O993" s="131">
        <v>1</v>
      </c>
      <c r="P993" s="131">
        <v>1</v>
      </c>
      <c r="Q993" s="131">
        <v>1</v>
      </c>
      <c r="R993" s="131">
        <v>1</v>
      </c>
      <c r="S993" s="131">
        <v>1</v>
      </c>
      <c r="T993" s="131">
        <v>1</v>
      </c>
      <c r="U993" s="131">
        <v>1</v>
      </c>
      <c r="V993" s="131">
        <v>1</v>
      </c>
      <c r="W993" s="131">
        <v>1</v>
      </c>
      <c r="X993" s="131">
        <v>1</v>
      </c>
      <c r="Y993" s="131">
        <v>1</v>
      </c>
      <c r="Z993" s="131">
        <v>1</v>
      </c>
      <c r="AA993" s="131">
        <v>1</v>
      </c>
      <c r="AB993" s="131">
        <v>1</v>
      </c>
      <c r="AC993" s="131">
        <v>1</v>
      </c>
      <c r="AD993" s="131">
        <v>1</v>
      </c>
      <c r="AE993" s="131">
        <v>1</v>
      </c>
      <c r="AF993" s="131">
        <v>1</v>
      </c>
      <c r="AG993" s="131">
        <v>1</v>
      </c>
      <c r="AH993" s="131">
        <v>1</v>
      </c>
      <c r="AI993" s="131">
        <v>1</v>
      </c>
      <c r="AJ993" s="131">
        <v>1</v>
      </c>
      <c r="AK993" s="131">
        <v>1</v>
      </c>
      <c r="AL993" s="131">
        <v>1</v>
      </c>
      <c r="AM993" s="131">
        <v>1</v>
      </c>
      <c r="AN993" s="131">
        <v>1</v>
      </c>
      <c r="AO993" s="131">
        <v>1</v>
      </c>
      <c r="AP993" s="131">
        <v>1</v>
      </c>
      <c r="AQ993" s="131">
        <v>1</v>
      </c>
      <c r="AR993" s="131">
        <v>1</v>
      </c>
      <c r="AS993" s="131">
        <v>1</v>
      </c>
      <c r="AT993" s="131">
        <v>1</v>
      </c>
      <c r="AU993" s="131">
        <v>1</v>
      </c>
      <c r="AV993" s="131">
        <v>1</v>
      </c>
      <c r="AW993" s="131">
        <v>1</v>
      </c>
      <c r="AX993" s="131">
        <v>1</v>
      </c>
      <c r="AY993" s="131">
        <v>1</v>
      </c>
      <c r="AZ993" s="131">
        <v>1</v>
      </c>
      <c r="BA993" s="131">
        <v>1</v>
      </c>
      <c r="BB993" s="131">
        <v>1</v>
      </c>
      <c r="BC993" s="131">
        <f t="shared" si="232"/>
        <v>1</v>
      </c>
      <c r="BD993" s="131">
        <f t="shared" si="232"/>
        <v>1</v>
      </c>
      <c r="BE993" s="131">
        <f t="shared" si="232"/>
        <v>1</v>
      </c>
      <c r="BF993" s="131">
        <f t="shared" si="232"/>
        <v>1</v>
      </c>
      <c r="BG993" s="131">
        <f t="shared" si="232"/>
        <v>1</v>
      </c>
    </row>
    <row r="994" spans="1:59">
      <c r="A994" s="141" t="s">
        <v>644</v>
      </c>
      <c r="F994" s="168" t="s">
        <v>651</v>
      </c>
      <c r="G994" s="109" t="s">
        <v>3</v>
      </c>
      <c r="J994" s="131">
        <v>1</v>
      </c>
      <c r="K994" s="131">
        <v>1</v>
      </c>
      <c r="L994" s="131">
        <v>1</v>
      </c>
      <c r="M994" s="131">
        <v>1</v>
      </c>
      <c r="N994" s="131">
        <v>1</v>
      </c>
      <c r="O994" s="131">
        <v>1</v>
      </c>
      <c r="P994" s="131">
        <v>1</v>
      </c>
      <c r="Q994" s="131">
        <v>1</v>
      </c>
      <c r="R994" s="131">
        <v>1</v>
      </c>
      <c r="S994" s="131">
        <v>1</v>
      </c>
      <c r="T994" s="131">
        <v>1</v>
      </c>
      <c r="U994" s="131">
        <v>1</v>
      </c>
      <c r="V994" s="131">
        <v>1</v>
      </c>
      <c r="W994" s="131">
        <v>1</v>
      </c>
      <c r="X994" s="131">
        <v>1</v>
      </c>
      <c r="Y994" s="131">
        <v>1</v>
      </c>
      <c r="Z994" s="131">
        <v>1</v>
      </c>
      <c r="AA994" s="131">
        <v>1</v>
      </c>
      <c r="AB994" s="131">
        <v>1</v>
      </c>
      <c r="AC994" s="131">
        <v>1</v>
      </c>
      <c r="AD994" s="131">
        <v>1</v>
      </c>
      <c r="AE994" s="131">
        <v>1</v>
      </c>
      <c r="AF994" s="131">
        <v>1</v>
      </c>
      <c r="AG994" s="131">
        <v>1</v>
      </c>
      <c r="AH994" s="131">
        <v>1</v>
      </c>
      <c r="AI994" s="131">
        <v>1</v>
      </c>
      <c r="AJ994" s="131">
        <v>1</v>
      </c>
      <c r="AK994" s="131">
        <v>1</v>
      </c>
      <c r="AL994" s="131">
        <v>1</v>
      </c>
      <c r="AM994" s="131">
        <v>1</v>
      </c>
      <c r="AN994" s="131">
        <v>1</v>
      </c>
      <c r="AO994" s="131">
        <v>1</v>
      </c>
      <c r="AP994" s="131">
        <v>1</v>
      </c>
      <c r="AQ994" s="131">
        <v>1</v>
      </c>
      <c r="AR994" s="131">
        <v>1</v>
      </c>
      <c r="AS994" s="131">
        <v>1</v>
      </c>
      <c r="AT994" s="131">
        <v>1</v>
      </c>
      <c r="AU994" s="131">
        <v>1</v>
      </c>
      <c r="AV994" s="131">
        <v>1</v>
      </c>
      <c r="AW994" s="131">
        <v>1</v>
      </c>
      <c r="AX994" s="131">
        <v>1</v>
      </c>
      <c r="AY994" s="131">
        <v>1</v>
      </c>
      <c r="AZ994" s="131">
        <v>1</v>
      </c>
      <c r="BA994" s="131">
        <v>1</v>
      </c>
      <c r="BB994" s="131">
        <v>1</v>
      </c>
      <c r="BC994" s="131">
        <f t="shared" si="232"/>
        <v>1</v>
      </c>
      <c r="BD994" s="131">
        <f t="shared" si="232"/>
        <v>1</v>
      </c>
      <c r="BE994" s="131">
        <f t="shared" si="232"/>
        <v>1</v>
      </c>
      <c r="BF994" s="131">
        <f t="shared" si="232"/>
        <v>1</v>
      </c>
      <c r="BG994" s="131">
        <f t="shared" si="232"/>
        <v>1</v>
      </c>
    </row>
    <row r="995" spans="1:59">
      <c r="A995" s="141" t="s">
        <v>644</v>
      </c>
      <c r="F995" s="168" t="s">
        <v>652</v>
      </c>
      <c r="G995" s="109" t="s">
        <v>3</v>
      </c>
      <c r="J995" s="131">
        <v>1</v>
      </c>
      <c r="K995" s="131">
        <v>1</v>
      </c>
      <c r="L995" s="131">
        <v>1</v>
      </c>
      <c r="M995" s="131">
        <v>1</v>
      </c>
      <c r="N995" s="131">
        <v>1</v>
      </c>
      <c r="O995" s="131">
        <v>1</v>
      </c>
      <c r="P995" s="131">
        <v>1</v>
      </c>
      <c r="Q995" s="131">
        <v>1</v>
      </c>
      <c r="R995" s="131">
        <v>1</v>
      </c>
      <c r="S995" s="131">
        <v>1</v>
      </c>
      <c r="T995" s="131">
        <v>1</v>
      </c>
      <c r="U995" s="131">
        <v>1</v>
      </c>
      <c r="V995" s="131">
        <v>1</v>
      </c>
      <c r="W995" s="131">
        <v>1</v>
      </c>
      <c r="X995" s="131">
        <v>1</v>
      </c>
      <c r="Y995" s="131">
        <v>1</v>
      </c>
      <c r="Z995" s="131">
        <v>1</v>
      </c>
      <c r="AA995" s="131">
        <v>1</v>
      </c>
      <c r="AB995" s="131">
        <v>1</v>
      </c>
      <c r="AC995" s="131">
        <v>1</v>
      </c>
      <c r="AD995" s="131">
        <v>1</v>
      </c>
      <c r="AE995" s="131">
        <v>1</v>
      </c>
      <c r="AF995" s="131">
        <v>1</v>
      </c>
      <c r="AG995" s="131">
        <v>1</v>
      </c>
      <c r="AH995" s="131">
        <v>1</v>
      </c>
      <c r="AI995" s="131">
        <v>1</v>
      </c>
      <c r="AJ995" s="131">
        <v>1</v>
      </c>
      <c r="AK995" s="131">
        <v>1</v>
      </c>
      <c r="AL995" s="131">
        <v>1</v>
      </c>
      <c r="AM995" s="131">
        <v>1</v>
      </c>
      <c r="AN995" s="131">
        <v>1</v>
      </c>
      <c r="AO995" s="131">
        <v>1</v>
      </c>
      <c r="AP995" s="131">
        <v>1</v>
      </c>
      <c r="AQ995" s="131">
        <v>1</v>
      </c>
      <c r="AR995" s="131">
        <v>1</v>
      </c>
      <c r="AS995" s="131">
        <v>1</v>
      </c>
      <c r="AT995" s="131">
        <v>1</v>
      </c>
      <c r="AU995" s="131">
        <v>1</v>
      </c>
      <c r="AV995" s="131">
        <v>1</v>
      </c>
      <c r="AW995" s="131">
        <v>1</v>
      </c>
      <c r="AX995" s="131">
        <v>1</v>
      </c>
      <c r="AY995" s="131">
        <v>1</v>
      </c>
      <c r="AZ995" s="131">
        <v>1</v>
      </c>
      <c r="BA995" s="131">
        <v>1</v>
      </c>
      <c r="BB995" s="131">
        <v>1</v>
      </c>
      <c r="BC995" s="131">
        <f t="shared" si="232"/>
        <v>1</v>
      </c>
      <c r="BD995" s="131">
        <f t="shared" si="232"/>
        <v>1</v>
      </c>
      <c r="BE995" s="131">
        <f t="shared" si="232"/>
        <v>1</v>
      </c>
      <c r="BF995" s="131">
        <f t="shared" si="232"/>
        <v>1</v>
      </c>
      <c r="BG995" s="131">
        <f t="shared" si="232"/>
        <v>1</v>
      </c>
    </row>
    <row r="996" spans="1:59">
      <c r="A996" s="141" t="s">
        <v>644</v>
      </c>
      <c r="F996" s="168" t="s">
        <v>653</v>
      </c>
      <c r="G996" s="109" t="s">
        <v>3</v>
      </c>
      <c r="J996" s="131">
        <v>1</v>
      </c>
      <c r="K996" s="131">
        <v>1</v>
      </c>
      <c r="L996" s="131">
        <v>1</v>
      </c>
      <c r="M996" s="131">
        <v>1</v>
      </c>
      <c r="N996" s="131">
        <v>1</v>
      </c>
      <c r="O996" s="131">
        <v>1</v>
      </c>
      <c r="P996" s="131">
        <v>1</v>
      </c>
      <c r="Q996" s="131">
        <v>1</v>
      </c>
      <c r="R996" s="131">
        <v>1</v>
      </c>
      <c r="S996" s="131">
        <v>1</v>
      </c>
      <c r="T996" s="131">
        <v>1</v>
      </c>
      <c r="U996" s="131">
        <v>1</v>
      </c>
      <c r="V996" s="131">
        <v>1</v>
      </c>
      <c r="W996" s="131">
        <v>1</v>
      </c>
      <c r="X996" s="131">
        <v>1</v>
      </c>
      <c r="Y996" s="131">
        <v>1</v>
      </c>
      <c r="Z996" s="131">
        <v>1</v>
      </c>
      <c r="AA996" s="131">
        <v>1</v>
      </c>
      <c r="AB996" s="131">
        <v>1</v>
      </c>
      <c r="AC996" s="131">
        <v>1</v>
      </c>
      <c r="AD996" s="131">
        <v>1</v>
      </c>
      <c r="AE996" s="131">
        <v>1</v>
      </c>
      <c r="AF996" s="131">
        <v>1</v>
      </c>
      <c r="AG996" s="131">
        <v>1</v>
      </c>
      <c r="AH996" s="131">
        <v>1</v>
      </c>
      <c r="AI996" s="131">
        <v>1</v>
      </c>
      <c r="AJ996" s="131">
        <v>1</v>
      </c>
      <c r="AK996" s="131">
        <v>1</v>
      </c>
      <c r="AL996" s="131">
        <v>1</v>
      </c>
      <c r="AM996" s="131">
        <v>1</v>
      </c>
      <c r="AN996" s="131">
        <v>1</v>
      </c>
      <c r="AO996" s="131">
        <v>1</v>
      </c>
      <c r="AP996" s="131">
        <v>1</v>
      </c>
      <c r="AQ996" s="131">
        <v>1</v>
      </c>
      <c r="AR996" s="131">
        <v>1</v>
      </c>
      <c r="AS996" s="131">
        <v>1</v>
      </c>
      <c r="AT996" s="131">
        <v>1</v>
      </c>
      <c r="AU996" s="131">
        <v>1</v>
      </c>
      <c r="AV996" s="131">
        <v>1</v>
      </c>
      <c r="AW996" s="131">
        <v>1</v>
      </c>
      <c r="AX996" s="131">
        <v>1</v>
      </c>
      <c r="AY996" s="131">
        <v>1</v>
      </c>
      <c r="AZ996" s="131">
        <v>1</v>
      </c>
      <c r="BA996" s="131">
        <v>1</v>
      </c>
      <c r="BB996" s="131">
        <v>1</v>
      </c>
      <c r="BC996" s="131">
        <f t="shared" si="232"/>
        <v>1</v>
      </c>
      <c r="BD996" s="131">
        <f t="shared" si="232"/>
        <v>1</v>
      </c>
      <c r="BE996" s="131">
        <f t="shared" si="232"/>
        <v>1</v>
      </c>
      <c r="BF996" s="131">
        <f t="shared" si="232"/>
        <v>1</v>
      </c>
      <c r="BG996" s="131">
        <f t="shared" si="232"/>
        <v>1</v>
      </c>
    </row>
    <row r="997" spans="1:59">
      <c r="A997" s="141" t="s">
        <v>644</v>
      </c>
      <c r="F997" s="168" t="s">
        <v>654</v>
      </c>
      <c r="G997" s="109" t="s">
        <v>3</v>
      </c>
      <c r="J997" s="131">
        <v>1</v>
      </c>
      <c r="K997" s="131">
        <v>1</v>
      </c>
      <c r="L997" s="131">
        <v>1</v>
      </c>
      <c r="M997" s="131">
        <v>1</v>
      </c>
      <c r="N997" s="131">
        <v>1</v>
      </c>
      <c r="O997" s="131">
        <v>1</v>
      </c>
      <c r="P997" s="131">
        <v>1</v>
      </c>
      <c r="Q997" s="131">
        <v>1</v>
      </c>
      <c r="R997" s="131">
        <v>1</v>
      </c>
      <c r="S997" s="131">
        <v>1</v>
      </c>
      <c r="T997" s="131">
        <v>1</v>
      </c>
      <c r="U997" s="131">
        <v>1</v>
      </c>
      <c r="V997" s="131">
        <v>1</v>
      </c>
      <c r="W997" s="131">
        <v>1</v>
      </c>
      <c r="X997" s="131">
        <v>1</v>
      </c>
      <c r="Y997" s="131">
        <v>1</v>
      </c>
      <c r="Z997" s="131">
        <v>1</v>
      </c>
      <c r="AA997" s="131">
        <v>1</v>
      </c>
      <c r="AB997" s="131">
        <v>1</v>
      </c>
      <c r="AC997" s="131">
        <v>1</v>
      </c>
      <c r="AD997" s="131">
        <v>1</v>
      </c>
      <c r="AE997" s="131">
        <v>1</v>
      </c>
      <c r="AF997" s="131">
        <v>1</v>
      </c>
      <c r="AG997" s="131">
        <v>1</v>
      </c>
      <c r="AH997" s="131">
        <v>1</v>
      </c>
      <c r="AI997" s="131">
        <v>1</v>
      </c>
      <c r="AJ997" s="131">
        <v>1</v>
      </c>
      <c r="AK997" s="131">
        <v>1</v>
      </c>
      <c r="AL997" s="131">
        <v>1</v>
      </c>
      <c r="AM997" s="131">
        <v>1</v>
      </c>
      <c r="AN997" s="131">
        <v>1</v>
      </c>
      <c r="AO997" s="131">
        <v>1</v>
      </c>
      <c r="AP997" s="131">
        <v>1</v>
      </c>
      <c r="AQ997" s="131">
        <v>1</v>
      </c>
      <c r="AR997" s="131">
        <v>1</v>
      </c>
      <c r="AS997" s="131">
        <v>1</v>
      </c>
      <c r="AT997" s="131">
        <v>1</v>
      </c>
      <c r="AU997" s="131">
        <v>1</v>
      </c>
      <c r="AV997" s="131">
        <v>1</v>
      </c>
      <c r="AW997" s="131">
        <v>1</v>
      </c>
      <c r="AX997" s="131">
        <v>1</v>
      </c>
      <c r="AY997" s="131">
        <v>1</v>
      </c>
      <c r="AZ997" s="131">
        <v>1</v>
      </c>
      <c r="BA997" s="131">
        <v>1</v>
      </c>
      <c r="BB997" s="131">
        <v>1</v>
      </c>
      <c r="BC997" s="131">
        <f t="shared" si="232"/>
        <v>1</v>
      </c>
      <c r="BD997" s="131">
        <f t="shared" si="232"/>
        <v>1</v>
      </c>
      <c r="BE997" s="131">
        <f t="shared" si="232"/>
        <v>1</v>
      </c>
      <c r="BF997" s="131">
        <f t="shared" si="232"/>
        <v>1</v>
      </c>
      <c r="BG997" s="131">
        <f t="shared" si="232"/>
        <v>1</v>
      </c>
    </row>
    <row r="998" spans="1:59">
      <c r="A998" s="141" t="s">
        <v>644</v>
      </c>
      <c r="F998" s="168" t="s">
        <v>655</v>
      </c>
      <c r="G998" s="109" t="s">
        <v>656</v>
      </c>
      <c r="J998" s="109">
        <v>0</v>
      </c>
      <c r="K998" s="109">
        <v>0</v>
      </c>
      <c r="L998" s="109">
        <v>0</v>
      </c>
      <c r="M998" s="109">
        <v>0</v>
      </c>
      <c r="N998" s="109">
        <v>0</v>
      </c>
      <c r="O998" s="109">
        <v>0</v>
      </c>
      <c r="P998" s="109">
        <v>0</v>
      </c>
      <c r="Q998" s="109">
        <v>0</v>
      </c>
      <c r="R998" s="109">
        <v>0</v>
      </c>
      <c r="S998" s="109">
        <v>0</v>
      </c>
      <c r="T998" s="109">
        <v>0</v>
      </c>
      <c r="U998" s="109">
        <v>0</v>
      </c>
      <c r="V998" s="109">
        <v>0</v>
      </c>
      <c r="W998" s="109">
        <v>0</v>
      </c>
      <c r="X998" s="109">
        <v>0</v>
      </c>
      <c r="Y998" s="109">
        <v>0</v>
      </c>
      <c r="Z998" s="109">
        <v>0</v>
      </c>
      <c r="AA998" s="109">
        <v>0</v>
      </c>
      <c r="AB998" s="109">
        <v>0</v>
      </c>
      <c r="AC998" s="109">
        <v>0</v>
      </c>
      <c r="AD998" s="109">
        <v>0</v>
      </c>
      <c r="AE998" s="109">
        <v>0</v>
      </c>
      <c r="AF998" s="109">
        <v>0</v>
      </c>
      <c r="AG998" s="109">
        <v>0</v>
      </c>
      <c r="AH998" s="109">
        <v>0</v>
      </c>
      <c r="AI998" s="109">
        <v>0</v>
      </c>
      <c r="AJ998" s="109">
        <v>0</v>
      </c>
      <c r="AK998" s="109">
        <v>0</v>
      </c>
      <c r="AL998" s="109">
        <v>0</v>
      </c>
      <c r="AM998" s="109">
        <v>0</v>
      </c>
      <c r="AN998" s="109">
        <v>0</v>
      </c>
      <c r="AO998" s="109">
        <v>0</v>
      </c>
      <c r="AP998" s="109">
        <v>0</v>
      </c>
      <c r="AQ998" s="109">
        <v>0</v>
      </c>
      <c r="AR998" s="109">
        <v>0</v>
      </c>
      <c r="AS998" s="109">
        <v>0</v>
      </c>
      <c r="AT998" s="109">
        <v>0</v>
      </c>
      <c r="AU998" s="109">
        <v>0</v>
      </c>
      <c r="AV998" s="109">
        <v>0</v>
      </c>
      <c r="AW998" s="109">
        <v>0</v>
      </c>
      <c r="AX998" s="109">
        <v>0</v>
      </c>
      <c r="AY998" s="109">
        <v>0</v>
      </c>
      <c r="AZ998" s="109">
        <v>0</v>
      </c>
      <c r="BA998" s="109">
        <v>0</v>
      </c>
      <c r="BB998" s="109">
        <v>0</v>
      </c>
      <c r="BC998" s="109">
        <f t="shared" si="232"/>
        <v>0</v>
      </c>
      <c r="BD998" s="109">
        <f t="shared" si="232"/>
        <v>0</v>
      </c>
      <c r="BE998" s="109">
        <f t="shared" si="232"/>
        <v>0</v>
      </c>
      <c r="BF998" s="109">
        <f t="shared" si="232"/>
        <v>0</v>
      </c>
      <c r="BG998" s="109">
        <f t="shared" si="232"/>
        <v>0</v>
      </c>
    </row>
    <row r="999" spans="1:59">
      <c r="A999" s="141" t="s">
        <v>644</v>
      </c>
      <c r="F999" s="168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AG999" s="116"/>
      <c r="AH999" s="116"/>
    </row>
    <row r="1000" spans="1:59" s="109" customFormat="1" ht="15" customHeight="1">
      <c r="A1000" s="141" t="s">
        <v>644</v>
      </c>
      <c r="B1000" s="142"/>
      <c r="C1000" s="142"/>
      <c r="D1000" s="142"/>
      <c r="F1000" s="168" t="s">
        <v>657</v>
      </c>
      <c r="G1000" s="109" t="s">
        <v>3</v>
      </c>
      <c r="J1000" s="131">
        <v>1</v>
      </c>
      <c r="K1000" s="131">
        <v>1</v>
      </c>
      <c r="L1000" s="131">
        <v>1</v>
      </c>
      <c r="M1000" s="131">
        <v>1</v>
      </c>
      <c r="N1000" s="131">
        <v>1</v>
      </c>
      <c r="O1000" s="131">
        <v>1</v>
      </c>
      <c r="P1000" s="131">
        <v>1</v>
      </c>
      <c r="Q1000" s="131">
        <v>1</v>
      </c>
      <c r="R1000" s="131">
        <v>1</v>
      </c>
      <c r="S1000" s="131">
        <v>1</v>
      </c>
      <c r="T1000" s="131">
        <v>1</v>
      </c>
      <c r="U1000" s="131">
        <v>1</v>
      </c>
      <c r="V1000" s="131">
        <v>1</v>
      </c>
      <c r="W1000" s="131">
        <v>1</v>
      </c>
      <c r="X1000" s="131">
        <v>1</v>
      </c>
      <c r="Y1000" s="131">
        <v>1</v>
      </c>
      <c r="Z1000" s="131">
        <v>1</v>
      </c>
      <c r="AA1000" s="131">
        <v>1</v>
      </c>
      <c r="AB1000" s="131">
        <v>1</v>
      </c>
      <c r="AC1000" s="131">
        <v>1</v>
      </c>
      <c r="AD1000" s="131">
        <v>1</v>
      </c>
      <c r="AE1000" s="131">
        <v>1</v>
      </c>
      <c r="AF1000" s="131">
        <v>1</v>
      </c>
      <c r="AG1000" s="131">
        <v>1</v>
      </c>
      <c r="AH1000" s="131">
        <v>1</v>
      </c>
      <c r="AI1000" s="131">
        <v>1</v>
      </c>
      <c r="AJ1000" s="131">
        <v>1</v>
      </c>
      <c r="AK1000" s="131">
        <v>1</v>
      </c>
      <c r="AL1000" s="131">
        <v>1</v>
      </c>
      <c r="AM1000" s="131">
        <v>1</v>
      </c>
      <c r="AN1000" s="131">
        <v>1</v>
      </c>
      <c r="AO1000" s="131">
        <v>1</v>
      </c>
      <c r="AP1000" s="131">
        <v>1</v>
      </c>
      <c r="AQ1000" s="131">
        <v>1</v>
      </c>
      <c r="AR1000" s="131">
        <v>1</v>
      </c>
      <c r="AS1000" s="131">
        <v>1</v>
      </c>
      <c r="AT1000" s="131">
        <v>1</v>
      </c>
      <c r="AU1000" s="131">
        <v>1</v>
      </c>
      <c r="AV1000" s="131">
        <v>1</v>
      </c>
      <c r="AW1000" s="131">
        <v>1</v>
      </c>
      <c r="AX1000" s="131">
        <v>1</v>
      </c>
      <c r="AY1000" s="131">
        <v>1</v>
      </c>
      <c r="AZ1000" s="131">
        <v>1</v>
      </c>
      <c r="BA1000" s="131">
        <v>1</v>
      </c>
      <c r="BB1000" s="131">
        <v>1</v>
      </c>
      <c r="BC1000" s="131">
        <v>1</v>
      </c>
      <c r="BD1000" s="131">
        <v>1</v>
      </c>
      <c r="BE1000" s="131">
        <v>1</v>
      </c>
      <c r="BF1000" s="131">
        <v>1</v>
      </c>
      <c r="BG1000" s="131">
        <v>1</v>
      </c>
    </row>
    <row r="1001" spans="1:59" s="109" customFormat="1" ht="15" customHeight="1">
      <c r="A1001" s="141" t="s">
        <v>644</v>
      </c>
      <c r="B1001" s="142"/>
      <c r="C1001" s="142"/>
      <c r="D1001" s="142"/>
      <c r="F1001" s="168" t="s">
        <v>658</v>
      </c>
      <c r="G1001" s="109" t="s">
        <v>3</v>
      </c>
      <c r="J1001" s="131">
        <v>1</v>
      </c>
      <c r="K1001" s="131">
        <v>1</v>
      </c>
      <c r="L1001" s="131">
        <v>1</v>
      </c>
      <c r="M1001" s="131">
        <v>1</v>
      </c>
      <c r="N1001" s="131">
        <v>1</v>
      </c>
      <c r="O1001" s="131">
        <v>1</v>
      </c>
      <c r="P1001" s="131">
        <v>1</v>
      </c>
      <c r="Q1001" s="131">
        <v>1</v>
      </c>
      <c r="R1001" s="131">
        <v>1</v>
      </c>
      <c r="S1001" s="131">
        <v>1</v>
      </c>
      <c r="T1001" s="131">
        <v>1</v>
      </c>
      <c r="U1001" s="131">
        <v>1</v>
      </c>
      <c r="V1001" s="131">
        <v>1</v>
      </c>
      <c r="W1001" s="131">
        <v>1</v>
      </c>
      <c r="X1001" s="131">
        <v>1</v>
      </c>
      <c r="Y1001" s="131">
        <v>1</v>
      </c>
      <c r="Z1001" s="131">
        <v>1</v>
      </c>
      <c r="AA1001" s="131">
        <v>1</v>
      </c>
      <c r="AB1001" s="131">
        <v>1</v>
      </c>
      <c r="AC1001" s="131">
        <v>1</v>
      </c>
      <c r="AD1001" s="131">
        <v>1</v>
      </c>
      <c r="AE1001" s="131">
        <v>1</v>
      </c>
      <c r="AF1001" s="131">
        <v>1</v>
      </c>
      <c r="AG1001" s="131">
        <v>1</v>
      </c>
      <c r="AH1001" s="131">
        <v>1</v>
      </c>
      <c r="AI1001" s="131">
        <v>1</v>
      </c>
      <c r="AJ1001" s="131">
        <v>1</v>
      </c>
      <c r="AK1001" s="131">
        <v>1</v>
      </c>
      <c r="AL1001" s="131">
        <v>1</v>
      </c>
      <c r="AM1001" s="131">
        <v>1</v>
      </c>
      <c r="AN1001" s="131">
        <v>1</v>
      </c>
      <c r="AO1001" s="131">
        <v>1</v>
      </c>
      <c r="AP1001" s="131">
        <v>1</v>
      </c>
      <c r="AQ1001" s="131">
        <v>1</v>
      </c>
      <c r="AR1001" s="131">
        <v>1</v>
      </c>
      <c r="AS1001" s="131">
        <v>1</v>
      </c>
      <c r="AT1001" s="131">
        <v>1</v>
      </c>
      <c r="AU1001" s="131">
        <v>1</v>
      </c>
      <c r="AV1001" s="131">
        <v>1</v>
      </c>
      <c r="AW1001" s="131">
        <v>1</v>
      </c>
      <c r="AX1001" s="131">
        <v>1</v>
      </c>
      <c r="AY1001" s="131">
        <v>1</v>
      </c>
      <c r="AZ1001" s="131">
        <v>1</v>
      </c>
      <c r="BA1001" s="131">
        <v>1</v>
      </c>
      <c r="BB1001" s="131">
        <v>1</v>
      </c>
      <c r="BC1001" s="131">
        <v>1</v>
      </c>
      <c r="BD1001" s="131">
        <v>1</v>
      </c>
      <c r="BE1001" s="131">
        <v>1</v>
      </c>
      <c r="BF1001" s="131">
        <v>1</v>
      </c>
      <c r="BG1001" s="131">
        <v>1</v>
      </c>
    </row>
    <row r="1002" spans="1:59" s="109" customFormat="1" ht="15" customHeight="1">
      <c r="A1002" s="141" t="s">
        <v>644</v>
      </c>
      <c r="B1002" s="142"/>
      <c r="C1002" s="142"/>
      <c r="D1002" s="142"/>
      <c r="F1002" s="168" t="s">
        <v>659</v>
      </c>
      <c r="G1002" s="109" t="s">
        <v>3</v>
      </c>
      <c r="J1002" s="131">
        <v>1</v>
      </c>
      <c r="K1002" s="131">
        <v>1</v>
      </c>
      <c r="L1002" s="131">
        <v>1</v>
      </c>
      <c r="M1002" s="131">
        <v>1</v>
      </c>
      <c r="N1002" s="131">
        <v>1</v>
      </c>
      <c r="O1002" s="131">
        <v>1</v>
      </c>
      <c r="P1002" s="131">
        <v>1</v>
      </c>
      <c r="Q1002" s="131">
        <v>1</v>
      </c>
      <c r="R1002" s="131">
        <v>1</v>
      </c>
      <c r="S1002" s="131">
        <v>1</v>
      </c>
      <c r="T1002" s="131">
        <v>1</v>
      </c>
      <c r="U1002" s="131">
        <v>1</v>
      </c>
      <c r="V1002" s="131">
        <v>1</v>
      </c>
      <c r="W1002" s="131">
        <v>1</v>
      </c>
      <c r="X1002" s="131">
        <v>1</v>
      </c>
      <c r="Y1002" s="131">
        <v>1</v>
      </c>
      <c r="Z1002" s="131">
        <v>1</v>
      </c>
      <c r="AA1002" s="131">
        <v>1</v>
      </c>
      <c r="AB1002" s="131">
        <v>1</v>
      </c>
      <c r="AC1002" s="131">
        <v>1</v>
      </c>
      <c r="AD1002" s="131">
        <v>1</v>
      </c>
      <c r="AE1002" s="131">
        <v>1</v>
      </c>
      <c r="AF1002" s="131">
        <v>1</v>
      </c>
      <c r="AG1002" s="131">
        <v>1</v>
      </c>
      <c r="AH1002" s="131">
        <v>1</v>
      </c>
      <c r="AI1002" s="131">
        <v>1</v>
      </c>
      <c r="AJ1002" s="131">
        <v>1</v>
      </c>
      <c r="AK1002" s="131">
        <v>1</v>
      </c>
      <c r="AL1002" s="131">
        <v>1</v>
      </c>
      <c r="AM1002" s="131">
        <v>1</v>
      </c>
      <c r="AN1002" s="131">
        <v>1</v>
      </c>
      <c r="AO1002" s="131">
        <v>1</v>
      </c>
      <c r="AP1002" s="131">
        <v>1</v>
      </c>
      <c r="AQ1002" s="131">
        <v>1</v>
      </c>
      <c r="AR1002" s="131">
        <v>1</v>
      </c>
      <c r="AS1002" s="131">
        <v>1</v>
      </c>
      <c r="AT1002" s="131">
        <v>1</v>
      </c>
      <c r="AU1002" s="131">
        <v>1</v>
      </c>
      <c r="AV1002" s="131">
        <v>1</v>
      </c>
      <c r="AW1002" s="131">
        <v>1</v>
      </c>
      <c r="AX1002" s="131">
        <v>1</v>
      </c>
      <c r="AY1002" s="131">
        <v>1</v>
      </c>
      <c r="AZ1002" s="131">
        <v>1</v>
      </c>
      <c r="BA1002" s="131">
        <v>1</v>
      </c>
      <c r="BB1002" s="131">
        <v>1</v>
      </c>
      <c r="BC1002" s="131">
        <v>1</v>
      </c>
      <c r="BD1002" s="131">
        <v>1</v>
      </c>
      <c r="BE1002" s="131">
        <v>1</v>
      </c>
      <c r="BF1002" s="131">
        <v>1</v>
      </c>
      <c r="BG1002" s="131">
        <v>1</v>
      </c>
    </row>
    <row r="1003" spans="1:59" s="109" customFormat="1" ht="15" customHeight="1">
      <c r="A1003" s="141" t="s">
        <v>644</v>
      </c>
      <c r="B1003" s="142"/>
      <c r="C1003" s="142"/>
      <c r="D1003" s="142"/>
      <c r="F1003" s="168" t="s">
        <v>660</v>
      </c>
      <c r="G1003" s="109" t="s">
        <v>3</v>
      </c>
      <c r="J1003" s="131">
        <v>1</v>
      </c>
      <c r="K1003" s="131">
        <v>1</v>
      </c>
      <c r="L1003" s="131">
        <v>1</v>
      </c>
      <c r="M1003" s="131">
        <v>1</v>
      </c>
      <c r="N1003" s="131">
        <v>1</v>
      </c>
      <c r="O1003" s="131">
        <v>1</v>
      </c>
      <c r="P1003" s="131">
        <v>1</v>
      </c>
      <c r="Q1003" s="131">
        <v>1</v>
      </c>
      <c r="R1003" s="131">
        <v>1</v>
      </c>
      <c r="S1003" s="131">
        <v>1</v>
      </c>
      <c r="T1003" s="131">
        <v>1</v>
      </c>
      <c r="U1003" s="131">
        <v>1</v>
      </c>
      <c r="V1003" s="131">
        <v>1</v>
      </c>
      <c r="W1003" s="131">
        <v>1</v>
      </c>
      <c r="X1003" s="131">
        <v>1</v>
      </c>
      <c r="Y1003" s="131">
        <v>1</v>
      </c>
      <c r="Z1003" s="131">
        <v>1</v>
      </c>
      <c r="AA1003" s="131">
        <v>1</v>
      </c>
      <c r="AB1003" s="131">
        <v>1</v>
      </c>
      <c r="AC1003" s="131">
        <v>1</v>
      </c>
      <c r="AD1003" s="131">
        <v>1</v>
      </c>
      <c r="AE1003" s="131">
        <v>1</v>
      </c>
      <c r="AF1003" s="131">
        <v>1</v>
      </c>
      <c r="AG1003" s="131">
        <v>1</v>
      </c>
      <c r="AH1003" s="131">
        <v>1</v>
      </c>
      <c r="AI1003" s="131">
        <v>1</v>
      </c>
      <c r="AJ1003" s="131">
        <v>1</v>
      </c>
      <c r="AK1003" s="131">
        <v>1</v>
      </c>
      <c r="AL1003" s="131">
        <v>1</v>
      </c>
      <c r="AM1003" s="131">
        <v>1</v>
      </c>
      <c r="AN1003" s="131">
        <v>1</v>
      </c>
      <c r="AO1003" s="131">
        <v>1</v>
      </c>
      <c r="AP1003" s="131">
        <v>1</v>
      </c>
      <c r="AQ1003" s="131">
        <v>1</v>
      </c>
      <c r="AR1003" s="131">
        <v>1</v>
      </c>
      <c r="AS1003" s="131">
        <v>1</v>
      </c>
      <c r="AT1003" s="131">
        <v>1</v>
      </c>
      <c r="AU1003" s="131">
        <v>1</v>
      </c>
      <c r="AV1003" s="131">
        <v>1</v>
      </c>
      <c r="AW1003" s="131">
        <v>1</v>
      </c>
      <c r="AX1003" s="131">
        <v>1</v>
      </c>
      <c r="AY1003" s="131">
        <v>1</v>
      </c>
      <c r="AZ1003" s="131">
        <v>1</v>
      </c>
      <c r="BA1003" s="131">
        <v>1</v>
      </c>
      <c r="BB1003" s="131">
        <v>1</v>
      </c>
      <c r="BC1003" s="131">
        <v>1</v>
      </c>
      <c r="BD1003" s="131">
        <v>1</v>
      </c>
      <c r="BE1003" s="131">
        <v>1</v>
      </c>
      <c r="BF1003" s="131">
        <v>1</v>
      </c>
      <c r="BG1003" s="131">
        <v>1</v>
      </c>
    </row>
    <row r="1004" spans="1:59" s="109" customFormat="1" ht="15" customHeight="1">
      <c r="A1004" s="141" t="s">
        <v>644</v>
      </c>
      <c r="B1004" s="142"/>
      <c r="C1004" s="142"/>
      <c r="D1004" s="142"/>
      <c r="F1004" s="168" t="s">
        <v>661</v>
      </c>
      <c r="G1004" s="109" t="s">
        <v>3</v>
      </c>
      <c r="J1004" s="131">
        <v>1</v>
      </c>
      <c r="K1004" s="131">
        <v>1</v>
      </c>
      <c r="L1004" s="131">
        <v>1</v>
      </c>
      <c r="M1004" s="131">
        <v>1</v>
      </c>
      <c r="N1004" s="131">
        <v>1</v>
      </c>
      <c r="O1004" s="131">
        <v>1</v>
      </c>
      <c r="P1004" s="131">
        <v>1</v>
      </c>
      <c r="Q1004" s="131">
        <v>1</v>
      </c>
      <c r="R1004" s="131">
        <v>1</v>
      </c>
      <c r="S1004" s="131">
        <v>1</v>
      </c>
      <c r="T1004" s="131">
        <v>1</v>
      </c>
      <c r="U1004" s="131">
        <v>1</v>
      </c>
      <c r="V1004" s="131">
        <v>1</v>
      </c>
      <c r="W1004" s="131">
        <v>1</v>
      </c>
      <c r="X1004" s="131">
        <v>1</v>
      </c>
      <c r="Y1004" s="131">
        <v>1</v>
      </c>
      <c r="Z1004" s="131">
        <v>1</v>
      </c>
      <c r="AA1004" s="131">
        <v>1</v>
      </c>
      <c r="AB1004" s="131">
        <v>1</v>
      </c>
      <c r="AC1004" s="131">
        <v>1</v>
      </c>
      <c r="AD1004" s="131">
        <v>1</v>
      </c>
      <c r="AE1004" s="131">
        <v>1</v>
      </c>
      <c r="AF1004" s="131">
        <v>1</v>
      </c>
      <c r="AG1004" s="131">
        <v>1</v>
      </c>
      <c r="AH1004" s="131">
        <v>1</v>
      </c>
      <c r="AI1004" s="131">
        <v>1</v>
      </c>
      <c r="AJ1004" s="131">
        <v>1</v>
      </c>
      <c r="AK1004" s="131">
        <v>1</v>
      </c>
      <c r="AL1004" s="131">
        <v>1</v>
      </c>
      <c r="AM1004" s="131">
        <v>1</v>
      </c>
      <c r="AN1004" s="131">
        <v>1</v>
      </c>
      <c r="AO1004" s="131">
        <v>1</v>
      </c>
      <c r="AP1004" s="131">
        <v>1</v>
      </c>
      <c r="AQ1004" s="131">
        <v>1</v>
      </c>
      <c r="AR1004" s="131">
        <v>1</v>
      </c>
      <c r="AS1004" s="131">
        <v>1</v>
      </c>
      <c r="AT1004" s="131">
        <v>1</v>
      </c>
      <c r="AU1004" s="131">
        <v>1</v>
      </c>
      <c r="AV1004" s="131">
        <v>1</v>
      </c>
      <c r="AW1004" s="131">
        <v>1</v>
      </c>
      <c r="AX1004" s="131">
        <v>1</v>
      </c>
      <c r="AY1004" s="131">
        <v>1</v>
      </c>
      <c r="AZ1004" s="131">
        <v>1</v>
      </c>
      <c r="BA1004" s="131">
        <v>1</v>
      </c>
      <c r="BB1004" s="131">
        <v>1</v>
      </c>
      <c r="BC1004" s="131">
        <v>1</v>
      </c>
      <c r="BD1004" s="131">
        <v>1</v>
      </c>
      <c r="BE1004" s="131">
        <v>1</v>
      </c>
      <c r="BF1004" s="131">
        <v>1</v>
      </c>
      <c r="BG1004" s="131">
        <v>1</v>
      </c>
    </row>
    <row r="1005" spans="1:59" s="109" customFormat="1" ht="15" customHeight="1">
      <c r="A1005" s="141" t="s">
        <v>644</v>
      </c>
      <c r="B1005" s="142"/>
      <c r="C1005" s="142"/>
      <c r="D1005" s="142"/>
      <c r="F1005" s="168" t="s">
        <v>662</v>
      </c>
      <c r="G1005" s="109" t="s">
        <v>3</v>
      </c>
      <c r="J1005" s="131">
        <v>1</v>
      </c>
      <c r="K1005" s="131">
        <v>1</v>
      </c>
      <c r="L1005" s="131">
        <v>1</v>
      </c>
      <c r="M1005" s="131">
        <v>1</v>
      </c>
      <c r="N1005" s="131">
        <v>1</v>
      </c>
      <c r="O1005" s="131">
        <v>1</v>
      </c>
      <c r="P1005" s="131">
        <v>1</v>
      </c>
      <c r="Q1005" s="131">
        <v>1</v>
      </c>
      <c r="R1005" s="131">
        <v>1</v>
      </c>
      <c r="S1005" s="131">
        <v>1</v>
      </c>
      <c r="T1005" s="131">
        <v>1</v>
      </c>
      <c r="U1005" s="131">
        <v>1</v>
      </c>
      <c r="V1005" s="131">
        <v>1</v>
      </c>
      <c r="W1005" s="131">
        <v>1</v>
      </c>
      <c r="X1005" s="131">
        <v>1</v>
      </c>
      <c r="Y1005" s="131">
        <v>1</v>
      </c>
      <c r="Z1005" s="131">
        <v>1</v>
      </c>
      <c r="AA1005" s="131">
        <v>1</v>
      </c>
      <c r="AB1005" s="131">
        <v>1</v>
      </c>
      <c r="AC1005" s="131">
        <v>1</v>
      </c>
      <c r="AD1005" s="131">
        <v>1</v>
      </c>
      <c r="AE1005" s="131">
        <v>1</v>
      </c>
      <c r="AF1005" s="131">
        <v>1</v>
      </c>
      <c r="AG1005" s="131">
        <v>1</v>
      </c>
      <c r="AH1005" s="131">
        <v>1</v>
      </c>
      <c r="AI1005" s="131">
        <v>1</v>
      </c>
      <c r="AJ1005" s="131">
        <v>1</v>
      </c>
      <c r="AK1005" s="131">
        <v>1</v>
      </c>
      <c r="AL1005" s="131">
        <v>1</v>
      </c>
      <c r="AM1005" s="131">
        <v>1</v>
      </c>
      <c r="AN1005" s="131">
        <v>1</v>
      </c>
      <c r="AO1005" s="131">
        <v>1</v>
      </c>
      <c r="AP1005" s="131">
        <v>1</v>
      </c>
      <c r="AQ1005" s="131">
        <v>1</v>
      </c>
      <c r="AR1005" s="131">
        <v>1</v>
      </c>
      <c r="AS1005" s="131">
        <v>1</v>
      </c>
      <c r="AT1005" s="131">
        <v>1</v>
      </c>
      <c r="AU1005" s="131">
        <v>1</v>
      </c>
      <c r="AV1005" s="131">
        <v>1</v>
      </c>
      <c r="AW1005" s="131">
        <v>1</v>
      </c>
      <c r="AX1005" s="131">
        <v>1</v>
      </c>
      <c r="AY1005" s="131">
        <v>1</v>
      </c>
      <c r="AZ1005" s="131">
        <v>1</v>
      </c>
      <c r="BA1005" s="131">
        <v>1</v>
      </c>
      <c r="BB1005" s="131">
        <v>1</v>
      </c>
      <c r="BC1005" s="131">
        <v>1</v>
      </c>
      <c r="BD1005" s="131">
        <v>1</v>
      </c>
      <c r="BE1005" s="131">
        <v>1</v>
      </c>
      <c r="BF1005" s="131">
        <v>1</v>
      </c>
      <c r="BG1005" s="131">
        <v>1</v>
      </c>
    </row>
    <row r="1006" spans="1:59" s="109" customFormat="1" ht="15" customHeight="1">
      <c r="A1006" s="141" t="s">
        <v>644</v>
      </c>
      <c r="B1006" s="142"/>
      <c r="C1006" s="142"/>
      <c r="D1006" s="142"/>
      <c r="F1006" s="168" t="s">
        <v>663</v>
      </c>
      <c r="G1006" s="109" t="s">
        <v>3</v>
      </c>
      <c r="J1006" s="131">
        <v>1</v>
      </c>
      <c r="K1006" s="131">
        <v>1</v>
      </c>
      <c r="L1006" s="131">
        <v>1</v>
      </c>
      <c r="M1006" s="131">
        <v>1</v>
      </c>
      <c r="N1006" s="131">
        <v>1</v>
      </c>
      <c r="O1006" s="131">
        <v>1</v>
      </c>
      <c r="P1006" s="131">
        <v>1</v>
      </c>
      <c r="Q1006" s="131">
        <v>1</v>
      </c>
      <c r="R1006" s="131">
        <v>1</v>
      </c>
      <c r="S1006" s="131">
        <v>1</v>
      </c>
      <c r="T1006" s="131">
        <v>1</v>
      </c>
      <c r="U1006" s="131">
        <v>1</v>
      </c>
      <c r="V1006" s="131">
        <v>1</v>
      </c>
      <c r="W1006" s="131">
        <v>1</v>
      </c>
      <c r="X1006" s="131">
        <v>1</v>
      </c>
      <c r="Y1006" s="131">
        <v>1</v>
      </c>
      <c r="Z1006" s="131">
        <v>1</v>
      </c>
      <c r="AA1006" s="131">
        <v>1</v>
      </c>
      <c r="AB1006" s="131">
        <v>1</v>
      </c>
      <c r="AC1006" s="131">
        <v>1</v>
      </c>
      <c r="AD1006" s="131">
        <v>1</v>
      </c>
      <c r="AE1006" s="131">
        <v>1</v>
      </c>
      <c r="AF1006" s="131">
        <v>1</v>
      </c>
      <c r="AG1006" s="131">
        <v>1</v>
      </c>
      <c r="AH1006" s="131">
        <v>1</v>
      </c>
      <c r="AI1006" s="131">
        <v>1</v>
      </c>
      <c r="AJ1006" s="131">
        <v>1</v>
      </c>
      <c r="AK1006" s="131">
        <v>1</v>
      </c>
      <c r="AL1006" s="131">
        <v>1</v>
      </c>
      <c r="AM1006" s="131">
        <v>1</v>
      </c>
      <c r="AN1006" s="131">
        <v>1</v>
      </c>
      <c r="AO1006" s="131">
        <v>1</v>
      </c>
      <c r="AP1006" s="131">
        <v>1</v>
      </c>
      <c r="AQ1006" s="131">
        <v>1</v>
      </c>
      <c r="AR1006" s="131">
        <v>1</v>
      </c>
      <c r="AS1006" s="131">
        <v>1</v>
      </c>
      <c r="AT1006" s="131">
        <v>1</v>
      </c>
      <c r="AU1006" s="131">
        <v>1</v>
      </c>
      <c r="AV1006" s="131">
        <v>1</v>
      </c>
      <c r="AW1006" s="131">
        <v>1</v>
      </c>
      <c r="AX1006" s="131">
        <v>1</v>
      </c>
      <c r="AY1006" s="131">
        <v>1</v>
      </c>
      <c r="AZ1006" s="131">
        <v>1</v>
      </c>
      <c r="BA1006" s="131">
        <v>1</v>
      </c>
      <c r="BB1006" s="131">
        <v>1</v>
      </c>
      <c r="BC1006" s="131">
        <v>1</v>
      </c>
      <c r="BD1006" s="131">
        <v>1</v>
      </c>
      <c r="BE1006" s="131">
        <v>1</v>
      </c>
      <c r="BF1006" s="131">
        <v>1</v>
      </c>
      <c r="BG1006" s="131">
        <v>1</v>
      </c>
    </row>
    <row r="1007" spans="1:59" s="109" customFormat="1" ht="15" customHeight="1">
      <c r="A1007" s="141" t="s">
        <v>644</v>
      </c>
      <c r="B1007" s="142"/>
      <c r="C1007" s="142"/>
      <c r="D1007" s="142"/>
      <c r="F1007" s="168" t="s">
        <v>664</v>
      </c>
      <c r="G1007" s="109" t="s">
        <v>3</v>
      </c>
      <c r="J1007" s="131">
        <v>1</v>
      </c>
      <c r="K1007" s="131">
        <v>1</v>
      </c>
      <c r="L1007" s="131">
        <v>1</v>
      </c>
      <c r="M1007" s="131">
        <v>1</v>
      </c>
      <c r="N1007" s="131">
        <v>1</v>
      </c>
      <c r="O1007" s="131">
        <v>1</v>
      </c>
      <c r="P1007" s="131">
        <v>1</v>
      </c>
      <c r="Q1007" s="131">
        <v>1</v>
      </c>
      <c r="R1007" s="131">
        <v>1</v>
      </c>
      <c r="S1007" s="131">
        <v>1</v>
      </c>
      <c r="T1007" s="131">
        <v>1</v>
      </c>
      <c r="U1007" s="131">
        <v>1</v>
      </c>
      <c r="V1007" s="131">
        <v>1</v>
      </c>
      <c r="W1007" s="131">
        <v>1</v>
      </c>
      <c r="X1007" s="131">
        <v>1</v>
      </c>
      <c r="Y1007" s="131">
        <v>1</v>
      </c>
      <c r="Z1007" s="131">
        <v>1</v>
      </c>
      <c r="AA1007" s="131">
        <v>1</v>
      </c>
      <c r="AB1007" s="131">
        <v>1</v>
      </c>
      <c r="AC1007" s="131">
        <v>1</v>
      </c>
      <c r="AD1007" s="131">
        <v>1</v>
      </c>
      <c r="AE1007" s="131">
        <v>1</v>
      </c>
      <c r="AF1007" s="131">
        <v>1</v>
      </c>
      <c r="AG1007" s="131">
        <v>1</v>
      </c>
      <c r="AH1007" s="131">
        <v>1</v>
      </c>
      <c r="AI1007" s="131">
        <v>1</v>
      </c>
      <c r="AJ1007" s="131">
        <v>1</v>
      </c>
      <c r="AK1007" s="131">
        <v>1</v>
      </c>
      <c r="AL1007" s="131">
        <v>1</v>
      </c>
      <c r="AM1007" s="131">
        <v>1</v>
      </c>
      <c r="AN1007" s="131">
        <v>1</v>
      </c>
      <c r="AO1007" s="131">
        <v>1</v>
      </c>
      <c r="AP1007" s="131">
        <v>1</v>
      </c>
      <c r="AQ1007" s="131">
        <v>1</v>
      </c>
      <c r="AR1007" s="131">
        <v>1</v>
      </c>
      <c r="AS1007" s="131">
        <v>1</v>
      </c>
      <c r="AT1007" s="131">
        <v>1</v>
      </c>
      <c r="AU1007" s="131">
        <v>1</v>
      </c>
      <c r="AV1007" s="131">
        <v>1</v>
      </c>
      <c r="AW1007" s="131">
        <v>1</v>
      </c>
      <c r="AX1007" s="131">
        <v>1</v>
      </c>
      <c r="AY1007" s="131">
        <v>1</v>
      </c>
      <c r="AZ1007" s="131">
        <v>1</v>
      </c>
      <c r="BA1007" s="131">
        <v>1</v>
      </c>
      <c r="BB1007" s="131">
        <v>1</v>
      </c>
      <c r="BC1007" s="131">
        <v>1</v>
      </c>
      <c r="BD1007" s="131">
        <v>1</v>
      </c>
      <c r="BE1007" s="131">
        <v>1</v>
      </c>
      <c r="BF1007" s="131">
        <v>1</v>
      </c>
      <c r="BG1007" s="131">
        <v>1</v>
      </c>
    </row>
    <row r="1008" spans="1:59" s="109" customFormat="1" ht="15" customHeight="1">
      <c r="A1008" s="141" t="s">
        <v>644</v>
      </c>
      <c r="B1008" s="142"/>
      <c r="C1008" s="142"/>
      <c r="D1008" s="142"/>
      <c r="F1008" s="168" t="s">
        <v>665</v>
      </c>
      <c r="G1008" s="109" t="s">
        <v>3</v>
      </c>
      <c r="J1008" s="131">
        <v>1</v>
      </c>
      <c r="K1008" s="131">
        <v>1</v>
      </c>
      <c r="L1008" s="131">
        <v>1</v>
      </c>
      <c r="M1008" s="131">
        <v>1</v>
      </c>
      <c r="N1008" s="131">
        <v>1</v>
      </c>
      <c r="O1008" s="131">
        <v>1</v>
      </c>
      <c r="P1008" s="131">
        <v>1</v>
      </c>
      <c r="Q1008" s="131">
        <v>1</v>
      </c>
      <c r="R1008" s="131">
        <v>1</v>
      </c>
      <c r="S1008" s="131">
        <v>1</v>
      </c>
      <c r="T1008" s="131">
        <v>1</v>
      </c>
      <c r="U1008" s="131">
        <v>1</v>
      </c>
      <c r="V1008" s="131">
        <v>1</v>
      </c>
      <c r="W1008" s="131">
        <v>1</v>
      </c>
      <c r="X1008" s="131">
        <v>1</v>
      </c>
      <c r="Y1008" s="131">
        <v>1</v>
      </c>
      <c r="Z1008" s="131">
        <v>1</v>
      </c>
      <c r="AA1008" s="131">
        <v>1</v>
      </c>
      <c r="AB1008" s="131">
        <v>1</v>
      </c>
      <c r="AC1008" s="131">
        <v>1</v>
      </c>
      <c r="AD1008" s="131">
        <v>1</v>
      </c>
      <c r="AE1008" s="131">
        <v>1</v>
      </c>
      <c r="AF1008" s="131">
        <v>1</v>
      </c>
      <c r="AG1008" s="131">
        <v>1</v>
      </c>
      <c r="AH1008" s="131">
        <v>1</v>
      </c>
      <c r="AI1008" s="131">
        <v>1</v>
      </c>
      <c r="AJ1008" s="131">
        <v>1</v>
      </c>
      <c r="AK1008" s="131">
        <v>1</v>
      </c>
      <c r="AL1008" s="131">
        <v>1</v>
      </c>
      <c r="AM1008" s="131">
        <v>1</v>
      </c>
      <c r="AN1008" s="131">
        <v>1</v>
      </c>
      <c r="AO1008" s="131">
        <v>1</v>
      </c>
      <c r="AP1008" s="131">
        <v>1</v>
      </c>
      <c r="AQ1008" s="131">
        <v>1</v>
      </c>
      <c r="AR1008" s="131">
        <v>1</v>
      </c>
      <c r="AS1008" s="131">
        <v>1</v>
      </c>
      <c r="AT1008" s="131">
        <v>1</v>
      </c>
      <c r="AU1008" s="131">
        <v>1</v>
      </c>
      <c r="AV1008" s="131">
        <v>1</v>
      </c>
      <c r="AW1008" s="131">
        <v>1</v>
      </c>
      <c r="AX1008" s="131">
        <v>1</v>
      </c>
      <c r="AY1008" s="131">
        <v>1</v>
      </c>
      <c r="AZ1008" s="131">
        <v>1</v>
      </c>
      <c r="BA1008" s="131">
        <v>1</v>
      </c>
      <c r="BB1008" s="131">
        <v>1</v>
      </c>
      <c r="BC1008" s="131">
        <v>1</v>
      </c>
      <c r="BD1008" s="131">
        <v>1</v>
      </c>
      <c r="BE1008" s="131">
        <v>1</v>
      </c>
      <c r="BF1008" s="131">
        <v>1</v>
      </c>
      <c r="BG1008" s="131">
        <v>1</v>
      </c>
    </row>
    <row r="1009" spans="1:59" s="109" customFormat="1" ht="15" customHeight="1">
      <c r="A1009" s="141" t="s">
        <v>644</v>
      </c>
      <c r="B1009" s="142"/>
      <c r="C1009" s="142"/>
      <c r="D1009" s="142"/>
      <c r="F1009" s="168" t="s">
        <v>666</v>
      </c>
      <c r="G1009" s="109" t="s">
        <v>3</v>
      </c>
      <c r="J1009" s="131">
        <v>1</v>
      </c>
      <c r="K1009" s="131">
        <v>1</v>
      </c>
      <c r="L1009" s="131">
        <v>1</v>
      </c>
      <c r="M1009" s="131">
        <v>1</v>
      </c>
      <c r="N1009" s="131">
        <v>1</v>
      </c>
      <c r="O1009" s="131">
        <v>1</v>
      </c>
      <c r="P1009" s="131">
        <v>1</v>
      </c>
      <c r="Q1009" s="131">
        <v>1</v>
      </c>
      <c r="R1009" s="131">
        <v>1</v>
      </c>
      <c r="S1009" s="131">
        <v>1</v>
      </c>
      <c r="T1009" s="131">
        <v>1</v>
      </c>
      <c r="U1009" s="131">
        <v>1</v>
      </c>
      <c r="V1009" s="131">
        <v>1</v>
      </c>
      <c r="W1009" s="131">
        <v>1</v>
      </c>
      <c r="X1009" s="131">
        <v>1</v>
      </c>
      <c r="Y1009" s="131">
        <v>1</v>
      </c>
      <c r="Z1009" s="131">
        <v>1</v>
      </c>
      <c r="AA1009" s="131">
        <v>1</v>
      </c>
      <c r="AB1009" s="131">
        <v>1</v>
      </c>
      <c r="AC1009" s="131">
        <v>1</v>
      </c>
      <c r="AD1009" s="131">
        <v>1</v>
      </c>
      <c r="AE1009" s="131">
        <v>1</v>
      </c>
      <c r="AF1009" s="131">
        <v>1</v>
      </c>
      <c r="AG1009" s="131">
        <v>1</v>
      </c>
      <c r="AH1009" s="131">
        <v>1</v>
      </c>
      <c r="AI1009" s="131">
        <v>1</v>
      </c>
      <c r="AJ1009" s="131">
        <v>1</v>
      </c>
      <c r="AK1009" s="131">
        <v>1</v>
      </c>
      <c r="AL1009" s="131">
        <v>1</v>
      </c>
      <c r="AM1009" s="131">
        <v>1</v>
      </c>
      <c r="AN1009" s="131">
        <v>1</v>
      </c>
      <c r="AO1009" s="131">
        <v>1</v>
      </c>
      <c r="AP1009" s="131">
        <v>1</v>
      </c>
      <c r="AQ1009" s="131">
        <v>1</v>
      </c>
      <c r="AR1009" s="131">
        <v>1</v>
      </c>
      <c r="AS1009" s="131">
        <v>1</v>
      </c>
      <c r="AT1009" s="131">
        <v>1</v>
      </c>
      <c r="AU1009" s="131">
        <v>1</v>
      </c>
      <c r="AV1009" s="131">
        <v>1</v>
      </c>
      <c r="AW1009" s="131">
        <v>1</v>
      </c>
      <c r="AX1009" s="131">
        <v>1</v>
      </c>
      <c r="AY1009" s="131">
        <v>1</v>
      </c>
      <c r="AZ1009" s="131">
        <v>1</v>
      </c>
      <c r="BA1009" s="131">
        <v>1</v>
      </c>
      <c r="BB1009" s="131">
        <v>1</v>
      </c>
      <c r="BC1009" s="131">
        <v>1</v>
      </c>
      <c r="BD1009" s="131">
        <v>1</v>
      </c>
      <c r="BE1009" s="131">
        <v>1</v>
      </c>
      <c r="BF1009" s="131">
        <v>1</v>
      </c>
      <c r="BG1009" s="131">
        <v>1</v>
      </c>
    </row>
    <row r="1010" spans="1:59" s="109" customFormat="1" ht="15" customHeight="1">
      <c r="A1010" s="141" t="s">
        <v>644</v>
      </c>
      <c r="B1010" s="142"/>
      <c r="C1010" s="142"/>
      <c r="D1010" s="142"/>
      <c r="F1010" s="168" t="s">
        <v>667</v>
      </c>
      <c r="G1010" s="109" t="s">
        <v>3</v>
      </c>
      <c r="J1010" s="131">
        <v>1</v>
      </c>
      <c r="K1010" s="131">
        <v>1</v>
      </c>
      <c r="L1010" s="131">
        <v>1</v>
      </c>
      <c r="M1010" s="131">
        <v>1</v>
      </c>
      <c r="N1010" s="131">
        <v>1</v>
      </c>
      <c r="O1010" s="131">
        <v>1</v>
      </c>
      <c r="P1010" s="131">
        <v>1</v>
      </c>
      <c r="Q1010" s="131">
        <v>1</v>
      </c>
      <c r="R1010" s="131">
        <v>1</v>
      </c>
      <c r="S1010" s="131">
        <v>1</v>
      </c>
      <c r="T1010" s="131">
        <v>1</v>
      </c>
      <c r="U1010" s="131">
        <v>1</v>
      </c>
      <c r="V1010" s="131">
        <v>1</v>
      </c>
      <c r="W1010" s="131">
        <v>1</v>
      </c>
      <c r="X1010" s="131">
        <v>1</v>
      </c>
      <c r="Y1010" s="131">
        <v>1</v>
      </c>
      <c r="Z1010" s="131">
        <v>1</v>
      </c>
      <c r="AA1010" s="131">
        <v>1</v>
      </c>
      <c r="AB1010" s="131">
        <v>1</v>
      </c>
      <c r="AC1010" s="131">
        <v>1</v>
      </c>
      <c r="AD1010" s="131">
        <v>1</v>
      </c>
      <c r="AE1010" s="131">
        <v>1</v>
      </c>
      <c r="AF1010" s="131">
        <v>1</v>
      </c>
      <c r="AG1010" s="131">
        <v>1</v>
      </c>
      <c r="AH1010" s="131">
        <v>1</v>
      </c>
      <c r="AI1010" s="131">
        <v>1</v>
      </c>
      <c r="AJ1010" s="131">
        <v>1</v>
      </c>
      <c r="AK1010" s="131">
        <v>1</v>
      </c>
      <c r="AL1010" s="131">
        <v>1</v>
      </c>
      <c r="AM1010" s="131">
        <v>1</v>
      </c>
      <c r="AN1010" s="131">
        <v>1</v>
      </c>
      <c r="AO1010" s="131">
        <v>1</v>
      </c>
      <c r="AP1010" s="131">
        <v>1</v>
      </c>
      <c r="AQ1010" s="131">
        <v>1</v>
      </c>
      <c r="AR1010" s="131">
        <v>1</v>
      </c>
      <c r="AS1010" s="131">
        <v>1</v>
      </c>
      <c r="AT1010" s="131">
        <v>1</v>
      </c>
      <c r="AU1010" s="131">
        <v>1</v>
      </c>
      <c r="AV1010" s="131">
        <v>1</v>
      </c>
      <c r="AW1010" s="131">
        <v>1</v>
      </c>
      <c r="AX1010" s="131">
        <v>1</v>
      </c>
      <c r="AY1010" s="131">
        <v>1</v>
      </c>
      <c r="AZ1010" s="131">
        <v>1</v>
      </c>
      <c r="BA1010" s="131">
        <v>1</v>
      </c>
      <c r="BB1010" s="131">
        <v>1</v>
      </c>
      <c r="BC1010" s="131">
        <v>1</v>
      </c>
      <c r="BD1010" s="131">
        <v>1</v>
      </c>
      <c r="BE1010" s="131">
        <v>1</v>
      </c>
      <c r="BF1010" s="131">
        <v>1</v>
      </c>
      <c r="BG1010" s="131">
        <v>1</v>
      </c>
    </row>
    <row r="1011" spans="1:59" s="109" customFormat="1" ht="15" customHeight="1">
      <c r="A1011" s="141" t="s">
        <v>644</v>
      </c>
      <c r="B1011" s="142"/>
      <c r="C1011" s="142"/>
      <c r="D1011" s="142"/>
      <c r="F1011" s="168" t="s">
        <v>668</v>
      </c>
      <c r="G1011" s="109" t="s">
        <v>3</v>
      </c>
      <c r="J1011" s="131">
        <v>1</v>
      </c>
      <c r="K1011" s="131">
        <v>1</v>
      </c>
      <c r="L1011" s="131">
        <v>1</v>
      </c>
      <c r="M1011" s="131">
        <v>1</v>
      </c>
      <c r="N1011" s="131">
        <v>1</v>
      </c>
      <c r="O1011" s="131">
        <v>1</v>
      </c>
      <c r="P1011" s="131">
        <v>1</v>
      </c>
      <c r="Q1011" s="131">
        <v>1</v>
      </c>
      <c r="R1011" s="131">
        <v>1</v>
      </c>
      <c r="S1011" s="131">
        <v>1</v>
      </c>
      <c r="T1011" s="131">
        <v>1</v>
      </c>
      <c r="U1011" s="131">
        <v>1</v>
      </c>
      <c r="V1011" s="131">
        <v>1</v>
      </c>
      <c r="W1011" s="131">
        <v>1</v>
      </c>
      <c r="X1011" s="131">
        <v>1</v>
      </c>
      <c r="Y1011" s="131">
        <v>1</v>
      </c>
      <c r="Z1011" s="131">
        <v>1</v>
      </c>
      <c r="AA1011" s="131">
        <v>1</v>
      </c>
      <c r="AB1011" s="131">
        <v>1</v>
      </c>
      <c r="AC1011" s="131">
        <v>1</v>
      </c>
      <c r="AD1011" s="131">
        <v>1</v>
      </c>
      <c r="AE1011" s="131">
        <v>1</v>
      </c>
      <c r="AF1011" s="131">
        <v>1</v>
      </c>
      <c r="AG1011" s="131">
        <v>1</v>
      </c>
      <c r="AH1011" s="131">
        <v>1</v>
      </c>
      <c r="AI1011" s="131">
        <v>1</v>
      </c>
      <c r="AJ1011" s="131">
        <v>1</v>
      </c>
      <c r="AK1011" s="131">
        <v>1</v>
      </c>
      <c r="AL1011" s="131">
        <v>1</v>
      </c>
      <c r="AM1011" s="131">
        <v>1</v>
      </c>
      <c r="AN1011" s="131">
        <v>1</v>
      </c>
      <c r="AO1011" s="131">
        <v>1</v>
      </c>
      <c r="AP1011" s="131">
        <v>1</v>
      </c>
      <c r="AQ1011" s="131">
        <v>1</v>
      </c>
      <c r="AR1011" s="131">
        <v>1</v>
      </c>
      <c r="AS1011" s="131">
        <v>1</v>
      </c>
      <c r="AT1011" s="131">
        <v>1</v>
      </c>
      <c r="AU1011" s="131">
        <v>1</v>
      </c>
      <c r="AV1011" s="131">
        <v>1</v>
      </c>
      <c r="AW1011" s="131">
        <v>1</v>
      </c>
      <c r="AX1011" s="131">
        <v>1</v>
      </c>
      <c r="AY1011" s="131">
        <v>1</v>
      </c>
      <c r="AZ1011" s="131">
        <v>1</v>
      </c>
      <c r="BA1011" s="131">
        <v>1</v>
      </c>
      <c r="BB1011" s="131">
        <v>1</v>
      </c>
      <c r="BC1011" s="131">
        <v>1</v>
      </c>
      <c r="BD1011" s="131">
        <v>1</v>
      </c>
      <c r="BE1011" s="131">
        <v>1</v>
      </c>
      <c r="BF1011" s="131">
        <v>1</v>
      </c>
      <c r="BG1011" s="131">
        <v>1</v>
      </c>
    </row>
    <row r="1012" spans="1:59" s="109" customFormat="1" ht="15" customHeight="1">
      <c r="A1012" s="141" t="s">
        <v>644</v>
      </c>
      <c r="B1012" s="142"/>
      <c r="C1012" s="142"/>
      <c r="D1012" s="142"/>
      <c r="F1012" s="168" t="s">
        <v>669</v>
      </c>
      <c r="G1012" s="109" t="s">
        <v>3</v>
      </c>
      <c r="J1012" s="131">
        <v>1</v>
      </c>
      <c r="K1012" s="131">
        <v>1</v>
      </c>
      <c r="L1012" s="131">
        <v>1</v>
      </c>
      <c r="M1012" s="131">
        <v>1</v>
      </c>
      <c r="N1012" s="131">
        <v>1</v>
      </c>
      <c r="O1012" s="131">
        <v>1</v>
      </c>
      <c r="P1012" s="131">
        <v>1</v>
      </c>
      <c r="Q1012" s="131">
        <v>1</v>
      </c>
      <c r="R1012" s="131">
        <v>1</v>
      </c>
      <c r="S1012" s="131">
        <v>1</v>
      </c>
      <c r="T1012" s="131">
        <v>1</v>
      </c>
      <c r="U1012" s="131">
        <v>1</v>
      </c>
      <c r="V1012" s="131">
        <v>1</v>
      </c>
      <c r="W1012" s="131">
        <v>1</v>
      </c>
      <c r="X1012" s="131">
        <v>1</v>
      </c>
      <c r="Y1012" s="131">
        <v>1</v>
      </c>
      <c r="Z1012" s="131">
        <v>1</v>
      </c>
      <c r="AA1012" s="131">
        <v>1</v>
      </c>
      <c r="AB1012" s="131">
        <v>1</v>
      </c>
      <c r="AC1012" s="131">
        <v>1</v>
      </c>
      <c r="AD1012" s="131">
        <v>1</v>
      </c>
      <c r="AE1012" s="131">
        <v>1</v>
      </c>
      <c r="AF1012" s="131">
        <v>1</v>
      </c>
      <c r="AG1012" s="131">
        <v>1</v>
      </c>
      <c r="AH1012" s="131">
        <v>1</v>
      </c>
      <c r="AI1012" s="131">
        <v>1</v>
      </c>
      <c r="AJ1012" s="131">
        <v>1</v>
      </c>
      <c r="AK1012" s="131">
        <v>1</v>
      </c>
      <c r="AL1012" s="131">
        <v>1</v>
      </c>
      <c r="AM1012" s="131">
        <v>1</v>
      </c>
      <c r="AN1012" s="131">
        <v>1</v>
      </c>
      <c r="AO1012" s="131">
        <v>1</v>
      </c>
      <c r="AP1012" s="131">
        <v>1</v>
      </c>
      <c r="AQ1012" s="131">
        <v>1</v>
      </c>
      <c r="AR1012" s="131">
        <v>1</v>
      </c>
      <c r="AS1012" s="131">
        <v>1</v>
      </c>
      <c r="AT1012" s="131">
        <v>1</v>
      </c>
      <c r="AU1012" s="131">
        <v>1</v>
      </c>
      <c r="AV1012" s="131">
        <v>1</v>
      </c>
      <c r="AW1012" s="131">
        <v>1</v>
      </c>
      <c r="AX1012" s="131">
        <v>1</v>
      </c>
      <c r="AY1012" s="131">
        <v>1</v>
      </c>
      <c r="AZ1012" s="131">
        <v>1</v>
      </c>
      <c r="BA1012" s="131">
        <v>1</v>
      </c>
      <c r="BB1012" s="131">
        <v>1</v>
      </c>
      <c r="BC1012" s="131">
        <v>1</v>
      </c>
      <c r="BD1012" s="131">
        <v>1</v>
      </c>
      <c r="BE1012" s="131">
        <v>1</v>
      </c>
      <c r="BF1012" s="131">
        <v>1</v>
      </c>
      <c r="BG1012" s="131">
        <v>1</v>
      </c>
    </row>
    <row r="1013" spans="1:59" s="109" customFormat="1" ht="15" customHeight="1">
      <c r="A1013" s="141" t="s">
        <v>644</v>
      </c>
      <c r="B1013" s="142"/>
      <c r="C1013" s="142"/>
      <c r="D1013" s="142"/>
      <c r="F1013" s="168" t="s">
        <v>670</v>
      </c>
      <c r="G1013" s="109" t="s">
        <v>3</v>
      </c>
      <c r="J1013" s="131">
        <v>1</v>
      </c>
      <c r="K1013" s="131">
        <v>1</v>
      </c>
      <c r="L1013" s="131">
        <v>1</v>
      </c>
      <c r="M1013" s="131">
        <v>1</v>
      </c>
      <c r="N1013" s="131">
        <v>1</v>
      </c>
      <c r="O1013" s="131">
        <v>1</v>
      </c>
      <c r="P1013" s="131">
        <v>1</v>
      </c>
      <c r="Q1013" s="131">
        <v>1</v>
      </c>
      <c r="R1013" s="131">
        <v>1</v>
      </c>
      <c r="S1013" s="131">
        <v>1</v>
      </c>
      <c r="T1013" s="131">
        <v>1</v>
      </c>
      <c r="U1013" s="131">
        <v>1</v>
      </c>
      <c r="V1013" s="131">
        <v>1</v>
      </c>
      <c r="W1013" s="131">
        <v>1</v>
      </c>
      <c r="X1013" s="131">
        <v>1</v>
      </c>
      <c r="Y1013" s="131">
        <v>1</v>
      </c>
      <c r="Z1013" s="131">
        <v>1</v>
      </c>
      <c r="AA1013" s="131">
        <v>1</v>
      </c>
      <c r="AB1013" s="131">
        <v>1</v>
      </c>
      <c r="AC1013" s="131">
        <v>1</v>
      </c>
      <c r="AD1013" s="131">
        <v>1</v>
      </c>
      <c r="AE1013" s="131">
        <v>1</v>
      </c>
      <c r="AF1013" s="131">
        <v>1</v>
      </c>
      <c r="AG1013" s="131">
        <v>1</v>
      </c>
      <c r="AH1013" s="131">
        <v>1</v>
      </c>
      <c r="AI1013" s="131">
        <v>1</v>
      </c>
      <c r="AJ1013" s="131">
        <v>1</v>
      </c>
      <c r="AK1013" s="131">
        <v>1</v>
      </c>
      <c r="AL1013" s="131">
        <v>1</v>
      </c>
      <c r="AM1013" s="131">
        <v>1</v>
      </c>
      <c r="AN1013" s="131">
        <v>1</v>
      </c>
      <c r="AO1013" s="131">
        <v>1</v>
      </c>
      <c r="AP1013" s="131">
        <v>1</v>
      </c>
      <c r="AQ1013" s="131">
        <v>1</v>
      </c>
      <c r="AR1013" s="131">
        <v>1</v>
      </c>
      <c r="AS1013" s="131">
        <v>1</v>
      </c>
      <c r="AT1013" s="131">
        <v>1</v>
      </c>
      <c r="AU1013" s="131">
        <v>1</v>
      </c>
      <c r="AV1013" s="131">
        <v>1</v>
      </c>
      <c r="AW1013" s="131">
        <v>1</v>
      </c>
      <c r="AX1013" s="131">
        <v>1</v>
      </c>
      <c r="AY1013" s="131">
        <v>1</v>
      </c>
      <c r="AZ1013" s="131">
        <v>1</v>
      </c>
      <c r="BA1013" s="131">
        <v>1</v>
      </c>
      <c r="BB1013" s="131">
        <v>1</v>
      </c>
      <c r="BC1013" s="131">
        <v>1</v>
      </c>
      <c r="BD1013" s="131">
        <v>1</v>
      </c>
      <c r="BE1013" s="131">
        <v>1</v>
      </c>
      <c r="BF1013" s="131">
        <v>1</v>
      </c>
      <c r="BG1013" s="131">
        <v>1</v>
      </c>
    </row>
    <row r="1014" spans="1:59" s="109" customFormat="1" ht="15" customHeight="1">
      <c r="A1014" s="141" t="s">
        <v>644</v>
      </c>
      <c r="B1014" s="142"/>
      <c r="C1014" s="142"/>
      <c r="D1014" s="142"/>
      <c r="F1014" s="168" t="s">
        <v>671</v>
      </c>
      <c r="G1014" s="109" t="s">
        <v>3</v>
      </c>
      <c r="J1014" s="131">
        <v>1</v>
      </c>
      <c r="K1014" s="131">
        <v>1</v>
      </c>
      <c r="L1014" s="131">
        <v>1</v>
      </c>
      <c r="M1014" s="131">
        <v>1</v>
      </c>
      <c r="N1014" s="131">
        <v>1</v>
      </c>
      <c r="O1014" s="131">
        <v>1</v>
      </c>
      <c r="P1014" s="131">
        <v>1</v>
      </c>
      <c r="Q1014" s="131">
        <v>1</v>
      </c>
      <c r="R1014" s="131">
        <v>1</v>
      </c>
      <c r="S1014" s="131">
        <v>1</v>
      </c>
      <c r="T1014" s="131">
        <v>1</v>
      </c>
      <c r="U1014" s="131">
        <v>1</v>
      </c>
      <c r="V1014" s="131">
        <v>1</v>
      </c>
      <c r="W1014" s="131">
        <v>1</v>
      </c>
      <c r="X1014" s="131">
        <v>1</v>
      </c>
      <c r="Y1014" s="131">
        <v>1</v>
      </c>
      <c r="Z1014" s="131">
        <v>1</v>
      </c>
      <c r="AA1014" s="131">
        <v>1</v>
      </c>
      <c r="AB1014" s="131">
        <v>1</v>
      </c>
      <c r="AC1014" s="131">
        <v>1</v>
      </c>
      <c r="AD1014" s="131">
        <v>1</v>
      </c>
      <c r="AE1014" s="131">
        <v>1</v>
      </c>
      <c r="AF1014" s="131">
        <v>1</v>
      </c>
      <c r="AG1014" s="131">
        <v>1</v>
      </c>
      <c r="AH1014" s="131">
        <v>1</v>
      </c>
      <c r="AI1014" s="131">
        <v>1</v>
      </c>
      <c r="AJ1014" s="131">
        <v>1</v>
      </c>
      <c r="AK1014" s="131">
        <v>1</v>
      </c>
      <c r="AL1014" s="131">
        <v>1</v>
      </c>
      <c r="AM1014" s="131">
        <v>1</v>
      </c>
      <c r="AN1014" s="131">
        <v>1</v>
      </c>
      <c r="AO1014" s="131">
        <v>1</v>
      </c>
      <c r="AP1014" s="131">
        <v>1</v>
      </c>
      <c r="AQ1014" s="131">
        <v>1</v>
      </c>
      <c r="AR1014" s="131">
        <v>1</v>
      </c>
      <c r="AS1014" s="131">
        <v>1</v>
      </c>
      <c r="AT1014" s="131">
        <v>1</v>
      </c>
      <c r="AU1014" s="131">
        <v>1</v>
      </c>
      <c r="AV1014" s="131">
        <v>1</v>
      </c>
      <c r="AW1014" s="131">
        <v>1</v>
      </c>
      <c r="AX1014" s="131">
        <v>1</v>
      </c>
      <c r="AY1014" s="131">
        <v>1</v>
      </c>
      <c r="AZ1014" s="131">
        <v>1</v>
      </c>
      <c r="BA1014" s="131">
        <v>1</v>
      </c>
      <c r="BB1014" s="131">
        <v>1</v>
      </c>
      <c r="BC1014" s="131">
        <v>1</v>
      </c>
      <c r="BD1014" s="131">
        <v>1</v>
      </c>
      <c r="BE1014" s="131">
        <v>1</v>
      </c>
      <c r="BF1014" s="131">
        <v>1</v>
      </c>
      <c r="BG1014" s="131">
        <v>1</v>
      </c>
    </row>
    <row r="1015" spans="1:59" s="109" customFormat="1" ht="15" customHeight="1">
      <c r="A1015" s="141" t="s">
        <v>644</v>
      </c>
      <c r="B1015" s="142"/>
      <c r="C1015" s="142"/>
      <c r="D1015" s="142"/>
      <c r="F1015" s="168" t="s">
        <v>672</v>
      </c>
      <c r="G1015" s="109" t="s">
        <v>3</v>
      </c>
      <c r="J1015" s="131">
        <v>1</v>
      </c>
      <c r="K1015" s="131">
        <v>1</v>
      </c>
      <c r="L1015" s="131">
        <v>1</v>
      </c>
      <c r="M1015" s="131">
        <v>1</v>
      </c>
      <c r="N1015" s="131">
        <v>1</v>
      </c>
      <c r="O1015" s="131">
        <v>1</v>
      </c>
      <c r="P1015" s="131">
        <v>1</v>
      </c>
      <c r="Q1015" s="131">
        <v>1</v>
      </c>
      <c r="R1015" s="131">
        <v>1</v>
      </c>
      <c r="S1015" s="131">
        <v>1</v>
      </c>
      <c r="T1015" s="131">
        <v>1</v>
      </c>
      <c r="U1015" s="131">
        <v>1</v>
      </c>
      <c r="V1015" s="131">
        <v>1</v>
      </c>
      <c r="W1015" s="131">
        <v>1</v>
      </c>
      <c r="X1015" s="131">
        <v>1</v>
      </c>
      <c r="Y1015" s="131">
        <v>1</v>
      </c>
      <c r="Z1015" s="131">
        <v>1</v>
      </c>
      <c r="AA1015" s="131">
        <v>1</v>
      </c>
      <c r="AB1015" s="131">
        <v>1</v>
      </c>
      <c r="AC1015" s="131">
        <v>1</v>
      </c>
      <c r="AD1015" s="131">
        <v>1</v>
      </c>
      <c r="AE1015" s="131">
        <v>1</v>
      </c>
      <c r="AF1015" s="131">
        <v>1</v>
      </c>
      <c r="AG1015" s="131">
        <v>1</v>
      </c>
      <c r="AH1015" s="131">
        <v>1</v>
      </c>
      <c r="AI1015" s="131">
        <v>1</v>
      </c>
      <c r="AJ1015" s="131">
        <v>1</v>
      </c>
      <c r="AK1015" s="131">
        <v>1</v>
      </c>
      <c r="AL1015" s="131">
        <v>1</v>
      </c>
      <c r="AM1015" s="131">
        <v>1</v>
      </c>
      <c r="AN1015" s="131">
        <v>1</v>
      </c>
      <c r="AO1015" s="131">
        <v>1</v>
      </c>
      <c r="AP1015" s="131">
        <v>1</v>
      </c>
      <c r="AQ1015" s="131">
        <v>1</v>
      </c>
      <c r="AR1015" s="131">
        <v>1</v>
      </c>
      <c r="AS1015" s="131">
        <v>1</v>
      </c>
      <c r="AT1015" s="131">
        <v>1</v>
      </c>
      <c r="AU1015" s="131">
        <v>1</v>
      </c>
      <c r="AV1015" s="131">
        <v>1</v>
      </c>
      <c r="AW1015" s="131">
        <v>1</v>
      </c>
      <c r="AX1015" s="131">
        <v>1</v>
      </c>
      <c r="AY1015" s="131">
        <v>1</v>
      </c>
      <c r="AZ1015" s="131">
        <v>1</v>
      </c>
      <c r="BA1015" s="131">
        <v>1</v>
      </c>
      <c r="BB1015" s="131">
        <v>1</v>
      </c>
      <c r="BC1015" s="131">
        <v>1</v>
      </c>
      <c r="BD1015" s="131">
        <v>1</v>
      </c>
      <c r="BE1015" s="131">
        <v>1</v>
      </c>
      <c r="BF1015" s="131">
        <v>1</v>
      </c>
      <c r="BG1015" s="131">
        <v>1</v>
      </c>
    </row>
    <row r="1016" spans="1:59" s="109" customFormat="1" ht="15" customHeight="1">
      <c r="A1016" s="141" t="s">
        <v>644</v>
      </c>
      <c r="B1016" s="142"/>
      <c r="C1016" s="142"/>
      <c r="D1016" s="142"/>
      <c r="F1016" s="168" t="s">
        <v>673</v>
      </c>
      <c r="G1016" s="109" t="s">
        <v>3</v>
      </c>
      <c r="J1016" s="131">
        <v>1</v>
      </c>
      <c r="K1016" s="131">
        <v>1</v>
      </c>
      <c r="L1016" s="131">
        <v>1</v>
      </c>
      <c r="M1016" s="131">
        <v>1</v>
      </c>
      <c r="N1016" s="131">
        <v>1</v>
      </c>
      <c r="O1016" s="131">
        <v>1</v>
      </c>
      <c r="P1016" s="131">
        <v>1</v>
      </c>
      <c r="Q1016" s="131">
        <v>1</v>
      </c>
      <c r="R1016" s="131">
        <v>1</v>
      </c>
      <c r="S1016" s="131">
        <v>1</v>
      </c>
      <c r="T1016" s="131">
        <v>1</v>
      </c>
      <c r="U1016" s="131">
        <v>1</v>
      </c>
      <c r="V1016" s="131">
        <v>1</v>
      </c>
      <c r="W1016" s="131">
        <v>1</v>
      </c>
      <c r="X1016" s="131">
        <v>1</v>
      </c>
      <c r="Y1016" s="131">
        <v>1</v>
      </c>
      <c r="Z1016" s="131">
        <v>1</v>
      </c>
      <c r="AA1016" s="131">
        <v>1</v>
      </c>
      <c r="AB1016" s="131">
        <v>1</v>
      </c>
      <c r="AC1016" s="131">
        <v>1</v>
      </c>
      <c r="AD1016" s="131">
        <v>1</v>
      </c>
      <c r="AE1016" s="131">
        <v>1</v>
      </c>
      <c r="AF1016" s="131">
        <v>1</v>
      </c>
      <c r="AG1016" s="131">
        <v>1</v>
      </c>
      <c r="AH1016" s="131">
        <v>1</v>
      </c>
      <c r="AI1016" s="131">
        <v>1</v>
      </c>
      <c r="AJ1016" s="131">
        <v>1</v>
      </c>
      <c r="AK1016" s="131">
        <v>1</v>
      </c>
      <c r="AL1016" s="131">
        <v>1</v>
      </c>
      <c r="AM1016" s="131">
        <v>1</v>
      </c>
      <c r="AN1016" s="131">
        <v>1</v>
      </c>
      <c r="AO1016" s="131">
        <v>1</v>
      </c>
      <c r="AP1016" s="131">
        <v>1</v>
      </c>
      <c r="AQ1016" s="131">
        <v>1</v>
      </c>
      <c r="AR1016" s="131">
        <v>1</v>
      </c>
      <c r="AS1016" s="131">
        <v>1</v>
      </c>
      <c r="AT1016" s="131">
        <v>1</v>
      </c>
      <c r="AU1016" s="131">
        <v>1</v>
      </c>
      <c r="AV1016" s="131">
        <v>1</v>
      </c>
      <c r="AW1016" s="131">
        <v>1</v>
      </c>
      <c r="AX1016" s="131">
        <v>1</v>
      </c>
      <c r="AY1016" s="131">
        <v>1</v>
      </c>
      <c r="AZ1016" s="131">
        <v>1</v>
      </c>
      <c r="BA1016" s="131">
        <v>1</v>
      </c>
      <c r="BB1016" s="131">
        <v>1</v>
      </c>
      <c r="BC1016" s="131">
        <v>1</v>
      </c>
      <c r="BD1016" s="131">
        <v>1</v>
      </c>
      <c r="BE1016" s="131">
        <v>1</v>
      </c>
      <c r="BF1016" s="131">
        <v>1</v>
      </c>
      <c r="BG1016" s="131">
        <v>1</v>
      </c>
    </row>
    <row r="1017" spans="1:59" s="109" customFormat="1" ht="15" customHeight="1">
      <c r="A1017" s="141" t="s">
        <v>644</v>
      </c>
      <c r="B1017" s="142"/>
      <c r="C1017" s="142"/>
      <c r="D1017" s="142"/>
      <c r="F1017" s="168" t="s">
        <v>674</v>
      </c>
      <c r="G1017" s="109" t="s">
        <v>3</v>
      </c>
      <c r="J1017" s="131">
        <v>1</v>
      </c>
      <c r="K1017" s="131">
        <v>1</v>
      </c>
      <c r="L1017" s="131">
        <v>1</v>
      </c>
      <c r="M1017" s="131">
        <v>1</v>
      </c>
      <c r="N1017" s="131">
        <v>1</v>
      </c>
      <c r="O1017" s="131">
        <v>1</v>
      </c>
      <c r="P1017" s="131">
        <v>1</v>
      </c>
      <c r="Q1017" s="131">
        <v>1</v>
      </c>
      <c r="R1017" s="131">
        <v>1</v>
      </c>
      <c r="S1017" s="131">
        <v>1</v>
      </c>
      <c r="T1017" s="131">
        <v>1</v>
      </c>
      <c r="U1017" s="131">
        <v>1</v>
      </c>
      <c r="V1017" s="131">
        <v>1</v>
      </c>
      <c r="W1017" s="131">
        <v>1</v>
      </c>
      <c r="X1017" s="131">
        <v>1</v>
      </c>
      <c r="Y1017" s="131">
        <v>1</v>
      </c>
      <c r="Z1017" s="131">
        <v>1</v>
      </c>
      <c r="AA1017" s="131">
        <v>1</v>
      </c>
      <c r="AB1017" s="131">
        <v>1</v>
      </c>
      <c r="AC1017" s="131">
        <v>1</v>
      </c>
      <c r="AD1017" s="131">
        <v>1</v>
      </c>
      <c r="AE1017" s="131">
        <v>1</v>
      </c>
      <c r="AF1017" s="131">
        <v>1</v>
      </c>
      <c r="AG1017" s="131">
        <v>1</v>
      </c>
      <c r="AH1017" s="131">
        <v>1</v>
      </c>
      <c r="AI1017" s="131">
        <v>1</v>
      </c>
      <c r="AJ1017" s="131">
        <v>1</v>
      </c>
      <c r="AK1017" s="131">
        <v>1</v>
      </c>
      <c r="AL1017" s="131">
        <v>1</v>
      </c>
      <c r="AM1017" s="131">
        <v>1</v>
      </c>
      <c r="AN1017" s="131">
        <v>1</v>
      </c>
      <c r="AO1017" s="131">
        <v>1</v>
      </c>
      <c r="AP1017" s="131">
        <v>1</v>
      </c>
      <c r="AQ1017" s="131">
        <v>1</v>
      </c>
      <c r="AR1017" s="131">
        <v>1</v>
      </c>
      <c r="AS1017" s="131">
        <v>1</v>
      </c>
      <c r="AT1017" s="131">
        <v>1</v>
      </c>
      <c r="AU1017" s="131">
        <v>1</v>
      </c>
      <c r="AV1017" s="131">
        <v>1</v>
      </c>
      <c r="AW1017" s="131">
        <v>1</v>
      </c>
      <c r="AX1017" s="131">
        <v>1</v>
      </c>
      <c r="AY1017" s="131">
        <v>1</v>
      </c>
      <c r="AZ1017" s="131">
        <v>1</v>
      </c>
      <c r="BA1017" s="131">
        <v>1</v>
      </c>
      <c r="BB1017" s="131">
        <v>1</v>
      </c>
      <c r="BC1017" s="131">
        <v>1</v>
      </c>
      <c r="BD1017" s="131">
        <v>1</v>
      </c>
      <c r="BE1017" s="131">
        <v>1</v>
      </c>
      <c r="BF1017" s="131">
        <v>1</v>
      </c>
      <c r="BG1017" s="131">
        <v>1</v>
      </c>
    </row>
    <row r="1018" spans="1:59" s="109" customFormat="1" ht="15" customHeight="1">
      <c r="A1018" s="141" t="s">
        <v>644</v>
      </c>
      <c r="B1018" s="142"/>
      <c r="C1018" s="142"/>
      <c r="D1018" s="142"/>
      <c r="F1018" s="168" t="s">
        <v>675</v>
      </c>
      <c r="G1018" s="109" t="s">
        <v>3</v>
      </c>
      <c r="J1018" s="131">
        <v>1</v>
      </c>
      <c r="K1018" s="131">
        <v>1</v>
      </c>
      <c r="L1018" s="131">
        <v>1</v>
      </c>
      <c r="M1018" s="131">
        <v>1</v>
      </c>
      <c r="N1018" s="131">
        <v>1</v>
      </c>
      <c r="O1018" s="131">
        <v>1</v>
      </c>
      <c r="P1018" s="131">
        <v>1</v>
      </c>
      <c r="Q1018" s="131">
        <v>1</v>
      </c>
      <c r="R1018" s="131">
        <v>1</v>
      </c>
      <c r="S1018" s="131">
        <v>1</v>
      </c>
      <c r="T1018" s="131">
        <v>1</v>
      </c>
      <c r="U1018" s="131">
        <v>1</v>
      </c>
      <c r="V1018" s="131">
        <v>1</v>
      </c>
      <c r="W1018" s="131">
        <v>1</v>
      </c>
      <c r="X1018" s="131">
        <v>1</v>
      </c>
      <c r="Y1018" s="131">
        <v>1</v>
      </c>
      <c r="Z1018" s="131">
        <v>1</v>
      </c>
      <c r="AA1018" s="131">
        <v>1</v>
      </c>
      <c r="AB1018" s="131">
        <v>1</v>
      </c>
      <c r="AC1018" s="131">
        <v>1</v>
      </c>
      <c r="AD1018" s="131">
        <v>1</v>
      </c>
      <c r="AE1018" s="131">
        <v>1</v>
      </c>
      <c r="AF1018" s="131">
        <v>1</v>
      </c>
      <c r="AG1018" s="131">
        <v>1</v>
      </c>
      <c r="AH1018" s="131">
        <v>1</v>
      </c>
      <c r="AI1018" s="131">
        <v>1</v>
      </c>
      <c r="AJ1018" s="131">
        <v>1</v>
      </c>
      <c r="AK1018" s="131">
        <v>1</v>
      </c>
      <c r="AL1018" s="131">
        <v>1</v>
      </c>
      <c r="AM1018" s="131">
        <v>1</v>
      </c>
      <c r="AN1018" s="131">
        <v>1</v>
      </c>
      <c r="AO1018" s="131">
        <v>1</v>
      </c>
      <c r="AP1018" s="131">
        <v>1</v>
      </c>
      <c r="AQ1018" s="131">
        <v>1</v>
      </c>
      <c r="AR1018" s="131">
        <v>1</v>
      </c>
      <c r="AS1018" s="131">
        <v>1</v>
      </c>
      <c r="AT1018" s="131">
        <v>1</v>
      </c>
      <c r="AU1018" s="131">
        <v>1</v>
      </c>
      <c r="AV1018" s="131">
        <v>1</v>
      </c>
      <c r="AW1018" s="131">
        <v>1</v>
      </c>
      <c r="AX1018" s="131">
        <v>1</v>
      </c>
      <c r="AY1018" s="131">
        <v>1</v>
      </c>
      <c r="AZ1018" s="131">
        <v>1</v>
      </c>
      <c r="BA1018" s="131">
        <v>1</v>
      </c>
      <c r="BB1018" s="131">
        <v>1</v>
      </c>
      <c r="BC1018" s="131">
        <v>1</v>
      </c>
      <c r="BD1018" s="131">
        <v>1</v>
      </c>
      <c r="BE1018" s="131">
        <v>1</v>
      </c>
      <c r="BF1018" s="131">
        <v>1</v>
      </c>
      <c r="BG1018" s="131">
        <v>1</v>
      </c>
    </row>
    <row r="1019" spans="1:59" s="109" customFormat="1" ht="15" customHeight="1">
      <c r="A1019" s="141" t="s">
        <v>644</v>
      </c>
      <c r="B1019" s="142"/>
      <c r="C1019" s="142"/>
      <c r="D1019" s="142"/>
      <c r="F1019" s="168" t="s">
        <v>676</v>
      </c>
      <c r="G1019" s="109" t="s">
        <v>3</v>
      </c>
      <c r="J1019" s="131">
        <v>1</v>
      </c>
      <c r="K1019" s="131">
        <v>1</v>
      </c>
      <c r="L1019" s="131">
        <v>1</v>
      </c>
      <c r="M1019" s="131">
        <v>1</v>
      </c>
      <c r="N1019" s="131">
        <v>1</v>
      </c>
      <c r="O1019" s="131">
        <v>1</v>
      </c>
      <c r="P1019" s="131">
        <v>1</v>
      </c>
      <c r="Q1019" s="131">
        <v>1</v>
      </c>
      <c r="R1019" s="131">
        <v>1</v>
      </c>
      <c r="S1019" s="131">
        <v>1</v>
      </c>
      <c r="T1019" s="131">
        <v>1</v>
      </c>
      <c r="U1019" s="131">
        <v>1</v>
      </c>
      <c r="V1019" s="131">
        <v>1</v>
      </c>
      <c r="W1019" s="131">
        <v>1</v>
      </c>
      <c r="X1019" s="131">
        <v>1</v>
      </c>
      <c r="Y1019" s="131">
        <v>1</v>
      </c>
      <c r="Z1019" s="131">
        <v>1</v>
      </c>
      <c r="AA1019" s="131">
        <v>1</v>
      </c>
      <c r="AB1019" s="131">
        <v>1</v>
      </c>
      <c r="AC1019" s="131">
        <v>1</v>
      </c>
      <c r="AD1019" s="131">
        <v>1</v>
      </c>
      <c r="AE1019" s="131">
        <v>1</v>
      </c>
      <c r="AF1019" s="131">
        <v>1</v>
      </c>
      <c r="AG1019" s="131">
        <v>1</v>
      </c>
      <c r="AH1019" s="131">
        <v>1</v>
      </c>
      <c r="AI1019" s="131">
        <v>1</v>
      </c>
      <c r="AJ1019" s="131">
        <v>1</v>
      </c>
      <c r="AK1019" s="131">
        <v>1</v>
      </c>
      <c r="AL1019" s="131">
        <v>1</v>
      </c>
      <c r="AM1019" s="131">
        <v>1</v>
      </c>
      <c r="AN1019" s="131">
        <v>1</v>
      </c>
      <c r="AO1019" s="131">
        <v>1</v>
      </c>
      <c r="AP1019" s="131">
        <v>1</v>
      </c>
      <c r="AQ1019" s="131">
        <v>1</v>
      </c>
      <c r="AR1019" s="131">
        <v>1</v>
      </c>
      <c r="AS1019" s="131">
        <v>1</v>
      </c>
      <c r="AT1019" s="131">
        <v>1</v>
      </c>
      <c r="AU1019" s="131">
        <v>1</v>
      </c>
      <c r="AV1019" s="131">
        <v>1</v>
      </c>
      <c r="AW1019" s="131">
        <v>1</v>
      </c>
      <c r="AX1019" s="131">
        <v>1</v>
      </c>
      <c r="AY1019" s="131">
        <v>1</v>
      </c>
      <c r="AZ1019" s="131">
        <v>1</v>
      </c>
      <c r="BA1019" s="131">
        <v>1</v>
      </c>
      <c r="BB1019" s="131">
        <v>1</v>
      </c>
      <c r="BC1019" s="131">
        <v>1</v>
      </c>
      <c r="BD1019" s="131">
        <v>1</v>
      </c>
      <c r="BE1019" s="131">
        <v>1</v>
      </c>
      <c r="BF1019" s="131">
        <v>1</v>
      </c>
      <c r="BG1019" s="131">
        <v>1</v>
      </c>
    </row>
    <row r="1020" spans="1:59" s="109" customFormat="1" ht="15" customHeight="1">
      <c r="A1020" s="141" t="s">
        <v>644</v>
      </c>
      <c r="B1020" s="142"/>
      <c r="C1020" s="142"/>
      <c r="D1020" s="142"/>
      <c r="F1020" s="168" t="s">
        <v>677</v>
      </c>
      <c r="G1020" s="109" t="s">
        <v>3</v>
      </c>
      <c r="J1020" s="131">
        <v>1</v>
      </c>
      <c r="K1020" s="131">
        <v>1</v>
      </c>
      <c r="L1020" s="131">
        <v>1</v>
      </c>
      <c r="M1020" s="131">
        <v>1</v>
      </c>
      <c r="N1020" s="131">
        <v>1</v>
      </c>
      <c r="O1020" s="131">
        <v>1</v>
      </c>
      <c r="P1020" s="131">
        <v>1</v>
      </c>
      <c r="Q1020" s="131">
        <v>1</v>
      </c>
      <c r="R1020" s="131">
        <v>1</v>
      </c>
      <c r="S1020" s="131">
        <v>1</v>
      </c>
      <c r="T1020" s="131">
        <v>1</v>
      </c>
      <c r="U1020" s="131">
        <v>1</v>
      </c>
      <c r="V1020" s="131">
        <v>1</v>
      </c>
      <c r="W1020" s="131">
        <v>1</v>
      </c>
      <c r="X1020" s="131">
        <v>1</v>
      </c>
      <c r="Y1020" s="131">
        <v>1</v>
      </c>
      <c r="Z1020" s="131">
        <v>1</v>
      </c>
      <c r="AA1020" s="131">
        <v>1</v>
      </c>
      <c r="AB1020" s="131">
        <v>1</v>
      </c>
      <c r="AC1020" s="131">
        <v>1</v>
      </c>
      <c r="AD1020" s="131">
        <v>1</v>
      </c>
      <c r="AE1020" s="131">
        <v>1</v>
      </c>
      <c r="AF1020" s="131">
        <v>1</v>
      </c>
      <c r="AG1020" s="131">
        <v>1</v>
      </c>
      <c r="AH1020" s="131">
        <v>1</v>
      </c>
      <c r="AI1020" s="131">
        <v>1</v>
      </c>
      <c r="AJ1020" s="131">
        <v>1</v>
      </c>
      <c r="AK1020" s="131">
        <v>1</v>
      </c>
      <c r="AL1020" s="131">
        <v>1</v>
      </c>
      <c r="AM1020" s="131">
        <v>1</v>
      </c>
      <c r="AN1020" s="131">
        <v>1</v>
      </c>
      <c r="AO1020" s="131">
        <v>1</v>
      </c>
      <c r="AP1020" s="131">
        <v>1</v>
      </c>
      <c r="AQ1020" s="131">
        <v>1</v>
      </c>
      <c r="AR1020" s="131">
        <v>1</v>
      </c>
      <c r="AS1020" s="131">
        <v>1</v>
      </c>
      <c r="AT1020" s="131">
        <v>1</v>
      </c>
      <c r="AU1020" s="131">
        <v>1</v>
      </c>
      <c r="AV1020" s="131">
        <v>1</v>
      </c>
      <c r="AW1020" s="131">
        <v>1</v>
      </c>
      <c r="AX1020" s="131">
        <v>1</v>
      </c>
      <c r="AY1020" s="131">
        <v>1</v>
      </c>
      <c r="AZ1020" s="131">
        <v>1</v>
      </c>
      <c r="BA1020" s="131">
        <v>1</v>
      </c>
      <c r="BB1020" s="131">
        <v>1</v>
      </c>
      <c r="BC1020" s="131">
        <v>1</v>
      </c>
      <c r="BD1020" s="131">
        <v>1</v>
      </c>
      <c r="BE1020" s="131">
        <v>1</v>
      </c>
      <c r="BF1020" s="131">
        <v>1</v>
      </c>
      <c r="BG1020" s="131">
        <v>1</v>
      </c>
    </row>
    <row r="1021" spans="1:59" s="109" customFormat="1" ht="15" customHeight="1">
      <c r="A1021" s="141" t="s">
        <v>644</v>
      </c>
      <c r="B1021" s="142"/>
      <c r="C1021" s="142"/>
      <c r="D1021" s="142"/>
      <c r="F1021" s="168" t="s">
        <v>678</v>
      </c>
      <c r="G1021" s="109" t="s">
        <v>3</v>
      </c>
      <c r="J1021" s="131">
        <v>1</v>
      </c>
      <c r="K1021" s="131">
        <v>1</v>
      </c>
      <c r="L1021" s="131">
        <v>1</v>
      </c>
      <c r="M1021" s="131">
        <v>1</v>
      </c>
      <c r="N1021" s="131">
        <v>1</v>
      </c>
      <c r="O1021" s="131">
        <v>1</v>
      </c>
      <c r="P1021" s="131">
        <v>1</v>
      </c>
      <c r="Q1021" s="131">
        <v>1</v>
      </c>
      <c r="R1021" s="131">
        <v>1</v>
      </c>
      <c r="S1021" s="131">
        <v>1</v>
      </c>
      <c r="T1021" s="131">
        <v>1</v>
      </c>
      <c r="U1021" s="131">
        <v>1</v>
      </c>
      <c r="V1021" s="131">
        <v>1</v>
      </c>
      <c r="W1021" s="131">
        <v>1</v>
      </c>
      <c r="X1021" s="131">
        <v>1</v>
      </c>
      <c r="Y1021" s="131">
        <v>1</v>
      </c>
      <c r="Z1021" s="131">
        <v>1</v>
      </c>
      <c r="AA1021" s="131">
        <v>1</v>
      </c>
      <c r="AB1021" s="131">
        <v>1</v>
      </c>
      <c r="AC1021" s="131">
        <v>1</v>
      </c>
      <c r="AD1021" s="131">
        <v>1</v>
      </c>
      <c r="AE1021" s="131">
        <v>1</v>
      </c>
      <c r="AF1021" s="131">
        <v>1</v>
      </c>
      <c r="AG1021" s="131">
        <v>1</v>
      </c>
      <c r="AH1021" s="131">
        <v>1</v>
      </c>
      <c r="AI1021" s="131">
        <v>1</v>
      </c>
      <c r="AJ1021" s="131">
        <v>1</v>
      </c>
      <c r="AK1021" s="131">
        <v>1</v>
      </c>
      <c r="AL1021" s="131">
        <v>1</v>
      </c>
      <c r="AM1021" s="131">
        <v>1</v>
      </c>
      <c r="AN1021" s="131">
        <v>1</v>
      </c>
      <c r="AO1021" s="131">
        <v>1</v>
      </c>
      <c r="AP1021" s="131">
        <v>1</v>
      </c>
      <c r="AQ1021" s="131">
        <v>1</v>
      </c>
      <c r="AR1021" s="131">
        <v>1</v>
      </c>
      <c r="AS1021" s="131">
        <v>1</v>
      </c>
      <c r="AT1021" s="131">
        <v>1</v>
      </c>
      <c r="AU1021" s="131">
        <v>1</v>
      </c>
      <c r="AV1021" s="131">
        <v>1</v>
      </c>
      <c r="AW1021" s="131">
        <v>1</v>
      </c>
      <c r="AX1021" s="131">
        <v>1</v>
      </c>
      <c r="AY1021" s="131">
        <v>1</v>
      </c>
      <c r="AZ1021" s="131">
        <v>1</v>
      </c>
      <c r="BA1021" s="131">
        <v>1</v>
      </c>
      <c r="BB1021" s="131">
        <v>1</v>
      </c>
      <c r="BC1021" s="131">
        <v>1</v>
      </c>
      <c r="BD1021" s="131">
        <v>1</v>
      </c>
      <c r="BE1021" s="131">
        <v>1</v>
      </c>
      <c r="BF1021" s="131">
        <v>1</v>
      </c>
      <c r="BG1021" s="131">
        <v>1</v>
      </c>
    </row>
    <row r="1022" spans="1:59" s="109" customFormat="1" ht="15" customHeight="1">
      <c r="A1022" s="141" t="s">
        <v>644</v>
      </c>
      <c r="B1022" s="142"/>
      <c r="C1022" s="142"/>
      <c r="D1022" s="142"/>
      <c r="F1022" s="168" t="s">
        <v>679</v>
      </c>
      <c r="G1022" s="109" t="s">
        <v>3</v>
      </c>
      <c r="J1022" s="131">
        <v>1</v>
      </c>
      <c r="K1022" s="131">
        <v>1</v>
      </c>
      <c r="L1022" s="131">
        <v>1</v>
      </c>
      <c r="M1022" s="131">
        <v>1</v>
      </c>
      <c r="N1022" s="131">
        <v>1</v>
      </c>
      <c r="O1022" s="131">
        <v>1</v>
      </c>
      <c r="P1022" s="131">
        <v>1</v>
      </c>
      <c r="Q1022" s="131">
        <v>1</v>
      </c>
      <c r="R1022" s="131">
        <v>1</v>
      </c>
      <c r="S1022" s="131">
        <v>1</v>
      </c>
      <c r="T1022" s="131">
        <v>1</v>
      </c>
      <c r="U1022" s="131">
        <v>1</v>
      </c>
      <c r="V1022" s="131">
        <v>1</v>
      </c>
      <c r="W1022" s="131">
        <v>1</v>
      </c>
      <c r="X1022" s="131">
        <v>1</v>
      </c>
      <c r="Y1022" s="131">
        <v>1</v>
      </c>
      <c r="Z1022" s="131">
        <v>1</v>
      </c>
      <c r="AA1022" s="131">
        <v>1</v>
      </c>
      <c r="AB1022" s="131">
        <v>1</v>
      </c>
      <c r="AC1022" s="131">
        <v>1</v>
      </c>
      <c r="AD1022" s="131">
        <v>1</v>
      </c>
      <c r="AE1022" s="131">
        <v>1</v>
      </c>
      <c r="AF1022" s="131">
        <v>1</v>
      </c>
      <c r="AG1022" s="131">
        <v>1</v>
      </c>
      <c r="AH1022" s="131">
        <v>1</v>
      </c>
      <c r="AI1022" s="131">
        <v>1</v>
      </c>
      <c r="AJ1022" s="131">
        <v>1</v>
      </c>
      <c r="AK1022" s="131">
        <v>1</v>
      </c>
      <c r="AL1022" s="131">
        <v>1</v>
      </c>
      <c r="AM1022" s="131">
        <v>1</v>
      </c>
      <c r="AN1022" s="131">
        <v>1</v>
      </c>
      <c r="AO1022" s="131">
        <v>1</v>
      </c>
      <c r="AP1022" s="131">
        <v>1</v>
      </c>
      <c r="AQ1022" s="131">
        <v>1</v>
      </c>
      <c r="AR1022" s="131">
        <v>1</v>
      </c>
      <c r="AS1022" s="131">
        <v>1</v>
      </c>
      <c r="AT1022" s="131">
        <v>1</v>
      </c>
      <c r="AU1022" s="131">
        <v>1</v>
      </c>
      <c r="AV1022" s="131">
        <v>1</v>
      </c>
      <c r="AW1022" s="131">
        <v>1</v>
      </c>
      <c r="AX1022" s="131">
        <v>1</v>
      </c>
      <c r="AY1022" s="131">
        <v>1</v>
      </c>
      <c r="AZ1022" s="131">
        <v>1</v>
      </c>
      <c r="BA1022" s="131">
        <v>1</v>
      </c>
      <c r="BB1022" s="131">
        <v>1</v>
      </c>
      <c r="BC1022" s="131">
        <v>1</v>
      </c>
      <c r="BD1022" s="131">
        <v>1</v>
      </c>
      <c r="BE1022" s="131">
        <v>1</v>
      </c>
      <c r="BF1022" s="131">
        <v>1</v>
      </c>
      <c r="BG1022" s="131">
        <v>1</v>
      </c>
    </row>
    <row r="1023" spans="1:59" s="109" customFormat="1" ht="15" customHeight="1">
      <c r="A1023" s="141" t="s">
        <v>644</v>
      </c>
      <c r="B1023" s="142"/>
      <c r="C1023" s="142"/>
      <c r="D1023" s="142"/>
      <c r="F1023" s="168" t="s">
        <v>680</v>
      </c>
      <c r="G1023" s="109" t="s">
        <v>3</v>
      </c>
      <c r="J1023" s="131">
        <v>1</v>
      </c>
      <c r="K1023" s="131">
        <v>1</v>
      </c>
      <c r="L1023" s="131">
        <v>1</v>
      </c>
      <c r="M1023" s="131">
        <v>1</v>
      </c>
      <c r="N1023" s="131">
        <v>1</v>
      </c>
      <c r="O1023" s="131">
        <v>1</v>
      </c>
      <c r="P1023" s="131">
        <v>1</v>
      </c>
      <c r="Q1023" s="131">
        <v>1</v>
      </c>
      <c r="R1023" s="131">
        <v>1</v>
      </c>
      <c r="S1023" s="131">
        <v>1</v>
      </c>
      <c r="T1023" s="131">
        <v>1</v>
      </c>
      <c r="U1023" s="131">
        <v>1</v>
      </c>
      <c r="V1023" s="131">
        <v>1</v>
      </c>
      <c r="W1023" s="131">
        <v>1</v>
      </c>
      <c r="X1023" s="131">
        <v>1</v>
      </c>
      <c r="Y1023" s="131">
        <v>1</v>
      </c>
      <c r="Z1023" s="131">
        <v>1</v>
      </c>
      <c r="AA1023" s="131">
        <v>1</v>
      </c>
      <c r="AB1023" s="131">
        <v>1</v>
      </c>
      <c r="AC1023" s="131">
        <v>1</v>
      </c>
      <c r="AD1023" s="131">
        <v>1</v>
      </c>
      <c r="AE1023" s="131">
        <v>1</v>
      </c>
      <c r="AF1023" s="131">
        <v>1</v>
      </c>
      <c r="AG1023" s="131">
        <v>1</v>
      </c>
      <c r="AH1023" s="131">
        <v>1</v>
      </c>
      <c r="AI1023" s="131">
        <v>1</v>
      </c>
      <c r="AJ1023" s="131">
        <v>1</v>
      </c>
      <c r="AK1023" s="131">
        <v>1</v>
      </c>
      <c r="AL1023" s="131">
        <v>1</v>
      </c>
      <c r="AM1023" s="131">
        <v>1</v>
      </c>
      <c r="AN1023" s="131">
        <v>1</v>
      </c>
      <c r="AO1023" s="131">
        <v>1</v>
      </c>
      <c r="AP1023" s="131">
        <v>1</v>
      </c>
      <c r="AQ1023" s="131">
        <v>1</v>
      </c>
      <c r="AR1023" s="131">
        <v>1</v>
      </c>
      <c r="AS1023" s="131">
        <v>1</v>
      </c>
      <c r="AT1023" s="131">
        <v>1</v>
      </c>
      <c r="AU1023" s="131">
        <v>1</v>
      </c>
      <c r="AV1023" s="131">
        <v>1</v>
      </c>
      <c r="AW1023" s="131">
        <v>1</v>
      </c>
      <c r="AX1023" s="131">
        <v>1</v>
      </c>
      <c r="AY1023" s="131">
        <v>1</v>
      </c>
      <c r="AZ1023" s="131">
        <v>1</v>
      </c>
      <c r="BA1023" s="131">
        <v>1</v>
      </c>
      <c r="BB1023" s="131">
        <v>1</v>
      </c>
      <c r="BC1023" s="131">
        <v>1</v>
      </c>
      <c r="BD1023" s="131">
        <v>1</v>
      </c>
      <c r="BE1023" s="131">
        <v>1</v>
      </c>
      <c r="BF1023" s="131">
        <v>1</v>
      </c>
      <c r="BG1023" s="131">
        <v>1</v>
      </c>
    </row>
    <row r="1024" spans="1:59" s="109" customFormat="1" ht="15" customHeight="1">
      <c r="A1024" s="141" t="s">
        <v>644</v>
      </c>
      <c r="B1024" s="142"/>
      <c r="C1024" s="142"/>
      <c r="D1024" s="142"/>
      <c r="F1024" s="168" t="s">
        <v>681</v>
      </c>
      <c r="G1024" s="109" t="s">
        <v>3</v>
      </c>
      <c r="J1024" s="131">
        <v>1</v>
      </c>
      <c r="K1024" s="131">
        <v>1</v>
      </c>
      <c r="L1024" s="131">
        <v>1</v>
      </c>
      <c r="M1024" s="131">
        <v>1</v>
      </c>
      <c r="N1024" s="131">
        <v>1</v>
      </c>
      <c r="O1024" s="131">
        <v>1</v>
      </c>
      <c r="P1024" s="131">
        <v>1</v>
      </c>
      <c r="Q1024" s="131">
        <v>1</v>
      </c>
      <c r="R1024" s="131">
        <v>1</v>
      </c>
      <c r="S1024" s="131">
        <v>1</v>
      </c>
      <c r="T1024" s="131">
        <v>1</v>
      </c>
      <c r="U1024" s="131">
        <v>1</v>
      </c>
      <c r="V1024" s="131">
        <v>1</v>
      </c>
      <c r="W1024" s="131">
        <v>1</v>
      </c>
      <c r="X1024" s="131">
        <v>1</v>
      </c>
      <c r="Y1024" s="131">
        <v>1</v>
      </c>
      <c r="Z1024" s="131">
        <v>1</v>
      </c>
      <c r="AA1024" s="131">
        <v>1</v>
      </c>
      <c r="AB1024" s="131">
        <v>1</v>
      </c>
      <c r="AC1024" s="131">
        <v>1</v>
      </c>
      <c r="AD1024" s="131">
        <v>1</v>
      </c>
      <c r="AE1024" s="131">
        <v>1</v>
      </c>
      <c r="AF1024" s="131">
        <v>1</v>
      </c>
      <c r="AG1024" s="131">
        <v>1</v>
      </c>
      <c r="AH1024" s="131">
        <v>1</v>
      </c>
      <c r="AI1024" s="131">
        <v>1</v>
      </c>
      <c r="AJ1024" s="131">
        <v>1</v>
      </c>
      <c r="AK1024" s="131">
        <v>1</v>
      </c>
      <c r="AL1024" s="131">
        <v>1</v>
      </c>
      <c r="AM1024" s="131">
        <v>1</v>
      </c>
      <c r="AN1024" s="131">
        <v>1</v>
      </c>
      <c r="AO1024" s="131">
        <v>1</v>
      </c>
      <c r="AP1024" s="131">
        <v>1</v>
      </c>
      <c r="AQ1024" s="131">
        <v>1</v>
      </c>
      <c r="AR1024" s="131">
        <v>1</v>
      </c>
      <c r="AS1024" s="131">
        <v>1</v>
      </c>
      <c r="AT1024" s="131">
        <v>1</v>
      </c>
      <c r="AU1024" s="131">
        <v>1</v>
      </c>
      <c r="AV1024" s="131">
        <v>1</v>
      </c>
      <c r="AW1024" s="131">
        <v>1</v>
      </c>
      <c r="AX1024" s="131">
        <v>1</v>
      </c>
      <c r="AY1024" s="131">
        <v>1</v>
      </c>
      <c r="AZ1024" s="131">
        <v>1</v>
      </c>
      <c r="BA1024" s="131">
        <v>1</v>
      </c>
      <c r="BB1024" s="131">
        <v>1</v>
      </c>
      <c r="BC1024" s="131">
        <v>1</v>
      </c>
      <c r="BD1024" s="131">
        <v>1</v>
      </c>
      <c r="BE1024" s="131">
        <v>1</v>
      </c>
      <c r="BF1024" s="131">
        <v>1</v>
      </c>
      <c r="BG1024" s="131">
        <v>1</v>
      </c>
    </row>
    <row r="1025" spans="1:59" s="109" customFormat="1" ht="15" customHeight="1">
      <c r="A1025" s="141" t="s">
        <v>644</v>
      </c>
      <c r="B1025" s="142"/>
      <c r="C1025" s="142"/>
      <c r="D1025" s="142"/>
      <c r="F1025" s="168" t="s">
        <v>682</v>
      </c>
      <c r="G1025" s="109" t="s">
        <v>3</v>
      </c>
      <c r="J1025" s="131">
        <v>1</v>
      </c>
      <c r="K1025" s="131">
        <v>1</v>
      </c>
      <c r="L1025" s="131">
        <v>1</v>
      </c>
      <c r="M1025" s="131">
        <v>1</v>
      </c>
      <c r="N1025" s="131">
        <v>1</v>
      </c>
      <c r="O1025" s="131">
        <v>1</v>
      </c>
      <c r="P1025" s="131">
        <v>1</v>
      </c>
      <c r="Q1025" s="131">
        <v>1</v>
      </c>
      <c r="R1025" s="131">
        <v>1</v>
      </c>
      <c r="S1025" s="131">
        <v>1</v>
      </c>
      <c r="T1025" s="131">
        <v>1</v>
      </c>
      <c r="U1025" s="131">
        <v>1</v>
      </c>
      <c r="V1025" s="131">
        <v>1</v>
      </c>
      <c r="W1025" s="131">
        <v>1</v>
      </c>
      <c r="X1025" s="131">
        <v>1</v>
      </c>
      <c r="Y1025" s="131">
        <v>1</v>
      </c>
      <c r="Z1025" s="131">
        <v>1</v>
      </c>
      <c r="AA1025" s="131">
        <v>1</v>
      </c>
      <c r="AB1025" s="131">
        <v>1</v>
      </c>
      <c r="AC1025" s="131">
        <v>1</v>
      </c>
      <c r="AD1025" s="131">
        <v>1</v>
      </c>
      <c r="AE1025" s="131">
        <v>1</v>
      </c>
      <c r="AF1025" s="131">
        <v>1</v>
      </c>
      <c r="AG1025" s="131">
        <v>1</v>
      </c>
      <c r="AH1025" s="131">
        <v>1</v>
      </c>
      <c r="AI1025" s="131">
        <v>1</v>
      </c>
      <c r="AJ1025" s="131">
        <v>1</v>
      </c>
      <c r="AK1025" s="131">
        <v>1</v>
      </c>
      <c r="AL1025" s="131">
        <v>1</v>
      </c>
      <c r="AM1025" s="131">
        <v>1</v>
      </c>
      <c r="AN1025" s="131">
        <v>1</v>
      </c>
      <c r="AO1025" s="131">
        <v>1</v>
      </c>
      <c r="AP1025" s="131">
        <v>1</v>
      </c>
      <c r="AQ1025" s="131">
        <v>1</v>
      </c>
      <c r="AR1025" s="131">
        <v>1</v>
      </c>
      <c r="AS1025" s="131">
        <v>1</v>
      </c>
      <c r="AT1025" s="131">
        <v>1</v>
      </c>
      <c r="AU1025" s="131">
        <v>1</v>
      </c>
      <c r="AV1025" s="131">
        <v>1</v>
      </c>
      <c r="AW1025" s="131">
        <v>1</v>
      </c>
      <c r="AX1025" s="131">
        <v>1</v>
      </c>
      <c r="AY1025" s="131">
        <v>1</v>
      </c>
      <c r="AZ1025" s="131">
        <v>1</v>
      </c>
      <c r="BA1025" s="131">
        <v>1</v>
      </c>
      <c r="BB1025" s="131">
        <v>1</v>
      </c>
      <c r="BC1025" s="131">
        <v>1</v>
      </c>
      <c r="BD1025" s="131">
        <v>1</v>
      </c>
      <c r="BE1025" s="131">
        <v>1</v>
      </c>
      <c r="BF1025" s="131">
        <v>1</v>
      </c>
      <c r="BG1025" s="131">
        <v>1</v>
      </c>
    </row>
    <row r="1026" spans="1:59" s="109" customFormat="1" ht="15" customHeight="1">
      <c r="A1026" s="141" t="s">
        <v>644</v>
      </c>
      <c r="B1026" s="142"/>
      <c r="C1026" s="142"/>
      <c r="D1026" s="142"/>
      <c r="F1026" s="168" t="s">
        <v>683</v>
      </c>
      <c r="G1026" s="109" t="s">
        <v>3</v>
      </c>
      <c r="J1026" s="131">
        <v>1</v>
      </c>
      <c r="K1026" s="131">
        <v>1</v>
      </c>
      <c r="L1026" s="131">
        <v>1</v>
      </c>
      <c r="M1026" s="131">
        <v>1</v>
      </c>
      <c r="N1026" s="131">
        <v>1</v>
      </c>
      <c r="O1026" s="131">
        <v>1</v>
      </c>
      <c r="P1026" s="131">
        <v>1</v>
      </c>
      <c r="Q1026" s="131">
        <v>1</v>
      </c>
      <c r="R1026" s="131">
        <v>1</v>
      </c>
      <c r="S1026" s="131">
        <v>1</v>
      </c>
      <c r="T1026" s="131">
        <v>1</v>
      </c>
      <c r="U1026" s="131">
        <v>1</v>
      </c>
      <c r="V1026" s="131">
        <v>1</v>
      </c>
      <c r="W1026" s="131">
        <v>1</v>
      </c>
      <c r="X1026" s="131">
        <v>1</v>
      </c>
      <c r="Y1026" s="131">
        <v>1</v>
      </c>
      <c r="Z1026" s="131">
        <v>1</v>
      </c>
      <c r="AA1026" s="131">
        <v>1</v>
      </c>
      <c r="AB1026" s="131">
        <v>1</v>
      </c>
      <c r="AC1026" s="131">
        <v>1</v>
      </c>
      <c r="AD1026" s="131">
        <v>1</v>
      </c>
      <c r="AE1026" s="131">
        <v>1</v>
      </c>
      <c r="AF1026" s="131">
        <v>1</v>
      </c>
      <c r="AG1026" s="131">
        <v>1</v>
      </c>
      <c r="AH1026" s="131">
        <v>1</v>
      </c>
      <c r="AI1026" s="131">
        <v>1</v>
      </c>
      <c r="AJ1026" s="131">
        <v>1</v>
      </c>
      <c r="AK1026" s="131">
        <v>1</v>
      </c>
      <c r="AL1026" s="131">
        <v>1</v>
      </c>
      <c r="AM1026" s="131">
        <v>1</v>
      </c>
      <c r="AN1026" s="131">
        <v>1</v>
      </c>
      <c r="AO1026" s="131">
        <v>1</v>
      </c>
      <c r="AP1026" s="131">
        <v>1</v>
      </c>
      <c r="AQ1026" s="131">
        <v>1</v>
      </c>
      <c r="AR1026" s="131">
        <v>1</v>
      </c>
      <c r="AS1026" s="131">
        <v>1</v>
      </c>
      <c r="AT1026" s="131">
        <v>1</v>
      </c>
      <c r="AU1026" s="131">
        <v>1</v>
      </c>
      <c r="AV1026" s="131">
        <v>1</v>
      </c>
      <c r="AW1026" s="131">
        <v>1</v>
      </c>
      <c r="AX1026" s="131">
        <v>1</v>
      </c>
      <c r="AY1026" s="131">
        <v>1</v>
      </c>
      <c r="AZ1026" s="131">
        <v>1</v>
      </c>
      <c r="BA1026" s="131">
        <v>1</v>
      </c>
      <c r="BB1026" s="131">
        <v>1</v>
      </c>
      <c r="BC1026" s="131">
        <v>1</v>
      </c>
      <c r="BD1026" s="131">
        <v>1</v>
      </c>
      <c r="BE1026" s="131">
        <v>1</v>
      </c>
      <c r="BF1026" s="131">
        <v>1</v>
      </c>
      <c r="BG1026" s="131">
        <v>1</v>
      </c>
    </row>
    <row r="1027" spans="1:59" s="109" customFormat="1" ht="15" customHeight="1">
      <c r="A1027" s="141"/>
      <c r="B1027" s="142"/>
      <c r="C1027" s="142"/>
      <c r="D1027" s="142"/>
      <c r="F1027" s="168"/>
      <c r="W1027" s="116"/>
      <c r="X1027" s="116"/>
      <c r="Y1027" s="116"/>
      <c r="Z1027" s="116"/>
      <c r="AA1027" s="116"/>
      <c r="AB1027" s="116"/>
      <c r="AC1027" s="116"/>
      <c r="AD1027" s="116"/>
      <c r="AE1027" s="116"/>
      <c r="AF1027" s="116"/>
      <c r="AG1027" s="116"/>
      <c r="AH1027" s="116"/>
    </row>
    <row r="1028" spans="1:59" s="109" customFormat="1" ht="16">
      <c r="A1028" s="141" t="s">
        <v>644</v>
      </c>
      <c r="B1028" s="142"/>
      <c r="C1028" s="142"/>
      <c r="D1028" s="142"/>
      <c r="F1028" s="168" t="s">
        <v>684</v>
      </c>
      <c r="W1028" s="116"/>
      <c r="X1028" s="116"/>
      <c r="Y1028" s="116"/>
      <c r="Z1028" s="116"/>
      <c r="AA1028" s="116"/>
      <c r="AB1028" s="116"/>
      <c r="AC1028" s="116"/>
      <c r="AD1028" s="116"/>
      <c r="AE1028" s="181">
        <v>1.5516523030848235</v>
      </c>
      <c r="AF1028" s="181">
        <v>-74.575187092203706</v>
      </c>
      <c r="AG1028" s="181">
        <v>0.89362685093965399</v>
      </c>
      <c r="AH1028" s="181">
        <v>1.9551238251373828</v>
      </c>
      <c r="AI1028" s="181">
        <v>0.96068981158321987</v>
      </c>
      <c r="AJ1028" s="181">
        <v>0.96081210290213748</v>
      </c>
      <c r="AK1028" s="181">
        <v>0.96101934077126083</v>
      </c>
      <c r="AL1028" s="181">
        <v>0.95322986611878746</v>
      </c>
      <c r="AM1028" s="181">
        <v>0.96142248559337784</v>
      </c>
      <c r="AN1028" s="181">
        <v>0.96161809398232034</v>
      </c>
      <c r="AO1028" s="181">
        <v>0.96180955370536059</v>
      </c>
      <c r="AP1028" s="181">
        <v>0.96464452814601809</v>
      </c>
      <c r="AQ1028" s="181">
        <v>0.95155674283881553</v>
      </c>
      <c r="AR1028" s="181">
        <v>0.96235802134721826</v>
      </c>
      <c r="AS1028" s="181">
        <v>0.96253194377340412</v>
      </c>
      <c r="AT1028" s="181">
        <v>0.9653516631546043</v>
      </c>
      <c r="AU1028" s="181">
        <v>0.96286612031799013</v>
      </c>
      <c r="AV1028" s="181">
        <v>0.95239107676007917</v>
      </c>
      <c r="AW1028" s="181">
        <v>0.9631819039582763</v>
      </c>
      <c r="AX1028" s="181">
        <v>0.96598552685072803</v>
      </c>
      <c r="AY1028" s="181">
        <v>0.96347926959746888</v>
      </c>
      <c r="AZ1028" s="181">
        <v>0.96347926959746888</v>
      </c>
      <c r="BA1028" s="181">
        <v>0.96347926959746888</v>
      </c>
      <c r="BB1028" s="181">
        <v>0.96347926959746888</v>
      </c>
      <c r="BC1028" s="181">
        <v>0.96347926959746888</v>
      </c>
      <c r="BD1028" s="181">
        <v>0.96347926959746888</v>
      </c>
      <c r="BE1028" s="181">
        <v>0.96347926959746888</v>
      </c>
      <c r="BF1028" s="181">
        <v>0.96347926959746888</v>
      </c>
      <c r="BG1028" s="181">
        <v>0.96347926959746888</v>
      </c>
    </row>
    <row r="1029" spans="1:59" s="109" customFormat="1" ht="16">
      <c r="A1029" s="141" t="s">
        <v>644</v>
      </c>
      <c r="B1029" s="142"/>
      <c r="C1029" s="142"/>
      <c r="D1029" s="142"/>
      <c r="F1029" s="168" t="s">
        <v>685</v>
      </c>
      <c r="W1029" s="116"/>
      <c r="X1029" s="116"/>
      <c r="Y1029" s="116"/>
      <c r="Z1029" s="116"/>
      <c r="AA1029" s="116"/>
      <c r="AB1029" s="116"/>
      <c r="AC1029" s="116"/>
      <c r="AD1029" s="116"/>
      <c r="AE1029" s="181">
        <v>1.4612461492751834</v>
      </c>
      <c r="AF1029" s="181">
        <v>-42.223088772134844</v>
      </c>
      <c r="AG1029" s="181">
        <v>2.2892956877951569</v>
      </c>
      <c r="AH1029" s="181">
        <v>0.47612489879528336</v>
      </c>
      <c r="AI1029" s="181">
        <v>1.027973744573573</v>
      </c>
      <c r="AJ1029" s="181">
        <v>1.0280213364040891</v>
      </c>
      <c r="AK1029" s="181">
        <v>1.0281019428245688</v>
      </c>
      <c r="AL1029" s="181">
        <v>1.0310103816661549</v>
      </c>
      <c r="AM1029" s="181">
        <v>1.0282585904515427</v>
      </c>
      <c r="AN1029" s="181">
        <v>1.028334521699416</v>
      </c>
      <c r="AO1029" s="181">
        <v>1.0284087949826326</v>
      </c>
      <c r="AP1029" s="181">
        <v>1.0313122791088298</v>
      </c>
      <c r="AQ1029" s="181">
        <v>1.0285522159082916</v>
      </c>
      <c r="AR1029" s="181">
        <v>1.0286213027569351</v>
      </c>
      <c r="AS1029" s="181">
        <v>1.0286886097599002</v>
      </c>
      <c r="AT1029" s="181">
        <v>1.0315864595025204</v>
      </c>
      <c r="AU1029" s="181">
        <v>1.0288178254753741</v>
      </c>
      <c r="AV1029" s="181">
        <v>1.02887971801272</v>
      </c>
      <c r="AW1029" s="181">
        <v>1.0289397978523125</v>
      </c>
      <c r="AX1029" s="181">
        <v>1.0318316879710783</v>
      </c>
      <c r="AY1029" s="181">
        <v>1.0290545395809354</v>
      </c>
      <c r="AZ1029" s="181">
        <v>1.0290545395809354</v>
      </c>
      <c r="BA1029" s="181">
        <v>1.0290545395809354</v>
      </c>
      <c r="BB1029" s="181">
        <v>1.0290545395809354</v>
      </c>
      <c r="BC1029" s="181">
        <v>1.0290545395809354</v>
      </c>
      <c r="BD1029" s="181">
        <v>1.0290545395809354</v>
      </c>
      <c r="BE1029" s="181">
        <v>1.0290545395809354</v>
      </c>
      <c r="BF1029" s="181">
        <v>1.0290545395809354</v>
      </c>
      <c r="BG1029" s="181">
        <v>1.0290545395809354</v>
      </c>
    </row>
    <row r="1030" spans="1:59" s="109" customFormat="1" ht="16">
      <c r="A1030" s="141" t="s">
        <v>644</v>
      </c>
      <c r="B1030" s="142"/>
      <c r="C1030" s="142"/>
      <c r="D1030" s="142"/>
      <c r="F1030" s="168" t="s">
        <v>686</v>
      </c>
      <c r="W1030" s="116"/>
      <c r="X1030" s="116"/>
      <c r="Y1030" s="116"/>
      <c r="Z1030" s="116"/>
      <c r="AA1030" s="116"/>
      <c r="AB1030" s="116"/>
      <c r="AC1030" s="116"/>
      <c r="AD1030" s="116"/>
      <c r="AE1030" s="181">
        <v>0.98072582108814932</v>
      </c>
      <c r="AF1030" s="181">
        <v>121.47443358951773</v>
      </c>
      <c r="AG1030" s="181">
        <v>0.14243351587726558</v>
      </c>
      <c r="AH1030" s="181">
        <v>0.74330752363786612</v>
      </c>
      <c r="AI1030" s="181">
        <v>0.93926114040139386</v>
      </c>
      <c r="AJ1030" s="181">
        <v>0.93922306457412463</v>
      </c>
      <c r="AK1030" s="181">
        <v>0.93915851945222828</v>
      </c>
      <c r="AL1030" s="181">
        <v>0.94167942278264749</v>
      </c>
      <c r="AM1030" s="181">
        <v>0.93903288314409494</v>
      </c>
      <c r="AN1030" s="181">
        <v>0.93897188794241693</v>
      </c>
      <c r="AO1030" s="181">
        <v>0.93891216386287679</v>
      </c>
      <c r="AP1030" s="181">
        <v>0.94143808583939481</v>
      </c>
      <c r="AQ1030" s="181">
        <v>0.93879666713443555</v>
      </c>
      <c r="AR1030" s="181">
        <v>0.93874095143412872</v>
      </c>
      <c r="AS1030" s="181">
        <v>0.93868662093087285</v>
      </c>
      <c r="AT1030" s="181">
        <v>0.94121805283951521</v>
      </c>
      <c r="AU1030" s="181">
        <v>0.93858217847131298</v>
      </c>
      <c r="AV1030" s="181">
        <v>0.93853208716237946</v>
      </c>
      <c r="AW1030" s="181">
        <v>0.93848342271050267</v>
      </c>
      <c r="AX1030" s="181">
        <v>0.94102056334744655</v>
      </c>
      <c r="AY1030" s="181">
        <v>0.93839037213207221</v>
      </c>
      <c r="AZ1030" s="181">
        <v>0.93839037213207221</v>
      </c>
      <c r="BA1030" s="181">
        <v>0.93839037213207221</v>
      </c>
      <c r="BB1030" s="181">
        <v>0.93839037213207221</v>
      </c>
      <c r="BC1030" s="181">
        <v>0.93839037213207221</v>
      </c>
      <c r="BD1030" s="181">
        <v>0.93839037213207221</v>
      </c>
      <c r="BE1030" s="181">
        <v>0.93839037213207221</v>
      </c>
      <c r="BF1030" s="181">
        <v>0.93839037213207221</v>
      </c>
      <c r="BG1030" s="181">
        <v>0.93839037213207221</v>
      </c>
    </row>
    <row r="1031" spans="1:59" s="109" customFormat="1" ht="16">
      <c r="A1031" s="141" t="s">
        <v>644</v>
      </c>
      <c r="B1031" s="142"/>
      <c r="C1031" s="142"/>
      <c r="D1031" s="142"/>
      <c r="F1031" s="168" t="s">
        <v>687</v>
      </c>
      <c r="W1031" s="116"/>
      <c r="X1031" s="116"/>
      <c r="Y1031" s="116"/>
      <c r="Z1031" s="116"/>
      <c r="AA1031" s="116"/>
      <c r="AB1031" s="116"/>
      <c r="AC1031" s="116"/>
      <c r="AD1031" s="116"/>
      <c r="AE1031" s="181">
        <v>6.0786563593071656E-2</v>
      </c>
      <c r="AF1031" s="181">
        <v>-0.91991559294947611</v>
      </c>
      <c r="AG1031" s="181">
        <v>0.69638751817753686</v>
      </c>
      <c r="AH1031" s="181">
        <v>0.84748970172859817</v>
      </c>
      <c r="AI1031" s="181">
        <v>1.0715739695312241</v>
      </c>
      <c r="AJ1031" s="181">
        <v>1.071445723839743</v>
      </c>
      <c r="AK1031" s="181">
        <v>1.0712284557574689</v>
      </c>
      <c r="AL1031" s="181">
        <v>1.0739625135158668</v>
      </c>
      <c r="AM1031" s="181">
        <v>1.0708060158322674</v>
      </c>
      <c r="AN1031" s="181">
        <v>1.0706011485532347</v>
      </c>
      <c r="AO1031" s="181">
        <v>1.0704006916039406</v>
      </c>
      <c r="AP1031" s="181">
        <v>1.0731506586476975</v>
      </c>
      <c r="AQ1031" s="181">
        <v>1.0700134348099779</v>
      </c>
      <c r="AR1031" s="181">
        <v>1.0698268073746569</v>
      </c>
      <c r="AS1031" s="181">
        <v>1.0696449358192541</v>
      </c>
      <c r="AT1031" s="181">
        <v>1.0724124564283255</v>
      </c>
      <c r="AU1031" s="181">
        <v>1.0692956351776106</v>
      </c>
      <c r="AV1031" s="181">
        <v>1.0691282576586711</v>
      </c>
      <c r="AW1031" s="181">
        <v>1.0689657404683282</v>
      </c>
      <c r="AX1031" s="181">
        <v>1.0717514881881149</v>
      </c>
      <c r="AY1031" s="181">
        <v>1.0686552471734423</v>
      </c>
      <c r="AZ1031" s="181">
        <v>1.0686552471734423</v>
      </c>
      <c r="BA1031" s="181">
        <v>1.0686552471734423</v>
      </c>
      <c r="BB1031" s="181">
        <v>1.0686552471734423</v>
      </c>
      <c r="BC1031" s="181">
        <v>1.0686552471734423</v>
      </c>
      <c r="BD1031" s="181">
        <v>1.0686552471734423</v>
      </c>
      <c r="BE1031" s="181">
        <v>1.0686552471734423</v>
      </c>
      <c r="BF1031" s="181">
        <v>1.0686552471734423</v>
      </c>
      <c r="BG1031" s="181">
        <v>1.0686552471734423</v>
      </c>
    </row>
    <row r="1032" spans="1:59" s="109" customFormat="1" ht="16">
      <c r="A1032" s="141" t="s">
        <v>644</v>
      </c>
      <c r="B1032" s="142"/>
      <c r="C1032" s="142"/>
      <c r="D1032" s="142"/>
      <c r="F1032" s="168" t="s">
        <v>688</v>
      </c>
      <c r="W1032" s="116"/>
      <c r="X1032" s="116"/>
      <c r="Y1032" s="116"/>
      <c r="Z1032" s="116"/>
      <c r="AA1032" s="116"/>
      <c r="AB1032" s="116"/>
      <c r="AC1032" s="116"/>
      <c r="AD1032" s="116"/>
      <c r="AE1032" s="181">
        <v>1.8531526135043381</v>
      </c>
      <c r="AF1032" s="181">
        <v>-49.49707769794518</v>
      </c>
      <c r="AG1032" s="181">
        <v>0.89449111368046808</v>
      </c>
      <c r="AH1032" s="181">
        <v>1.9552819184974548</v>
      </c>
      <c r="AI1032" s="181">
        <v>0.96118617641412385</v>
      </c>
      <c r="AJ1032" s="181">
        <v>0.9613112489681116</v>
      </c>
      <c r="AK1032" s="181">
        <v>0.9615205580373426</v>
      </c>
      <c r="AL1032" s="181">
        <v>0.95372935270908532</v>
      </c>
      <c r="AM1032" s="181">
        <v>0.96192810356001701</v>
      </c>
      <c r="AN1032" s="181">
        <v>0.962126024251719</v>
      </c>
      <c r="AO1032" s="181">
        <v>0.96231985939987541</v>
      </c>
      <c r="AP1032" s="181">
        <v>0.96515858537609589</v>
      </c>
      <c r="AQ1032" s="181">
        <v>0.95206661761687639</v>
      </c>
      <c r="AR1032" s="181">
        <v>0.96287574692682854</v>
      </c>
      <c r="AS1032" s="181">
        <v>0.96305221293215937</v>
      </c>
      <c r="AT1032" s="181">
        <v>0.96587585613647475</v>
      </c>
      <c r="AU1032" s="181">
        <v>0.96339153485317164</v>
      </c>
      <c r="AV1032" s="181">
        <v>0.952913554643532</v>
      </c>
      <c r="AW1032" s="181">
        <v>0.96371249306561857</v>
      </c>
      <c r="AX1032" s="181">
        <v>0.96652009333943845</v>
      </c>
      <c r="AY1032" s="181">
        <v>0.96401500938161466</v>
      </c>
      <c r="AZ1032" s="181">
        <v>0.96347926959746888</v>
      </c>
      <c r="BA1032" s="181">
        <v>0.96347926959746888</v>
      </c>
      <c r="BB1032" s="181">
        <v>0.96347926959746888</v>
      </c>
      <c r="BC1032" s="181">
        <v>0.96347926959746888</v>
      </c>
      <c r="BD1032" s="181">
        <v>0.96347926959746888</v>
      </c>
      <c r="BE1032" s="181">
        <v>0.96347926959746888</v>
      </c>
      <c r="BF1032" s="181">
        <v>0.96347926959746888</v>
      </c>
      <c r="BG1032" s="181">
        <v>0.96347926959746888</v>
      </c>
    </row>
    <row r="1033" spans="1:59" s="109" customFormat="1" ht="16">
      <c r="A1033" s="141" t="s">
        <v>644</v>
      </c>
      <c r="B1033" s="142"/>
      <c r="C1033" s="142"/>
      <c r="D1033" s="142"/>
      <c r="F1033" s="168" t="s">
        <v>689</v>
      </c>
      <c r="W1033" s="116"/>
      <c r="X1033" s="116"/>
      <c r="Y1033" s="116"/>
      <c r="Z1033" s="116"/>
      <c r="AA1033" s="116"/>
      <c r="AB1033" s="116"/>
      <c r="AC1033" s="116"/>
      <c r="AD1033" s="116"/>
      <c r="AE1033" s="181">
        <v>1.2069004585572605</v>
      </c>
      <c r="AF1033" s="181">
        <v>1.2616318626984695</v>
      </c>
      <c r="AG1033" s="181">
        <v>2.2615047730442615</v>
      </c>
      <c r="AH1033" s="181">
        <v>0.46274895788508547</v>
      </c>
      <c r="AI1033" s="181">
        <v>1.0109471574014701</v>
      </c>
      <c r="AJ1033" s="181">
        <v>1.0109949624834134</v>
      </c>
      <c r="AK1033" s="181">
        <v>1.0110749201735025</v>
      </c>
      <c r="AL1033" s="181">
        <v>1.0139358098449429</v>
      </c>
      <c r="AM1033" s="181">
        <v>1.011230447132877</v>
      </c>
      <c r="AN1033" s="181">
        <v>1.0113059017906012</v>
      </c>
      <c r="AO1033" s="181">
        <v>1.0113797510281108</v>
      </c>
      <c r="AP1033" s="181">
        <v>1.0142358921097054</v>
      </c>
      <c r="AQ1033" s="181">
        <v>1.0115224711837951</v>
      </c>
      <c r="AR1033" s="181">
        <v>1.011591276040569</v>
      </c>
      <c r="AS1033" s="181">
        <v>1.0116583431028578</v>
      </c>
      <c r="AT1033" s="181">
        <v>1.0145090183968575</v>
      </c>
      <c r="AU1033" s="181">
        <v>1.0117871945003596</v>
      </c>
      <c r="AV1033" s="181">
        <v>1.0118489574420766</v>
      </c>
      <c r="AW1033" s="181">
        <v>1.0119089393300296</v>
      </c>
      <c r="AX1033" s="181">
        <v>1.0147537848849744</v>
      </c>
      <c r="AY1033" s="181">
        <v>1.0120235702856786</v>
      </c>
      <c r="AZ1033" s="181">
        <v>1.0290545395809354</v>
      </c>
      <c r="BA1033" s="181">
        <v>1.0290545395809354</v>
      </c>
      <c r="BB1033" s="181">
        <v>1.0290545395809354</v>
      </c>
      <c r="BC1033" s="181">
        <v>1.0290545395809354</v>
      </c>
      <c r="BD1033" s="181">
        <v>1.0290545395809354</v>
      </c>
      <c r="BE1033" s="181">
        <v>1.0290545395809354</v>
      </c>
      <c r="BF1033" s="181">
        <v>1.0290545395809354</v>
      </c>
      <c r="BG1033" s="181">
        <v>1.0290545395809354</v>
      </c>
    </row>
    <row r="1034" spans="1:59" s="109" customFormat="1" ht="16">
      <c r="A1034" s="141" t="s">
        <v>644</v>
      </c>
      <c r="B1034" s="142"/>
      <c r="C1034" s="142"/>
      <c r="D1034" s="142"/>
      <c r="F1034" s="168" t="s">
        <v>690</v>
      </c>
      <c r="W1034" s="116"/>
      <c r="X1034" s="116"/>
      <c r="Y1034" s="116"/>
      <c r="Z1034" s="116"/>
      <c r="AA1034" s="116"/>
      <c r="AB1034" s="116"/>
      <c r="AC1034" s="116"/>
      <c r="AD1034" s="116"/>
      <c r="AE1034" s="181">
        <v>9.8904250045745407E-2</v>
      </c>
      <c r="AF1034" s="181">
        <v>52.704800662410371</v>
      </c>
      <c r="AG1034" s="181">
        <v>0.11586353639216815</v>
      </c>
      <c r="AH1034" s="181">
        <v>0.73043329126654744</v>
      </c>
      <c r="AI1034" s="181">
        <v>0.92292455995722888</v>
      </c>
      <c r="AJ1034" s="181">
        <v>0.92288761706141753</v>
      </c>
      <c r="AK1034" s="181">
        <v>0.92282577124733123</v>
      </c>
      <c r="AL1034" s="181">
        <v>0.92530425207544909</v>
      </c>
      <c r="AM1034" s="181">
        <v>0.92270527303907657</v>
      </c>
      <c r="AN1034" s="181">
        <v>0.92264671697407163</v>
      </c>
      <c r="AO1034" s="181">
        <v>0.9225893460993313</v>
      </c>
      <c r="AP1034" s="181">
        <v>0.92507252347504543</v>
      </c>
      <c r="AQ1034" s="181">
        <v>0.92247830146093335</v>
      </c>
      <c r="AR1034" s="181">
        <v>0.92242468691471491</v>
      </c>
      <c r="AS1034" s="181">
        <v>0.92237237613009437</v>
      </c>
      <c r="AT1034" s="181">
        <v>0.92486075554041425</v>
      </c>
      <c r="AU1034" s="181">
        <v>0.92227173522951655</v>
      </c>
      <c r="AV1034" s="181">
        <v>0.92222342930267864</v>
      </c>
      <c r="AW1034" s="181">
        <v>0.92217647584260398</v>
      </c>
      <c r="AX1034" s="181">
        <v>0.92467028100464932</v>
      </c>
      <c r="AY1034" s="181">
        <v>0.92208663219984588</v>
      </c>
      <c r="AZ1034" s="181">
        <v>0.93839037213207221</v>
      </c>
      <c r="BA1034" s="181">
        <v>0.93839037213207221</v>
      </c>
      <c r="BB1034" s="181">
        <v>0.93839037213207221</v>
      </c>
      <c r="BC1034" s="181">
        <v>0.93839037213207221</v>
      </c>
      <c r="BD1034" s="181">
        <v>0.93839037213207221</v>
      </c>
      <c r="BE1034" s="181">
        <v>0.93839037213207221</v>
      </c>
      <c r="BF1034" s="181">
        <v>0.93839037213207221</v>
      </c>
      <c r="BG1034" s="181">
        <v>0.93839037213207221</v>
      </c>
    </row>
    <row r="1035" spans="1:59" s="109" customFormat="1" ht="16">
      <c r="A1035" s="141" t="s">
        <v>644</v>
      </c>
      <c r="B1035" s="142"/>
      <c r="C1035" s="142"/>
      <c r="D1035" s="142"/>
      <c r="F1035" s="168" t="s">
        <v>691</v>
      </c>
      <c r="W1035" s="116"/>
      <c r="X1035" s="116"/>
      <c r="Y1035" s="116"/>
      <c r="Z1035" s="116"/>
      <c r="AA1035" s="116"/>
      <c r="AB1035" s="116"/>
      <c r="AC1035" s="116"/>
      <c r="AD1035" s="116"/>
      <c r="AE1035" s="181">
        <v>0.97376000410180452</v>
      </c>
      <c r="AF1035" s="181">
        <v>1.4213496987378759E-2</v>
      </c>
      <c r="AG1035" s="181">
        <v>0.74931770644896012</v>
      </c>
      <c r="AH1035" s="181">
        <v>0.87345166041340128</v>
      </c>
      <c r="AI1035" s="181">
        <v>1.104297506724875</v>
      </c>
      <c r="AJ1035" s="181">
        <v>1.104165487433683</v>
      </c>
      <c r="AK1035" s="181">
        <v>1.1039446123814927</v>
      </c>
      <c r="AL1035" s="181">
        <v>1.1067649011513292</v>
      </c>
      <c r="AM1035" s="181">
        <v>1.1035147600294717</v>
      </c>
      <c r="AN1035" s="181">
        <v>1.1033061078822783</v>
      </c>
      <c r="AO1035" s="181">
        <v>1.1031018272004582</v>
      </c>
      <c r="AP1035" s="181">
        <v>1.1059378408613936</v>
      </c>
      <c r="AQ1035" s="181">
        <v>1.1027068459616414</v>
      </c>
      <c r="AR1035" s="181">
        <v>1.1025163369551081</v>
      </c>
      <c r="AS1035" s="181">
        <v>1.1023305831445913</v>
      </c>
      <c r="AT1035" s="181">
        <v>1.1051841181308131</v>
      </c>
      <c r="AU1035" s="181">
        <v>1.1019735502650445</v>
      </c>
      <c r="AV1035" s="181">
        <v>1.1018023388373728</v>
      </c>
      <c r="AW1035" s="181">
        <v>1.101636019150275</v>
      </c>
      <c r="AX1035" s="181">
        <v>1.1045078792765648</v>
      </c>
      <c r="AY1035" s="181">
        <v>1.1013180419623736</v>
      </c>
      <c r="AZ1035" s="181">
        <v>1.0686552471734423</v>
      </c>
      <c r="BA1035" s="181">
        <v>1.0686552471734423</v>
      </c>
      <c r="BB1035" s="181">
        <v>1.0686552471734423</v>
      </c>
      <c r="BC1035" s="181">
        <v>1.0686552471734423</v>
      </c>
      <c r="BD1035" s="181">
        <v>1.0686552471734423</v>
      </c>
      <c r="BE1035" s="181">
        <v>1.0686552471734423</v>
      </c>
      <c r="BF1035" s="181">
        <v>1.0686552471734423</v>
      </c>
      <c r="BG1035" s="181">
        <v>1.0686552471734423</v>
      </c>
    </row>
    <row r="1036" spans="1:59" s="109" customFormat="1" ht="16">
      <c r="A1036" s="141" t="s">
        <v>644</v>
      </c>
      <c r="B1036" s="142"/>
      <c r="C1036" s="142"/>
      <c r="D1036" s="142"/>
      <c r="F1036" s="168" t="s">
        <v>692</v>
      </c>
      <c r="W1036" s="116"/>
      <c r="X1036" s="116"/>
      <c r="Y1036" s="116"/>
      <c r="Z1036" s="116"/>
      <c r="AA1036" s="116"/>
      <c r="AB1036" s="116"/>
      <c r="AC1036" s="116"/>
      <c r="AD1036" s="116"/>
      <c r="AE1036" s="181">
        <v>1.6017484485787088</v>
      </c>
      <c r="AF1036" s="181">
        <v>2.6352852455126827</v>
      </c>
      <c r="AG1036" s="181">
        <v>0.92717437917168466</v>
      </c>
      <c r="AH1036" s="181">
        <v>1.9730644454165724</v>
      </c>
      <c r="AI1036" s="181">
        <v>0.98072461178043913</v>
      </c>
      <c r="AJ1036" s="181">
        <v>0.98082648284070451</v>
      </c>
      <c r="AK1036" s="181">
        <v>0.98102094502695814</v>
      </c>
      <c r="AL1036" s="181">
        <v>0.97304961986755378</v>
      </c>
      <c r="AM1036" s="181">
        <v>0.98139668831258675</v>
      </c>
      <c r="AN1036" s="181">
        <v>0.98157779898683273</v>
      </c>
      <c r="AO1036" s="181">
        <v>0.98175431431890714</v>
      </c>
      <c r="AP1036" s="181">
        <v>0.98462948338905576</v>
      </c>
      <c r="AQ1036" s="181">
        <v>0.97124804683983201</v>
      </c>
      <c r="AR1036" s="181">
        <v>0.98225588360786542</v>
      </c>
      <c r="AS1036" s="181">
        <v>0.98241368136935436</v>
      </c>
      <c r="AT1036" s="181">
        <v>0.98527241372042573</v>
      </c>
      <c r="AU1036" s="181">
        <v>0.98271520198512874</v>
      </c>
      <c r="AV1036" s="181">
        <v>0.9720024383654331</v>
      </c>
      <c r="AW1036" s="181">
        <v>0.98299812180266222</v>
      </c>
      <c r="AX1036" s="181">
        <v>0.98584040112862026</v>
      </c>
      <c r="AY1036" s="181">
        <v>0.98326277723347189</v>
      </c>
      <c r="AZ1036" s="181">
        <v>0.96347926959746888</v>
      </c>
      <c r="BA1036" s="181">
        <v>0.96347926959746888</v>
      </c>
      <c r="BB1036" s="181">
        <v>0.96347926959746888</v>
      </c>
      <c r="BC1036" s="181">
        <v>0.96347926959746888</v>
      </c>
      <c r="BD1036" s="181">
        <v>0.96347926959746888</v>
      </c>
      <c r="BE1036" s="181">
        <v>0.96347926959746888</v>
      </c>
      <c r="BF1036" s="181">
        <v>0.96347926959746888</v>
      </c>
      <c r="BG1036" s="181">
        <v>0.96347926959746888</v>
      </c>
    </row>
    <row r="1037" spans="1:59" s="109" customFormat="1" ht="16">
      <c r="A1037" s="141" t="s">
        <v>644</v>
      </c>
      <c r="B1037" s="142"/>
      <c r="C1037" s="142"/>
      <c r="D1037" s="142"/>
      <c r="F1037" s="168" t="s">
        <v>693</v>
      </c>
      <c r="W1037" s="116"/>
      <c r="X1037" s="116"/>
      <c r="Y1037" s="116"/>
      <c r="Z1037" s="116"/>
      <c r="AA1037" s="116"/>
      <c r="AB1037" s="116"/>
      <c r="AC1037" s="116"/>
      <c r="AD1037" s="116"/>
      <c r="AE1037" s="181">
        <v>1.7863650652292344</v>
      </c>
      <c r="AF1037" s="181">
        <v>2.5700055353922351</v>
      </c>
      <c r="AG1037" s="181">
        <v>2.274750685398351</v>
      </c>
      <c r="AH1037" s="181">
        <v>0.46917193884296471</v>
      </c>
      <c r="AI1037" s="181">
        <v>1.0197561786795195</v>
      </c>
      <c r="AJ1037" s="181">
        <v>1.0197932907209646</v>
      </c>
      <c r="AK1037" s="181">
        <v>1.0198640986525136</v>
      </c>
      <c r="AL1037" s="181">
        <v>1.0227406860649244</v>
      </c>
      <c r="AM1037" s="181">
        <v>1.0200007833044344</v>
      </c>
      <c r="AN1037" s="181">
        <v>1.0200666042217248</v>
      </c>
      <c r="AO1037" s="181">
        <v>1.0201307162899895</v>
      </c>
      <c r="AP1037" s="181">
        <v>1.0230019041084299</v>
      </c>
      <c r="AQ1037" s="181">
        <v>1.0202537620392349</v>
      </c>
      <c r="AR1037" s="181">
        <v>1.0203126823236677</v>
      </c>
      <c r="AS1037" s="181">
        <v>1.0203698664778222</v>
      </c>
      <c r="AT1037" s="181">
        <v>1.0232353577109048</v>
      </c>
      <c r="AU1037" s="181">
        <v>1.020479049275838</v>
      </c>
      <c r="AV1037" s="181">
        <v>1.0205310692647771</v>
      </c>
      <c r="AW1037" s="181">
        <v>1.0205813952463354</v>
      </c>
      <c r="AX1037" s="181">
        <v>1.0234411788396158</v>
      </c>
      <c r="AY1037" s="181">
        <v>1.0206770453150513</v>
      </c>
      <c r="AZ1037" s="181">
        <v>1.0290545395809354</v>
      </c>
      <c r="BA1037" s="181">
        <v>1.0290545395809354</v>
      </c>
      <c r="BB1037" s="181">
        <v>1.0290545395809354</v>
      </c>
      <c r="BC1037" s="181">
        <v>1.0290545395809354</v>
      </c>
      <c r="BD1037" s="181">
        <v>1.0290545395809354</v>
      </c>
      <c r="BE1037" s="181">
        <v>1.0290545395809354</v>
      </c>
      <c r="BF1037" s="181">
        <v>1.0290545395809354</v>
      </c>
      <c r="BG1037" s="181">
        <v>1.0290545395809354</v>
      </c>
    </row>
    <row r="1038" spans="1:59" s="109" customFormat="1" ht="16">
      <c r="A1038" s="141" t="s">
        <v>644</v>
      </c>
      <c r="B1038" s="142"/>
      <c r="C1038" s="142"/>
      <c r="D1038" s="142"/>
      <c r="F1038" s="168" t="s">
        <v>694</v>
      </c>
      <c r="W1038" s="116"/>
      <c r="X1038" s="116"/>
      <c r="Y1038" s="116"/>
      <c r="Z1038" s="116"/>
      <c r="AA1038" s="116"/>
      <c r="AB1038" s="116"/>
      <c r="AC1038" s="116"/>
      <c r="AD1038" s="116"/>
      <c r="AE1038" s="181">
        <v>0.371573220272222</v>
      </c>
      <c r="AF1038" s="181">
        <v>-1.2429743179902422</v>
      </c>
      <c r="AG1038" s="181">
        <v>0.14092895887849419</v>
      </c>
      <c r="AH1038" s="181">
        <v>0.74218478641473784</v>
      </c>
      <c r="AI1038" s="181">
        <v>0.93829657080205298</v>
      </c>
      <c r="AJ1038" s="181">
        <v>0.93826478021495607</v>
      </c>
      <c r="AK1038" s="181">
        <v>0.93820407860228239</v>
      </c>
      <c r="AL1038" s="181">
        <v>0.94072713663789953</v>
      </c>
      <c r="AM1038" s="181">
        <v>0.93808672901052026</v>
      </c>
      <c r="AN1038" s="181">
        <v>0.9380301371656582</v>
      </c>
      <c r="AO1038" s="181">
        <v>0.93797496337362318</v>
      </c>
      <c r="AP1038" s="181">
        <v>0.94050365066019592</v>
      </c>
      <c r="AQ1038" s="181">
        <v>0.93786893050768194</v>
      </c>
      <c r="AR1038" s="181">
        <v>0.9378180907484237</v>
      </c>
      <c r="AS1038" s="181">
        <v>0.93776870805109092</v>
      </c>
      <c r="AT1038" s="181">
        <v>0.94030321463957656</v>
      </c>
      <c r="AU1038" s="181">
        <v>0.93767430849261357</v>
      </c>
      <c r="AV1038" s="181">
        <v>0.93762928008046198</v>
      </c>
      <c r="AW1038" s="181">
        <v>0.93758568609641035</v>
      </c>
      <c r="AX1038" s="181">
        <v>0.94012594966796337</v>
      </c>
      <c r="AY1038" s="181">
        <v>0.93750274435222858</v>
      </c>
      <c r="AZ1038" s="181">
        <v>0.93839037213207221</v>
      </c>
      <c r="BA1038" s="181">
        <v>0.93839037213207221</v>
      </c>
      <c r="BB1038" s="181">
        <v>0.93839037213207221</v>
      </c>
      <c r="BC1038" s="181">
        <v>0.93839037213207221</v>
      </c>
      <c r="BD1038" s="181">
        <v>0.93839037213207221</v>
      </c>
      <c r="BE1038" s="181">
        <v>0.93839037213207221</v>
      </c>
      <c r="BF1038" s="181">
        <v>0.93839037213207221</v>
      </c>
      <c r="BG1038" s="181">
        <v>0.93839037213207221</v>
      </c>
    </row>
    <row r="1039" spans="1:59" s="109" customFormat="1" ht="16">
      <c r="A1039" s="141" t="s">
        <v>644</v>
      </c>
      <c r="B1039" s="142"/>
      <c r="C1039" s="142"/>
      <c r="D1039" s="142"/>
      <c r="F1039" s="168" t="s">
        <v>695</v>
      </c>
      <c r="W1039" s="116"/>
      <c r="X1039" s="116"/>
      <c r="Y1039" s="116"/>
      <c r="Z1039" s="116"/>
      <c r="AA1039" s="116"/>
      <c r="AB1039" s="116"/>
      <c r="AC1039" s="116"/>
      <c r="AD1039" s="116"/>
      <c r="AE1039" s="181">
        <v>0.29665835484190556</v>
      </c>
      <c r="AF1039" s="181">
        <v>8.9010490347488092E-3</v>
      </c>
      <c r="AG1039" s="181">
        <v>0.67966103620010432</v>
      </c>
      <c r="AH1039" s="181">
        <v>0.83871051579023015</v>
      </c>
      <c r="AI1039" s="181">
        <v>1.0610567898620498</v>
      </c>
      <c r="AJ1039" s="181">
        <v>1.0609524422726162</v>
      </c>
      <c r="AK1039" s="181">
        <v>1.0607533019244331</v>
      </c>
      <c r="AL1039" s="181">
        <v>1.0634780776888764</v>
      </c>
      <c r="AM1039" s="181">
        <v>1.0603687026546913</v>
      </c>
      <c r="AN1039" s="181">
        <v>1.0601834095730533</v>
      </c>
      <c r="AO1039" s="181">
        <v>1.0600028719167698</v>
      </c>
      <c r="AP1039" s="181">
        <v>1.0627452106612667</v>
      </c>
      <c r="AQ1039" s="181">
        <v>1.059656225992466</v>
      </c>
      <c r="AR1039" s="181">
        <v>1.0594901638177443</v>
      </c>
      <c r="AS1039" s="181">
        <v>1.0593289505859098</v>
      </c>
      <c r="AT1039" s="181">
        <v>1.0620894813209381</v>
      </c>
      <c r="AU1039" s="181">
        <v>1.0590210219537353</v>
      </c>
      <c r="AV1039" s="181">
        <v>1.0588742537874358</v>
      </c>
      <c r="AW1039" s="181">
        <v>1.0587322306075482</v>
      </c>
      <c r="AX1039" s="181">
        <v>1.0615107706190068</v>
      </c>
      <c r="AY1039" s="181">
        <v>1.058462206390852</v>
      </c>
      <c r="AZ1039" s="181">
        <v>1.0686552471734423</v>
      </c>
      <c r="BA1039" s="181">
        <v>1.0686552471734423</v>
      </c>
      <c r="BB1039" s="181">
        <v>1.0686552471734423</v>
      </c>
      <c r="BC1039" s="181">
        <v>1.0686552471734423</v>
      </c>
      <c r="BD1039" s="181">
        <v>1.0686552471734423</v>
      </c>
      <c r="BE1039" s="181">
        <v>1.0686552471734423</v>
      </c>
      <c r="BF1039" s="181">
        <v>1.0686552471734423</v>
      </c>
      <c r="BG1039" s="181">
        <v>1.0686552471734423</v>
      </c>
    </row>
    <row r="1040" spans="1:59" s="109" customFormat="1" ht="16">
      <c r="A1040" s="141" t="s">
        <v>644</v>
      </c>
      <c r="B1040" s="142"/>
      <c r="C1040" s="142"/>
      <c r="D1040" s="142"/>
      <c r="F1040" s="168" t="s">
        <v>696</v>
      </c>
      <c r="W1040" s="116"/>
      <c r="X1040" s="116"/>
      <c r="Y1040" s="116"/>
      <c r="Z1040" s="116"/>
      <c r="AA1040" s="116"/>
      <c r="AB1040" s="116"/>
      <c r="AC1040" s="116"/>
      <c r="AD1040" s="116"/>
      <c r="AE1040" s="181">
        <v>1.4706525208103813</v>
      </c>
      <c r="AF1040" s="181">
        <v>2.2396239934006341</v>
      </c>
      <c r="AG1040" s="181">
        <v>0.90384373031256271</v>
      </c>
      <c r="AH1040" s="181">
        <v>1.9620968467998812</v>
      </c>
      <c r="AI1040" s="181">
        <v>0.96709910400221655</v>
      </c>
      <c r="AJ1040" s="181">
        <v>0.9671995179876145</v>
      </c>
      <c r="AK1040" s="181">
        <v>0.96739124673313492</v>
      </c>
      <c r="AL1040" s="181">
        <v>0.95953063437999286</v>
      </c>
      <c r="AM1040" s="181">
        <v>0.96776170419557217</v>
      </c>
      <c r="AN1040" s="181">
        <v>0.96794026508240427</v>
      </c>
      <c r="AO1040" s="181">
        <v>0.96811429407966465</v>
      </c>
      <c r="AP1040" s="181">
        <v>0.97094948374437162</v>
      </c>
      <c r="AQ1040" s="181">
        <v>0.95775392347112032</v>
      </c>
      <c r="AR1040" s="181">
        <v>0.96860879173491798</v>
      </c>
      <c r="AS1040" s="181">
        <v>0.96876436265359178</v>
      </c>
      <c r="AT1040" s="181">
        <v>0.9715833432766503</v>
      </c>
      <c r="AU1040" s="181">
        <v>0.96906162548083197</v>
      </c>
      <c r="AV1040" s="181">
        <v>0.95849766481545662</v>
      </c>
      <c r="AW1040" s="181">
        <v>0.96934054691566274</v>
      </c>
      <c r="AX1040" s="181">
        <v>0.97214330372104196</v>
      </c>
      <c r="AY1040" s="181">
        <v>0.96960145923180141</v>
      </c>
      <c r="AZ1040" s="181">
        <v>0.96347926959746888</v>
      </c>
      <c r="BA1040" s="181">
        <v>0.96347926959746888</v>
      </c>
      <c r="BB1040" s="181">
        <v>0.96347926959746888</v>
      </c>
      <c r="BC1040" s="181">
        <v>0.96347926959746888</v>
      </c>
      <c r="BD1040" s="181">
        <v>0.96347926959746888</v>
      </c>
      <c r="BE1040" s="181">
        <v>0.96347926959746888</v>
      </c>
      <c r="BF1040" s="181">
        <v>0.96347926959746888</v>
      </c>
      <c r="BG1040" s="181">
        <v>0.96347926959746888</v>
      </c>
    </row>
    <row r="1041" spans="1:59" s="109" customFormat="1" ht="16">
      <c r="A1041" s="141" t="s">
        <v>644</v>
      </c>
      <c r="B1041" s="142"/>
      <c r="C1041" s="142"/>
      <c r="D1041" s="142"/>
      <c r="F1041" s="168" t="s">
        <v>697</v>
      </c>
      <c r="W1041" s="116"/>
      <c r="X1041" s="116"/>
      <c r="Y1041" s="116"/>
      <c r="Z1041" s="116"/>
      <c r="AA1041" s="116"/>
      <c r="AB1041" s="116"/>
      <c r="AC1041" s="116"/>
      <c r="AD1041" s="116"/>
      <c r="AE1041" s="181">
        <v>1.1654794057953557</v>
      </c>
      <c r="AF1041" s="181">
        <v>2.0592362762710601</v>
      </c>
      <c r="AG1041" s="181">
        <v>2.2789674584263091</v>
      </c>
      <c r="AH1041" s="181">
        <v>0.47075989350949798</v>
      </c>
      <c r="AI1041" s="181">
        <v>1.0217363452903632</v>
      </c>
      <c r="AJ1041" s="181">
        <v>1.0217744578239627</v>
      </c>
      <c r="AK1041" s="181">
        <v>1.0218471938968949</v>
      </c>
      <c r="AL1041" s="181">
        <v>1.0247311308060776</v>
      </c>
      <c r="AM1041" s="181">
        <v>1.0219876028492105</v>
      </c>
      <c r="AN1041" s="181">
        <v>1.0220552182978808</v>
      </c>
      <c r="AO1041" s="181">
        <v>1.0221210789864665</v>
      </c>
      <c r="AP1041" s="181">
        <v>1.0249994548097536</v>
      </c>
      <c r="AQ1041" s="181">
        <v>1.0222474826202532</v>
      </c>
      <c r="AR1041" s="181">
        <v>1.0223080117011654</v>
      </c>
      <c r="AS1041" s="181">
        <v>1.0223667577927609</v>
      </c>
      <c r="AT1041" s="181">
        <v>1.0252392684250897</v>
      </c>
      <c r="AU1041" s="181">
        <v>1.0224789243231176</v>
      </c>
      <c r="AV1041" s="181">
        <v>1.0225323665990582</v>
      </c>
      <c r="AW1041" s="181">
        <v>1.0225840689774848</v>
      </c>
      <c r="AX1041" s="181">
        <v>1.0254507041329608</v>
      </c>
      <c r="AY1041" s="181">
        <v>1.0226823361971638</v>
      </c>
      <c r="AZ1041" s="181">
        <v>1.0290545395809354</v>
      </c>
      <c r="BA1041" s="181">
        <v>1.0290545395809354</v>
      </c>
      <c r="BB1041" s="181">
        <v>1.0290545395809354</v>
      </c>
      <c r="BC1041" s="181">
        <v>1.0290545395809354</v>
      </c>
      <c r="BD1041" s="181">
        <v>1.0290545395809354</v>
      </c>
      <c r="BE1041" s="181">
        <v>1.0290545395809354</v>
      </c>
      <c r="BF1041" s="181">
        <v>1.0290545395809354</v>
      </c>
      <c r="BG1041" s="181">
        <v>1.0290545395809354</v>
      </c>
    </row>
    <row r="1042" spans="1:59" s="109" customFormat="1" ht="16">
      <c r="A1042" s="141" t="s">
        <v>644</v>
      </c>
      <c r="B1042" s="142"/>
      <c r="C1042" s="142"/>
      <c r="D1042" s="142"/>
      <c r="F1042" s="168" t="s">
        <v>698</v>
      </c>
      <c r="W1042" s="116"/>
      <c r="X1042" s="116"/>
      <c r="Y1042" s="116"/>
      <c r="Z1042" s="116"/>
      <c r="AA1042" s="116"/>
      <c r="AB1042" s="116"/>
      <c r="AC1042" s="116"/>
      <c r="AD1042" s="116"/>
      <c r="AE1042" s="181">
        <v>1.0945046295455951</v>
      </c>
      <c r="AF1042" s="181">
        <v>-0.32026892418272979</v>
      </c>
      <c r="AG1042" s="181">
        <v>0.13509812457419668</v>
      </c>
      <c r="AH1042" s="181">
        <v>0.73926421644699358</v>
      </c>
      <c r="AI1042" s="181">
        <v>0.9345972534348661</v>
      </c>
      <c r="AJ1042" s="181">
        <v>0.93456633108090847</v>
      </c>
      <c r="AK1042" s="181">
        <v>0.93450727168025949</v>
      </c>
      <c r="AL1042" s="181">
        <v>0.93702176450893626</v>
      </c>
      <c r="AM1042" s="181">
        <v>0.93439309505245627</v>
      </c>
      <c r="AN1042" s="181">
        <v>0.93433803252796055</v>
      </c>
      <c r="AO1042" s="181">
        <v>0.9342843492100209</v>
      </c>
      <c r="AP1042" s="181">
        <v>0.93680433125234386</v>
      </c>
      <c r="AQ1042" s="181">
        <v>0.9341811792835234</v>
      </c>
      <c r="AR1042" s="181">
        <v>0.93413171154858776</v>
      </c>
      <c r="AS1042" s="181">
        <v>0.93408366113655017</v>
      </c>
      <c r="AT1042" s="181">
        <v>0.93660931642479284</v>
      </c>
      <c r="AU1042" s="181">
        <v>0.93399180722428532</v>
      </c>
      <c r="AV1042" s="181">
        <v>0.9339479925552796</v>
      </c>
      <c r="AW1042" s="181">
        <v>0.93390557332697888</v>
      </c>
      <c r="AX1042" s="181">
        <v>0.93643684027653284</v>
      </c>
      <c r="AY1042" s="181">
        <v>0.93382486579574719</v>
      </c>
      <c r="AZ1042" s="181">
        <v>0.93839037213207221</v>
      </c>
      <c r="BA1042" s="181">
        <v>0.93839037213207221</v>
      </c>
      <c r="BB1042" s="181">
        <v>0.93839037213207221</v>
      </c>
      <c r="BC1042" s="181">
        <v>0.93839037213207221</v>
      </c>
      <c r="BD1042" s="181">
        <v>0.93839037213207221</v>
      </c>
      <c r="BE1042" s="181">
        <v>0.93839037213207221</v>
      </c>
      <c r="BF1042" s="181">
        <v>0.93839037213207221</v>
      </c>
      <c r="BG1042" s="181">
        <v>0.93839037213207221</v>
      </c>
    </row>
    <row r="1043" spans="1:59" s="109" customFormat="1" ht="16">
      <c r="A1043" s="141" t="s">
        <v>644</v>
      </c>
      <c r="B1043" s="142"/>
      <c r="C1043" s="142"/>
      <c r="D1043" s="142"/>
      <c r="F1043" s="168" t="s">
        <v>699</v>
      </c>
      <c r="W1043" s="116"/>
      <c r="X1043" s="116"/>
      <c r="Y1043" s="116"/>
      <c r="Z1043" s="116"/>
      <c r="AA1043" s="116"/>
      <c r="AB1043" s="116"/>
      <c r="AC1043" s="116"/>
      <c r="AD1043" s="116"/>
      <c r="AE1043" s="181">
        <v>0.29921574039252191</v>
      </c>
      <c r="AF1043" s="181">
        <v>1.3371263498711114E-2</v>
      </c>
      <c r="AG1043" s="181">
        <v>0.70443152147535015</v>
      </c>
      <c r="AH1043" s="181">
        <v>0.85064387855734547</v>
      </c>
      <c r="AI1043" s="181">
        <v>1.076142968576159</v>
      </c>
      <c r="AJ1043" s="181">
        <v>1.0760382854934589</v>
      </c>
      <c r="AK1043" s="181">
        <v>1.0758384539000856</v>
      </c>
      <c r="AL1043" s="181">
        <v>1.0786040786437059</v>
      </c>
      <c r="AM1043" s="181">
        <v>1.0754525204222984</v>
      </c>
      <c r="AN1043" s="181">
        <v>1.0752665849162306</v>
      </c>
      <c r="AO1043" s="181">
        <v>1.0750854215568786</v>
      </c>
      <c r="AP1043" s="181">
        <v>1.077868678590276</v>
      </c>
      <c r="AQ1043" s="181">
        <v>1.074737574883718</v>
      </c>
      <c r="AR1043" s="181">
        <v>1.0745709377878574</v>
      </c>
      <c r="AS1043" s="181">
        <v>1.0744091666101732</v>
      </c>
      <c r="AT1043" s="181">
        <v>1.0772106860514554</v>
      </c>
      <c r="AU1043" s="181">
        <v>1.0741001727771677</v>
      </c>
      <c r="AV1043" s="181">
        <v>1.0739528971420289</v>
      </c>
      <c r="AW1043" s="181">
        <v>1.073810383046329</v>
      </c>
      <c r="AX1043" s="181">
        <v>1.076629980509304</v>
      </c>
      <c r="AY1043" s="181">
        <v>1.0735394258652882</v>
      </c>
      <c r="AZ1043" s="181">
        <v>1.0686552471734423</v>
      </c>
      <c r="BA1043" s="181">
        <v>1.0686552471734423</v>
      </c>
      <c r="BB1043" s="181">
        <v>1.0686552471734423</v>
      </c>
      <c r="BC1043" s="181">
        <v>1.0686552471734423</v>
      </c>
      <c r="BD1043" s="181">
        <v>1.0686552471734423</v>
      </c>
      <c r="BE1043" s="181">
        <v>1.0686552471734423</v>
      </c>
      <c r="BF1043" s="181">
        <v>1.0686552471734423</v>
      </c>
      <c r="BG1043" s="181">
        <v>1.0686552471734423</v>
      </c>
    </row>
    <row r="1044" spans="1:59" s="109" customFormat="1" ht="16">
      <c r="A1044" s="141" t="s">
        <v>644</v>
      </c>
      <c r="B1044" s="142"/>
      <c r="C1044" s="142"/>
      <c r="D1044" s="142"/>
      <c r="F1044" s="168" t="s">
        <v>700</v>
      </c>
      <c r="W1044" s="116"/>
      <c r="X1044" s="116"/>
      <c r="Y1044" s="116"/>
      <c r="Z1044" s="116"/>
      <c r="AA1044" s="116"/>
      <c r="AB1044" s="116"/>
      <c r="AC1044" s="116"/>
      <c r="AD1044" s="116"/>
      <c r="AE1044" s="181">
        <v>1.3106324837148167</v>
      </c>
      <c r="AF1044" s="181">
        <v>-2.4212514767422748</v>
      </c>
      <c r="AG1044" s="181">
        <v>0.99161677186565977</v>
      </c>
      <c r="AH1044" s="181">
        <v>0.94066754109928741</v>
      </c>
      <c r="AI1044" s="181">
        <v>0.93954625289534643</v>
      </c>
      <c r="AJ1044" s="181">
        <v>0.93962470116572694</v>
      </c>
      <c r="AK1044" s="181">
        <v>0.93979627020959711</v>
      </c>
      <c r="AL1044" s="181">
        <v>0.93214349160201349</v>
      </c>
      <c r="AM1044" s="181">
        <v>0.9401261086392062</v>
      </c>
      <c r="AN1044" s="181">
        <v>0.94028431183194283</v>
      </c>
      <c r="AO1044" s="181">
        <v>0.94043801519106485</v>
      </c>
      <c r="AP1044" s="181">
        <v>0.94317717654168043</v>
      </c>
      <c r="AQ1044" s="181">
        <v>0.93034151399215326</v>
      </c>
      <c r="AR1044" s="181">
        <v>0.94087216688918118</v>
      </c>
      <c r="AS1044" s="181">
        <v>0.94100796578227885</v>
      </c>
      <c r="AT1044" s="181">
        <v>0.9437313364123725</v>
      </c>
      <c r="AU1044" s="181">
        <v>0.94126640978827469</v>
      </c>
      <c r="AV1044" s="181">
        <v>0.93098913458896992</v>
      </c>
      <c r="AW1044" s="181">
        <v>0.94150767545991787</v>
      </c>
      <c r="AX1044" s="181">
        <v>0.94421576013189068</v>
      </c>
      <c r="AY1044" s="181">
        <v>0.94173229144157378</v>
      </c>
      <c r="AZ1044" s="181">
        <v>0.96347926959746888</v>
      </c>
      <c r="BA1044" s="181">
        <v>0.96347926959746888</v>
      </c>
      <c r="BB1044" s="181">
        <v>0.96347926959746888</v>
      </c>
      <c r="BC1044" s="181">
        <v>0.96347926959746888</v>
      </c>
      <c r="BD1044" s="181">
        <v>0.96347926959746888</v>
      </c>
      <c r="BE1044" s="181">
        <v>0.96347926959746888</v>
      </c>
      <c r="BF1044" s="181">
        <v>0.96347926959746888</v>
      </c>
      <c r="BG1044" s="181">
        <v>0.96347926959746888</v>
      </c>
    </row>
    <row r="1045" spans="1:59" s="109" customFormat="1" ht="16">
      <c r="A1045" s="141" t="s">
        <v>644</v>
      </c>
      <c r="B1045" s="142"/>
      <c r="C1045" s="142"/>
      <c r="D1045" s="142"/>
      <c r="F1045" s="168" t="s">
        <v>701</v>
      </c>
      <c r="W1045" s="116"/>
      <c r="X1045" s="116"/>
      <c r="Y1045" s="116"/>
      <c r="Z1045" s="116"/>
      <c r="AA1045" s="116"/>
      <c r="AB1045" s="116"/>
      <c r="AC1045" s="116"/>
      <c r="AD1045" s="116"/>
      <c r="AE1045" s="181">
        <v>1.7949633799240394</v>
      </c>
      <c r="AF1045" s="181">
        <v>2.4812511214601051E-2</v>
      </c>
      <c r="AG1045" s="181">
        <v>0.97731368862457269</v>
      </c>
      <c r="AH1045" s="181">
        <v>1.0120862143202256</v>
      </c>
      <c r="AI1045" s="181">
        <v>1.0116317408520266</v>
      </c>
      <c r="AJ1045" s="181">
        <v>1.0116635906505029</v>
      </c>
      <c r="AK1045" s="181">
        <v>1.0117332191073658</v>
      </c>
      <c r="AL1045" s="181">
        <v>1.0145866174287814</v>
      </c>
      <c r="AM1045" s="181">
        <v>1.0118669701197487</v>
      </c>
      <c r="AN1045" s="181">
        <v>1.0119310716340164</v>
      </c>
      <c r="AO1045" s="181">
        <v>1.0119933184688281</v>
      </c>
      <c r="AP1045" s="181">
        <v>1.0148406148804134</v>
      </c>
      <c r="AQ1045" s="181">
        <v>1.0121122609953415</v>
      </c>
      <c r="AR1045" s="181">
        <v>1.0121689741864173</v>
      </c>
      <c r="AS1045" s="181">
        <v>1.0122238670972727</v>
      </c>
      <c r="AT1045" s="181">
        <v>1.0150650108981942</v>
      </c>
      <c r="AU1045" s="181">
        <v>1.0123282691889079</v>
      </c>
      <c r="AV1045" s="181">
        <v>1.0123778249464073</v>
      </c>
      <c r="AW1045" s="181">
        <v>1.0124256529769375</v>
      </c>
      <c r="AX1045" s="181">
        <v>1.0152608406991976</v>
      </c>
      <c r="AY1045" s="181">
        <v>1.0125162478998566</v>
      </c>
      <c r="AZ1045" s="181">
        <v>1.0290545395809354</v>
      </c>
      <c r="BA1045" s="181">
        <v>1.0290545395809354</v>
      </c>
      <c r="BB1045" s="181">
        <v>1.0290545395809354</v>
      </c>
      <c r="BC1045" s="181">
        <v>1.0290545395809354</v>
      </c>
      <c r="BD1045" s="181">
        <v>1.0290545395809354</v>
      </c>
      <c r="BE1045" s="181">
        <v>1.0290545395809354</v>
      </c>
      <c r="BF1045" s="181">
        <v>1.0290545395809354</v>
      </c>
      <c r="BG1045" s="181">
        <v>1.0290545395809354</v>
      </c>
    </row>
    <row r="1046" spans="1:59" s="109" customFormat="1" ht="16">
      <c r="A1046" s="141" t="s">
        <v>644</v>
      </c>
      <c r="B1046" s="142"/>
      <c r="C1046" s="142"/>
      <c r="D1046" s="142"/>
      <c r="F1046" s="168" t="s">
        <v>702</v>
      </c>
      <c r="W1046" s="116"/>
      <c r="X1046" s="116"/>
      <c r="Y1046" s="116"/>
      <c r="Z1046" s="116"/>
      <c r="AA1046" s="116"/>
      <c r="AB1046" s="116"/>
      <c r="AC1046" s="116"/>
      <c r="AD1046" s="116"/>
      <c r="AE1046" s="181">
        <v>0.71475408247747929</v>
      </c>
      <c r="AF1046" s="181">
        <v>6.4134356362411902</v>
      </c>
      <c r="AG1046" s="181">
        <v>0.95248244852754727</v>
      </c>
      <c r="AH1046" s="181">
        <v>0.95219651021809237</v>
      </c>
      <c r="AI1046" s="181">
        <v>0.95253150889072735</v>
      </c>
      <c r="AJ1046" s="181">
        <v>0.95250810016272236</v>
      </c>
      <c r="AK1046" s="181">
        <v>0.9524568894150649</v>
      </c>
      <c r="AL1046" s="181">
        <v>0.95502920079096121</v>
      </c>
      <c r="AM1046" s="181">
        <v>0.95235837968384784</v>
      </c>
      <c r="AN1046" s="181">
        <v>0.9523111036062103</v>
      </c>
      <c r="AO1046" s="181">
        <v>0.95226515546848334</v>
      </c>
      <c r="AP1046" s="181">
        <v>0.95484282275676458</v>
      </c>
      <c r="AQ1046" s="181">
        <v>0.95217724731247277</v>
      </c>
      <c r="AR1046" s="181">
        <v>0.95213528099583145</v>
      </c>
      <c r="AS1046" s="181">
        <v>0.95209463044237896</v>
      </c>
      <c r="AT1046" s="181">
        <v>0.95467762495804886</v>
      </c>
      <c r="AU1046" s="181">
        <v>0.95201723144537997</v>
      </c>
      <c r="AV1046" s="181">
        <v>0.95198045411687771</v>
      </c>
      <c r="AW1046" s="181">
        <v>0.95194493521796197</v>
      </c>
      <c r="AX1046" s="181">
        <v>0.95453304154825447</v>
      </c>
      <c r="AY1046" s="181">
        <v>0.95187759191483867</v>
      </c>
      <c r="AZ1046" s="181">
        <v>0.93839037213207221</v>
      </c>
      <c r="BA1046" s="181">
        <v>0.93839037213207221</v>
      </c>
      <c r="BB1046" s="181">
        <v>0.93839037213207221</v>
      </c>
      <c r="BC1046" s="181">
        <v>0.93839037213207221</v>
      </c>
      <c r="BD1046" s="181">
        <v>0.93839037213207221</v>
      </c>
      <c r="BE1046" s="181">
        <v>0.93839037213207221</v>
      </c>
      <c r="BF1046" s="181">
        <v>0.93839037213207221</v>
      </c>
      <c r="BG1046" s="181">
        <v>0.93839037213207221</v>
      </c>
    </row>
    <row r="1047" spans="1:59" s="109" customFormat="1" ht="16">
      <c r="A1047" s="141" t="s">
        <v>644</v>
      </c>
      <c r="B1047" s="142"/>
      <c r="C1047" s="142"/>
      <c r="D1047" s="142"/>
      <c r="F1047" s="168" t="s">
        <v>703</v>
      </c>
      <c r="W1047" s="116"/>
      <c r="X1047" s="116"/>
      <c r="Y1047" s="116"/>
      <c r="Z1047" s="116"/>
      <c r="AA1047" s="116"/>
      <c r="AB1047" s="116"/>
      <c r="AC1047" s="116"/>
      <c r="AD1047" s="116"/>
      <c r="AE1047" s="181">
        <v>0.22190331915754033</v>
      </c>
      <c r="AF1047" s="181">
        <v>1.653661472370577E-2</v>
      </c>
      <c r="AG1047" s="181">
        <v>1.078312461894873</v>
      </c>
      <c r="AH1047" s="181">
        <v>1.0939724853717148</v>
      </c>
      <c r="AI1047" s="181">
        <v>1.0951793897288968</v>
      </c>
      <c r="AJ1047" s="181">
        <v>1.0950948780913474</v>
      </c>
      <c r="AK1047" s="181">
        <v>1.0949100867708179</v>
      </c>
      <c r="AL1047" s="181">
        <v>1.0977441819392102</v>
      </c>
      <c r="AM1047" s="181">
        <v>1.09455497721867</v>
      </c>
      <c r="AN1047" s="181">
        <v>1.0943847223244489</v>
      </c>
      <c r="AO1047" s="181">
        <v>1.0942193530773954</v>
      </c>
      <c r="AP1047" s="181">
        <v>1.0970717564147567</v>
      </c>
      <c r="AQ1047" s="181">
        <v>1.0939032512205613</v>
      </c>
      <c r="AR1047" s="181">
        <v>1.0937524788082638</v>
      </c>
      <c r="AS1047" s="181">
        <v>1.0936065140076463</v>
      </c>
      <c r="AT1047" s="181">
        <v>1.0964771503780606</v>
      </c>
      <c r="AU1047" s="181">
        <v>1.0933288142565603</v>
      </c>
      <c r="AV1047" s="181">
        <v>1.093196961128158</v>
      </c>
      <c r="AW1047" s="181">
        <v>1.093069680841658</v>
      </c>
      <c r="AX1047" s="181">
        <v>1.0959578187109311</v>
      </c>
      <c r="AY1047" s="181">
        <v>1.0928285239779969</v>
      </c>
      <c r="AZ1047" s="181">
        <v>1.0686552471734423</v>
      </c>
      <c r="BA1047" s="181">
        <v>1.0686552471734423</v>
      </c>
      <c r="BB1047" s="181">
        <v>1.0686552471734423</v>
      </c>
      <c r="BC1047" s="181">
        <v>1.0686552471734423</v>
      </c>
      <c r="BD1047" s="181">
        <v>1.0686552471734423</v>
      </c>
      <c r="BE1047" s="181">
        <v>1.0686552471734423</v>
      </c>
      <c r="BF1047" s="181">
        <v>1.0686552471734423</v>
      </c>
      <c r="BG1047" s="181">
        <v>1.0686552471734423</v>
      </c>
    </row>
    <row r="1048" spans="1:59">
      <c r="A1048" s="141" t="s">
        <v>644</v>
      </c>
      <c r="F1048" s="168" t="s">
        <v>704</v>
      </c>
      <c r="AE1048" s="116">
        <v>0</v>
      </c>
      <c r="AF1048" s="116" t="e">
        <v>#VALUE!</v>
      </c>
      <c r="AG1048" s="116" t="e">
        <v>#VALUE!</v>
      </c>
      <c r="AH1048" s="116" t="e">
        <v>#VALUE!</v>
      </c>
      <c r="AI1048" s="116" t="e">
        <v>#VALUE!</v>
      </c>
      <c r="AJ1048" s="116" t="e">
        <v>#VALUE!</v>
      </c>
      <c r="AK1048" s="116" t="e">
        <v>#VALUE!</v>
      </c>
      <c r="AL1048" s="116" t="e">
        <v>#VALUE!</v>
      </c>
      <c r="AM1048" s="116" t="e">
        <v>#VALUE!</v>
      </c>
      <c r="AN1048" s="116" t="e">
        <v>#VALUE!</v>
      </c>
      <c r="AO1048" s="116" t="e">
        <v>#VALUE!</v>
      </c>
      <c r="AP1048" s="116" t="e">
        <v>#VALUE!</v>
      </c>
      <c r="AQ1048" s="116" t="e">
        <v>#VALUE!</v>
      </c>
      <c r="AR1048" s="116" t="e">
        <v>#VALUE!</v>
      </c>
      <c r="AS1048" s="116" t="e">
        <v>#VALUE!</v>
      </c>
      <c r="AT1048" s="116" t="e">
        <v>#VALUE!</v>
      </c>
      <c r="AU1048" s="116" t="e">
        <v>#VALUE!</v>
      </c>
      <c r="AV1048" s="116">
        <v>0.95229558074964038</v>
      </c>
      <c r="AW1048" s="116">
        <v>0.96308918194811155</v>
      </c>
      <c r="AX1048" s="116">
        <v>0.96589682107429775</v>
      </c>
      <c r="AY1048" s="116">
        <v>0.96339530802403028</v>
      </c>
      <c r="AZ1048" s="116">
        <v>0.96339530802403028</v>
      </c>
      <c r="BA1048" s="116">
        <v>0.96339530802403028</v>
      </c>
      <c r="BB1048" s="116">
        <v>0.96339530802403028</v>
      </c>
      <c r="BC1048" s="116">
        <v>0.96339530802403028</v>
      </c>
      <c r="BD1048" s="116">
        <v>0.96339530802403028</v>
      </c>
      <c r="BE1048" s="116">
        <v>0.96339530802403028</v>
      </c>
      <c r="BF1048" s="116">
        <v>0.96339530802403028</v>
      </c>
      <c r="BG1048" s="116">
        <v>0.96339530802403028</v>
      </c>
    </row>
    <row r="1049" spans="1:59">
      <c r="A1049" s="141" t="s">
        <v>644</v>
      </c>
      <c r="F1049" s="168" t="s">
        <v>705</v>
      </c>
      <c r="AE1049" s="116">
        <v>0</v>
      </c>
      <c r="AF1049" s="116" t="e">
        <v>#VALUE!</v>
      </c>
      <c r="AG1049" s="116" t="e">
        <v>#VALUE!</v>
      </c>
      <c r="AH1049" s="116" t="e">
        <v>#VALUE!</v>
      </c>
      <c r="AI1049" s="116" t="e">
        <v>#VALUE!</v>
      </c>
      <c r="AJ1049" s="116" t="e">
        <v>#VALUE!</v>
      </c>
      <c r="AK1049" s="116" t="e">
        <v>#VALUE!</v>
      </c>
      <c r="AL1049" s="116" t="e">
        <v>#VALUE!</v>
      </c>
      <c r="AM1049" s="116" t="e">
        <v>#VALUE!</v>
      </c>
      <c r="AN1049" s="116" t="e">
        <v>#VALUE!</v>
      </c>
      <c r="AO1049" s="116" t="e">
        <v>#VALUE!</v>
      </c>
      <c r="AP1049" s="116" t="e">
        <v>#VALUE!</v>
      </c>
      <c r="AQ1049" s="116" t="e">
        <v>#VALUE!</v>
      </c>
      <c r="AR1049" s="116" t="e">
        <v>#VALUE!</v>
      </c>
      <c r="AS1049" s="116" t="e">
        <v>#VALUE!</v>
      </c>
      <c r="AT1049" s="116" t="e">
        <v>#VALUE!</v>
      </c>
      <c r="AU1049" s="116" t="e">
        <v>#VALUE!</v>
      </c>
      <c r="AV1049" s="116">
        <v>1.0138174270174825</v>
      </c>
      <c r="AW1049" s="116">
        <v>1.0138783222262855</v>
      </c>
      <c r="AX1049" s="116">
        <v>1.0167294408620777</v>
      </c>
      <c r="AY1049" s="116">
        <v>1.013994758760665</v>
      </c>
      <c r="AZ1049" s="116">
        <v>1.013994758760665</v>
      </c>
      <c r="BA1049" s="116">
        <v>1.013994758760665</v>
      </c>
      <c r="BB1049" s="116">
        <v>1.013994758760665</v>
      </c>
      <c r="BC1049" s="116">
        <v>1.013994758760665</v>
      </c>
      <c r="BD1049" s="116">
        <v>1.013994758760665</v>
      </c>
      <c r="BE1049" s="116">
        <v>1.013994758760665</v>
      </c>
      <c r="BF1049" s="116">
        <v>1.013994758760665</v>
      </c>
      <c r="BG1049" s="116">
        <v>1.013994758760665</v>
      </c>
    </row>
    <row r="1050" spans="1:59">
      <c r="A1050" s="141" t="s">
        <v>644</v>
      </c>
      <c r="F1050" s="168" t="s">
        <v>706</v>
      </c>
      <c r="AE1050" s="116">
        <v>0</v>
      </c>
      <c r="AF1050" s="116" t="e">
        <v>#VALUE!</v>
      </c>
      <c r="AG1050" s="116" t="e">
        <v>#VALUE!</v>
      </c>
      <c r="AH1050" s="116" t="e">
        <v>#VALUE!</v>
      </c>
      <c r="AI1050" s="116" t="e">
        <v>#VALUE!</v>
      </c>
      <c r="AJ1050" s="116" t="e">
        <v>#VALUE!</v>
      </c>
      <c r="AK1050" s="116" t="e">
        <v>#VALUE!</v>
      </c>
      <c r="AL1050" s="116" t="e">
        <v>#VALUE!</v>
      </c>
      <c r="AM1050" s="116" t="e">
        <v>#VALUE!</v>
      </c>
      <c r="AN1050" s="116" t="e">
        <v>#VALUE!</v>
      </c>
      <c r="AO1050" s="116" t="e">
        <v>#VALUE!</v>
      </c>
      <c r="AP1050" s="116" t="e">
        <v>#VALUE!</v>
      </c>
      <c r="AQ1050" s="116" t="e">
        <v>#VALUE!</v>
      </c>
      <c r="AR1050" s="116" t="e">
        <v>#VALUE!</v>
      </c>
      <c r="AS1050" s="116" t="e">
        <v>#VALUE!</v>
      </c>
      <c r="AT1050" s="116" t="e">
        <v>#VALUE!</v>
      </c>
      <c r="AU1050" s="116" t="e">
        <v>#VALUE!</v>
      </c>
      <c r="AV1050" s="116">
        <v>0.95956467046728466</v>
      </c>
      <c r="AW1050" s="116">
        <v>0.95951508787823858</v>
      </c>
      <c r="AX1050" s="116">
        <v>0.96210908336427969</v>
      </c>
      <c r="AY1050" s="116">
        <v>0.95942016337281188</v>
      </c>
      <c r="AZ1050" s="116">
        <v>0.95942016337281188</v>
      </c>
      <c r="BA1050" s="116">
        <v>0.95942016337281188</v>
      </c>
      <c r="BB1050" s="116">
        <v>0.95942016337281188</v>
      </c>
      <c r="BC1050" s="116">
        <v>0.95942016337281188</v>
      </c>
      <c r="BD1050" s="116">
        <v>0.95942016337281188</v>
      </c>
      <c r="BE1050" s="116">
        <v>0.95942016337281188</v>
      </c>
      <c r="BF1050" s="116">
        <v>0.95942016337281188</v>
      </c>
      <c r="BG1050" s="116">
        <v>0.95942016337281188</v>
      </c>
    </row>
    <row r="1051" spans="1:59">
      <c r="A1051" s="141" t="s">
        <v>644</v>
      </c>
      <c r="F1051" s="168" t="s">
        <v>707</v>
      </c>
      <c r="AE1051" s="116">
        <v>0</v>
      </c>
      <c r="AF1051" s="116" t="e">
        <v>#VALUE!</v>
      </c>
      <c r="AG1051" s="116" t="e">
        <v>#VALUE!</v>
      </c>
      <c r="AH1051" s="116" t="e">
        <v>#VALUE!</v>
      </c>
      <c r="AI1051" s="116" t="e">
        <v>#VALUE!</v>
      </c>
      <c r="AJ1051" s="116" t="e">
        <v>#VALUE!</v>
      </c>
      <c r="AK1051" s="116" t="e">
        <v>#VALUE!</v>
      </c>
      <c r="AL1051" s="116" t="e">
        <v>#VALUE!</v>
      </c>
      <c r="AM1051" s="116" t="e">
        <v>#VALUE!</v>
      </c>
      <c r="AN1051" s="116" t="e">
        <v>#VALUE!</v>
      </c>
      <c r="AO1051" s="116" t="e">
        <v>#VALUE!</v>
      </c>
      <c r="AP1051" s="116" t="e">
        <v>#VALUE!</v>
      </c>
      <c r="AQ1051" s="116" t="e">
        <v>#VALUE!</v>
      </c>
      <c r="AR1051" s="116" t="e">
        <v>#VALUE!</v>
      </c>
      <c r="AS1051" s="116" t="e">
        <v>#VALUE!</v>
      </c>
      <c r="AT1051" s="116" t="e">
        <v>#VALUE!</v>
      </c>
      <c r="AU1051" s="116" t="e">
        <v>#VALUE!</v>
      </c>
      <c r="AV1051" s="116">
        <v>1.0630716946754017</v>
      </c>
      <c r="AW1051" s="116">
        <v>1.0629048125045479</v>
      </c>
      <c r="AX1051" s="116">
        <v>1.0656693475779258</v>
      </c>
      <c r="AY1051" s="116">
        <v>1.0625856001948124</v>
      </c>
      <c r="AZ1051" s="116">
        <v>1.0625856001948124</v>
      </c>
      <c r="BA1051" s="116">
        <v>1.0625856001948124</v>
      </c>
      <c r="BB1051" s="116">
        <v>1.0625856001948124</v>
      </c>
      <c r="BC1051" s="116">
        <v>1.0625856001948124</v>
      </c>
      <c r="BD1051" s="116">
        <v>1.0625856001948124</v>
      </c>
      <c r="BE1051" s="116">
        <v>1.0625856001948124</v>
      </c>
      <c r="BF1051" s="116">
        <v>1.0625856001948124</v>
      </c>
      <c r="BG1051" s="116">
        <v>1.0625856001948124</v>
      </c>
    </row>
    <row r="1052" spans="1:59">
      <c r="AE1052" s="143"/>
      <c r="AF1052" s="143"/>
    </row>
    <row r="1053" spans="1:59">
      <c r="AE1053" s="143"/>
      <c r="AF1053" s="143"/>
    </row>
    <row r="1054" spans="1:59">
      <c r="AE1054" s="143"/>
      <c r="AF1054" s="143"/>
    </row>
    <row r="1055" spans="1:59">
      <c r="AE1055" s="143"/>
      <c r="AF1055" s="143"/>
    </row>
    <row r="1056" spans="1:59">
      <c r="AE1056" s="143"/>
      <c r="AF1056" s="143"/>
    </row>
    <row r="1057" spans="31:32">
      <c r="AE1057" s="143"/>
      <c r="AF1057" s="143"/>
    </row>
    <row r="1058" spans="31:32">
      <c r="AE1058" s="143"/>
      <c r="AF1058" s="143"/>
    </row>
    <row r="1059" spans="31:32">
      <c r="AE1059" s="143"/>
      <c r="AF1059" s="143"/>
    </row>
    <row r="1060" spans="31:32">
      <c r="AE1060" s="143"/>
      <c r="AF1060" s="143"/>
    </row>
    <row r="1061" spans="31:32">
      <c r="AE1061" s="143"/>
      <c r="AF1061" s="143"/>
    </row>
    <row r="1062" spans="31:32">
      <c r="AE1062" s="143"/>
      <c r="AF1062" s="143"/>
    </row>
    <row r="1063" spans="31:32">
      <c r="AE1063" s="143"/>
      <c r="AF1063" s="143"/>
    </row>
    <row r="1064" spans="31:32">
      <c r="AE1064" s="143"/>
      <c r="AF1064" s="143"/>
    </row>
    <row r="1065" spans="31:32">
      <c r="AE1065" s="143"/>
      <c r="AF1065" s="143"/>
    </row>
    <row r="1066" spans="31:32">
      <c r="AE1066" s="143"/>
      <c r="AF1066" s="143"/>
    </row>
    <row r="1067" spans="31:32">
      <c r="AE1067" s="143"/>
      <c r="AF1067" s="143"/>
    </row>
    <row r="1068" spans="31:32">
      <c r="AE1068" s="143"/>
      <c r="AF1068" s="143"/>
    </row>
    <row r="1069" spans="31:32">
      <c r="AE1069" s="143"/>
      <c r="AF1069" s="143"/>
    </row>
    <row r="1070" spans="31:32">
      <c r="AE1070" s="143"/>
      <c r="AF1070" s="143"/>
    </row>
  </sheetData>
  <autoFilter ref="A1:AM1047" xr:uid="{00000000-0009-0000-0000-00000A000000}"/>
  <pageMargins left="0.19685039370078741" right="0.70866141732283472" top="0.19685039370078741" bottom="0.19685039370078741" header="0.11811023622047245" footer="0.19685039370078741"/>
  <pageSetup paperSize="9" scale="20" orientation="portrait" r:id="rId1"/>
  <rowBreaks count="1" manualBreakCount="1">
    <brk id="193" max="3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  <pageSetUpPr fitToPage="1"/>
  </sheetPr>
  <dimension ref="A1:BG1091"/>
  <sheetViews>
    <sheetView showGridLines="0" zoomScale="70" zoomScaleNormal="70" zoomScaleSheetLayoutView="85" workbookViewId="0">
      <pane xSplit="7" ySplit="1" topLeftCell="V241" activePane="bottomRight" state="frozen"/>
      <selection activeCell="Q7" sqref="Q7"/>
      <selection pane="topRight" activeCell="Q7" sqref="Q7"/>
      <selection pane="bottomLeft" activeCell="Q7" sqref="Q7"/>
      <selection pane="bottomRight" activeCell="F254" sqref="F254"/>
    </sheetView>
  </sheetViews>
  <sheetFormatPr baseColWidth="10" defaultColWidth="8.1640625" defaultRowHeight="13" outlineLevelRow="1" outlineLevelCol="1"/>
  <cols>
    <col min="1" max="1" width="3.6640625" style="141" customWidth="1" outlineLevel="1"/>
    <col min="2" max="2" width="20.1640625" style="142" customWidth="1" outlineLevel="1"/>
    <col min="3" max="3" width="11.83203125" style="142" customWidth="1" outlineLevel="1"/>
    <col min="4" max="4" width="9.33203125" style="142" customWidth="1"/>
    <col min="5" max="5" width="20.6640625" style="109" hidden="1" customWidth="1"/>
    <col min="6" max="6" width="44.1640625" style="109" customWidth="1"/>
    <col min="7" max="7" width="9.6640625" style="109" customWidth="1"/>
    <col min="8" max="8" width="8.33203125" style="109" customWidth="1"/>
    <col min="9" max="9" width="18.33203125" style="109" customWidth="1"/>
    <col min="10" max="21" width="8.6640625" style="109" hidden="1" customWidth="1" outlineLevel="1"/>
    <col min="22" max="22" width="8.6640625" style="109" customWidth="1" collapsed="1"/>
    <col min="23" max="34" width="8.6640625" style="116" customWidth="1"/>
    <col min="35" max="59" width="8.6640625" style="109" customWidth="1"/>
    <col min="60" max="16384" width="8.1640625" style="109"/>
  </cols>
  <sheetData>
    <row r="1" spans="1:59" s="106" customFormat="1">
      <c r="A1" s="102" t="s">
        <v>77</v>
      </c>
      <c r="B1" s="102" t="s">
        <v>78</v>
      </c>
      <c r="C1" s="102" t="s">
        <v>79</v>
      </c>
      <c r="D1" s="102" t="s">
        <v>80</v>
      </c>
      <c r="E1" s="103" t="s">
        <v>81</v>
      </c>
      <c r="F1" s="103" t="s">
        <v>82</v>
      </c>
      <c r="G1" s="103" t="s">
        <v>83</v>
      </c>
      <c r="H1" s="103" t="s">
        <v>84</v>
      </c>
      <c r="I1" s="104" t="s">
        <v>85</v>
      </c>
      <c r="J1" s="105">
        <v>2001</v>
      </c>
      <c r="K1" s="105">
        <v>2002</v>
      </c>
      <c r="L1" s="105">
        <v>2003</v>
      </c>
      <c r="M1" s="105">
        <v>2004</v>
      </c>
      <c r="N1" s="105">
        <v>2005</v>
      </c>
      <c r="O1" s="105">
        <v>2006</v>
      </c>
      <c r="P1" s="105">
        <v>2007</v>
      </c>
      <c r="Q1" s="105">
        <v>2008</v>
      </c>
      <c r="R1" s="105">
        <v>2009</v>
      </c>
      <c r="S1" s="105">
        <v>2010</v>
      </c>
      <c r="T1" s="105">
        <v>2011</v>
      </c>
      <c r="U1" s="105">
        <v>2012</v>
      </c>
      <c r="V1" s="105">
        <v>2013</v>
      </c>
      <c r="W1" s="105">
        <v>2014</v>
      </c>
      <c r="X1" s="105">
        <v>2015</v>
      </c>
      <c r="Y1" s="105">
        <v>2016</v>
      </c>
      <c r="Z1" s="105">
        <v>2017</v>
      </c>
      <c r="AA1" s="105">
        <v>2018</v>
      </c>
      <c r="AB1" s="105">
        <v>2019</v>
      </c>
      <c r="AC1" s="105">
        <v>2020</v>
      </c>
      <c r="AD1" s="105">
        <v>2021</v>
      </c>
      <c r="AE1" s="105">
        <v>2022</v>
      </c>
      <c r="AF1" s="105">
        <v>2023</v>
      </c>
      <c r="AG1" s="105">
        <v>2024</v>
      </c>
      <c r="AH1" s="105">
        <v>2025</v>
      </c>
      <c r="AI1" s="105">
        <v>2026</v>
      </c>
      <c r="AJ1" s="105">
        <v>2027</v>
      </c>
      <c r="AK1" s="105">
        <v>2028</v>
      </c>
      <c r="AL1" s="105">
        <v>2029</v>
      </c>
      <c r="AM1" s="105">
        <v>2030</v>
      </c>
      <c r="AN1" s="105">
        <v>2031</v>
      </c>
      <c r="AO1" s="105">
        <v>2032</v>
      </c>
      <c r="AP1" s="105">
        <v>2033</v>
      </c>
      <c r="AQ1" s="105">
        <v>2034</v>
      </c>
      <c r="AR1" s="105">
        <v>2035</v>
      </c>
      <c r="AS1" s="105">
        <v>2036</v>
      </c>
      <c r="AT1" s="105">
        <v>2037</v>
      </c>
      <c r="AU1" s="105">
        <v>2038</v>
      </c>
      <c r="AV1" s="105">
        <v>2039</v>
      </c>
      <c r="AW1" s="105">
        <v>2040</v>
      </c>
      <c r="AX1" s="105">
        <v>2041</v>
      </c>
      <c r="AY1" s="105">
        <v>2042</v>
      </c>
      <c r="AZ1" s="105">
        <v>2043</v>
      </c>
      <c r="BA1" s="105">
        <v>2044</v>
      </c>
      <c r="BB1" s="105">
        <v>2045</v>
      </c>
      <c r="BC1" s="105">
        <v>2046</v>
      </c>
      <c r="BD1" s="105">
        <v>2047</v>
      </c>
      <c r="BE1" s="105">
        <v>2048</v>
      </c>
      <c r="BF1" s="105">
        <v>2049</v>
      </c>
      <c r="BG1" s="105">
        <v>2050</v>
      </c>
    </row>
    <row r="2" spans="1:59" ht="13.75" customHeight="1">
      <c r="A2" s="141" t="s">
        <v>86</v>
      </c>
      <c r="B2" s="165"/>
      <c r="C2" s="165"/>
      <c r="D2" s="166" t="s">
        <v>87</v>
      </c>
      <c r="E2" s="167"/>
      <c r="F2" s="168" t="s">
        <v>88</v>
      </c>
      <c r="G2" s="168" t="s">
        <v>3</v>
      </c>
      <c r="H2" s="168" t="s">
        <v>89</v>
      </c>
      <c r="I2" s="168" t="s">
        <v>90</v>
      </c>
      <c r="J2" s="123">
        <v>5.0999999999999934E-2</v>
      </c>
      <c r="K2" s="123">
        <v>4.7000000000000153E-2</v>
      </c>
      <c r="L2" s="123">
        <v>7.2956140639931499E-2</v>
      </c>
      <c r="M2" s="123">
        <v>7.1759330350896766E-2</v>
      </c>
      <c r="N2" s="123">
        <v>6.3764415208960923E-2</v>
      </c>
      <c r="O2" s="123">
        <v>8.1534248215381355E-2</v>
      </c>
      <c r="P2" s="123">
        <v>8.5350329047505724E-2</v>
      </c>
      <c r="Q2" s="123">
        <v>5.24775171028109E-2</v>
      </c>
      <c r="R2" s="123">
        <v>-7.8208582060624976E-2</v>
      </c>
      <c r="S2" s="123">
        <v>4.503713671462295E-2</v>
      </c>
      <c r="T2" s="123">
        <v>4.2643515700841572E-2</v>
      </c>
      <c r="U2" s="107">
        <v>3.6559015730638293E-2</v>
      </c>
      <c r="V2" s="110">
        <v>1.7853545009105715E-2</v>
      </c>
      <c r="W2" s="110">
        <v>7.3860077330101604E-3</v>
      </c>
      <c r="X2" s="107">
        <v>-2.5383167926162287E-2</v>
      </c>
      <c r="Y2" s="107">
        <v>2.8878411599990274E-3</v>
      </c>
      <c r="Z2" s="107">
        <v>1.6468836726949689E-2</v>
      </c>
      <c r="AA2" s="107">
        <v>2.8063408200000025E-2</v>
      </c>
      <c r="AB2" s="108">
        <v>2.0329827399999899E-2</v>
      </c>
      <c r="AC2" s="108">
        <v>-2.6832962200000025E-2</v>
      </c>
      <c r="AD2" s="108">
        <v>5.6142322974481476E-2</v>
      </c>
      <c r="AE2" s="108">
        <v>-2.0696995454377344E-2</v>
      </c>
      <c r="AF2" s="108">
        <v>2.2180927271783307E-2</v>
      </c>
      <c r="AG2" s="108">
        <v>1.1781038725795272E-2</v>
      </c>
      <c r="AH2" s="108">
        <v>9.4168941013002688E-3</v>
      </c>
      <c r="AI2" s="108">
        <v>1.3064326597829145E-2</v>
      </c>
      <c r="AJ2" s="108">
        <v>1.4999999999999999E-2</v>
      </c>
      <c r="AK2" s="108">
        <f t="shared" ref="AK2:AZ3" si="0">AJ2</f>
        <v>1.4999999999999999E-2</v>
      </c>
      <c r="AL2" s="108">
        <f t="shared" si="0"/>
        <v>1.4999999999999999E-2</v>
      </c>
      <c r="AM2" s="108">
        <f t="shared" si="0"/>
        <v>1.4999999999999999E-2</v>
      </c>
      <c r="AN2" s="108">
        <f t="shared" si="0"/>
        <v>1.4999999999999999E-2</v>
      </c>
      <c r="AO2" s="108">
        <f t="shared" si="0"/>
        <v>1.4999999999999999E-2</v>
      </c>
      <c r="AP2" s="108">
        <f t="shared" si="0"/>
        <v>1.4999999999999999E-2</v>
      </c>
      <c r="AQ2" s="108">
        <f t="shared" si="0"/>
        <v>1.4999999999999999E-2</v>
      </c>
      <c r="AR2" s="108">
        <f t="shared" si="0"/>
        <v>1.4999999999999999E-2</v>
      </c>
      <c r="AS2" s="108">
        <f t="shared" si="0"/>
        <v>1.4999999999999999E-2</v>
      </c>
      <c r="AT2" s="108">
        <f t="shared" si="0"/>
        <v>1.4999999999999999E-2</v>
      </c>
      <c r="AU2" s="108">
        <f t="shared" si="0"/>
        <v>1.4999999999999999E-2</v>
      </c>
      <c r="AV2" s="108">
        <f t="shared" si="0"/>
        <v>1.4999999999999999E-2</v>
      </c>
      <c r="AW2" s="108">
        <f t="shared" si="0"/>
        <v>1.4999999999999999E-2</v>
      </c>
      <c r="AX2" s="108">
        <f t="shared" si="0"/>
        <v>1.4999999999999999E-2</v>
      </c>
      <c r="AY2" s="108">
        <f t="shared" si="0"/>
        <v>1.4999999999999999E-2</v>
      </c>
      <c r="AZ2" s="108">
        <f t="shared" si="0"/>
        <v>1.4999999999999999E-2</v>
      </c>
      <c r="BA2" s="108">
        <f t="shared" ref="BA2:BG5" si="1">AZ2</f>
        <v>1.4999999999999999E-2</v>
      </c>
      <c r="BB2" s="108">
        <f t="shared" si="1"/>
        <v>1.4999999999999999E-2</v>
      </c>
      <c r="BC2" s="108">
        <f t="shared" si="1"/>
        <v>1.4999999999999999E-2</v>
      </c>
      <c r="BD2" s="108">
        <f t="shared" si="1"/>
        <v>1.4999999999999999E-2</v>
      </c>
      <c r="BE2" s="108">
        <f t="shared" si="1"/>
        <v>1.4999999999999999E-2</v>
      </c>
      <c r="BF2" s="108">
        <f t="shared" si="1"/>
        <v>1.4999999999999999E-2</v>
      </c>
      <c r="BG2" s="108">
        <f t="shared" si="1"/>
        <v>1.4999999999999999E-2</v>
      </c>
    </row>
    <row r="3" spans="1:59" ht="13.75" customHeight="1">
      <c r="A3" s="141" t="s">
        <v>86</v>
      </c>
      <c r="B3" s="165"/>
      <c r="C3" s="165"/>
      <c r="D3" s="166" t="s">
        <v>87</v>
      </c>
      <c r="E3" s="167"/>
      <c r="F3" s="168" t="s">
        <v>91</v>
      </c>
      <c r="G3" s="168" t="s">
        <v>3</v>
      </c>
      <c r="H3" s="168"/>
      <c r="I3" s="168" t="s">
        <v>90</v>
      </c>
      <c r="J3" s="123">
        <v>0.18579999999999999</v>
      </c>
      <c r="K3" s="123">
        <v>0.15060000000000001</v>
      </c>
      <c r="L3" s="123">
        <v>0.11989999999999995</v>
      </c>
      <c r="M3" s="123">
        <v>0.11730000000000004</v>
      </c>
      <c r="N3" s="123">
        <v>0.10920000000000002</v>
      </c>
      <c r="O3" s="123">
        <v>0.09</v>
      </c>
      <c r="P3" s="123">
        <v>0.11870000000000004</v>
      </c>
      <c r="Q3" s="123">
        <v>0.1328</v>
      </c>
      <c r="R3" s="123">
        <v>8.7999999999999967E-2</v>
      </c>
      <c r="S3" s="123">
        <v>8.7800000000000017E-2</v>
      </c>
      <c r="T3" s="123">
        <v>6.0999999999999943E-2</v>
      </c>
      <c r="U3" s="107">
        <v>6.6000000000000003E-2</v>
      </c>
      <c r="V3" s="107">
        <v>6.5000000000000002E-2</v>
      </c>
      <c r="W3" s="107">
        <v>0.114</v>
      </c>
      <c r="X3" s="107">
        <v>0.12909999999999999</v>
      </c>
      <c r="Y3" s="107">
        <v>5.4000000000000006E-2</v>
      </c>
      <c r="Z3" s="107">
        <v>2.5000000000000001E-2</v>
      </c>
      <c r="AA3" s="107">
        <v>4.2600000000000054E-2</v>
      </c>
      <c r="AB3" s="107">
        <v>3.0400000000000062E-2</v>
      </c>
      <c r="AC3" s="107">
        <v>4.9099999999999963E-2</v>
      </c>
      <c r="AD3" s="107">
        <v>8.394561758750374E-2</v>
      </c>
      <c r="AE3" s="107">
        <v>0.11923569598633632</v>
      </c>
      <c r="AF3" s="107">
        <v>7.0965337750225954E-2</v>
      </c>
      <c r="AG3" s="107">
        <v>6.3441420107429369E-2</v>
      </c>
      <c r="AH3" s="107">
        <v>3.158962342501126E-2</v>
      </c>
      <c r="AI3" s="107">
        <v>3.966564408166029E-2</v>
      </c>
      <c r="AJ3" s="107">
        <v>0.04</v>
      </c>
      <c r="AK3" s="107">
        <f t="shared" si="0"/>
        <v>0.04</v>
      </c>
      <c r="AL3" s="107">
        <f t="shared" si="0"/>
        <v>0.04</v>
      </c>
      <c r="AM3" s="107">
        <f t="shared" si="0"/>
        <v>0.04</v>
      </c>
      <c r="AN3" s="107">
        <f t="shared" si="0"/>
        <v>0.04</v>
      </c>
      <c r="AO3" s="107">
        <f t="shared" si="0"/>
        <v>0.04</v>
      </c>
      <c r="AP3" s="107">
        <f t="shared" si="0"/>
        <v>0.04</v>
      </c>
      <c r="AQ3" s="107">
        <f t="shared" si="0"/>
        <v>0.04</v>
      </c>
      <c r="AR3" s="107">
        <f t="shared" si="0"/>
        <v>0.04</v>
      </c>
      <c r="AS3" s="107">
        <f t="shared" si="0"/>
        <v>0.04</v>
      </c>
      <c r="AT3" s="107">
        <f t="shared" si="0"/>
        <v>0.04</v>
      </c>
      <c r="AU3" s="107">
        <f t="shared" si="0"/>
        <v>0.04</v>
      </c>
      <c r="AV3" s="107">
        <f t="shared" si="0"/>
        <v>0.04</v>
      </c>
      <c r="AW3" s="107">
        <f t="shared" si="0"/>
        <v>0.04</v>
      </c>
      <c r="AX3" s="107">
        <f t="shared" si="0"/>
        <v>0.04</v>
      </c>
      <c r="AY3" s="107">
        <f t="shared" si="0"/>
        <v>0.04</v>
      </c>
      <c r="AZ3" s="107">
        <f t="shared" si="0"/>
        <v>0.04</v>
      </c>
      <c r="BA3" s="107">
        <f t="shared" si="1"/>
        <v>0.04</v>
      </c>
      <c r="BB3" s="107">
        <f t="shared" si="1"/>
        <v>0.04</v>
      </c>
      <c r="BC3" s="107">
        <f t="shared" si="1"/>
        <v>0.04</v>
      </c>
      <c r="BD3" s="107">
        <f t="shared" si="1"/>
        <v>0.04</v>
      </c>
      <c r="BE3" s="107">
        <f t="shared" si="1"/>
        <v>0.04</v>
      </c>
      <c r="BF3" s="107">
        <f t="shared" si="1"/>
        <v>0.04</v>
      </c>
      <c r="BG3" s="107">
        <f t="shared" si="1"/>
        <v>0.04</v>
      </c>
    </row>
    <row r="4" spans="1:59" ht="13.75" customHeight="1">
      <c r="A4" s="141" t="s">
        <v>86</v>
      </c>
      <c r="B4" s="165"/>
      <c r="C4" s="165"/>
      <c r="D4" s="165" t="s">
        <v>92</v>
      </c>
      <c r="E4" s="167"/>
      <c r="F4" s="168" t="s">
        <v>93</v>
      </c>
      <c r="G4" s="168" t="s">
        <v>3</v>
      </c>
      <c r="H4" s="168"/>
      <c r="I4" s="168" t="s">
        <v>94</v>
      </c>
      <c r="J4" s="123">
        <v>1.7242899999999999E-2</v>
      </c>
      <c r="K4" s="123">
        <v>1.72766E-2</v>
      </c>
      <c r="L4" s="123">
        <v>1.4146700000000002E-2</v>
      </c>
      <c r="M4" s="123">
        <v>2.1474000000000004E-2</v>
      </c>
      <c r="N4" s="123">
        <v>2.1996399999999999E-2</v>
      </c>
      <c r="O4" s="123">
        <v>2.2229200000000001E-2</v>
      </c>
      <c r="P4" s="123">
        <v>2.3346800000000001E-2</v>
      </c>
      <c r="Q4" s="123">
        <v>1.35128E-2</v>
      </c>
      <c r="R4" s="123">
        <v>1.6155599999999999E-2</v>
      </c>
      <c r="S4" s="123">
        <v>9.0210999999999989E-3</v>
      </c>
      <c r="T4" s="123">
        <v>2.0582600000000003E-2</v>
      </c>
      <c r="U4" s="110">
        <v>1.71363E-2</v>
      </c>
      <c r="V4" s="110">
        <v>1.6330999999999998E-2</v>
      </c>
      <c r="W4" s="110">
        <v>1.46123E-2</v>
      </c>
      <c r="X4" s="107">
        <v>1.2523400000000001E-2</v>
      </c>
      <c r="Y4" s="107">
        <v>1.85337E-2</v>
      </c>
      <c r="Z4" s="107">
        <v>1.6384200000000002E-2</v>
      </c>
      <c r="AA4" s="110">
        <v>1.9E-2</v>
      </c>
      <c r="AB4" s="110">
        <v>2.3E-2</v>
      </c>
      <c r="AC4" s="110">
        <v>1.4E-2</v>
      </c>
      <c r="AD4" s="107">
        <v>7.0965239828017848E-2</v>
      </c>
      <c r="AE4" s="110">
        <v>6.5000000000000002E-2</v>
      </c>
      <c r="AF4" s="110">
        <v>3.1843454310135098E-2</v>
      </c>
      <c r="AG4" s="110">
        <v>2.05918250055575E-2</v>
      </c>
      <c r="AH4" s="110">
        <v>2.0591825005557101E-2</v>
      </c>
      <c r="AI4" s="110">
        <v>2.0591825005557202E-2</v>
      </c>
      <c r="AJ4" s="110">
        <v>0.02</v>
      </c>
      <c r="AK4" s="110">
        <v>0.02</v>
      </c>
      <c r="AL4" s="110">
        <v>0.02</v>
      </c>
      <c r="AM4" s="110">
        <v>0.02</v>
      </c>
      <c r="AN4" s="110">
        <v>0.02</v>
      </c>
      <c r="AO4" s="110">
        <v>0.02</v>
      </c>
      <c r="AP4" s="110">
        <v>0.02</v>
      </c>
      <c r="AQ4" s="110">
        <v>0.02</v>
      </c>
      <c r="AR4" s="110">
        <v>0.02</v>
      </c>
      <c r="AS4" s="110">
        <v>0.02</v>
      </c>
      <c r="AT4" s="110">
        <v>0.02</v>
      </c>
      <c r="AU4" s="110">
        <v>0.02</v>
      </c>
      <c r="AV4" s="110">
        <v>0.02</v>
      </c>
      <c r="AW4" s="110">
        <v>0.02</v>
      </c>
      <c r="AX4" s="110">
        <v>0.02</v>
      </c>
      <c r="AY4" s="110">
        <v>0.02</v>
      </c>
      <c r="AZ4" s="110">
        <v>0.02</v>
      </c>
      <c r="BA4" s="110">
        <v>0.02</v>
      </c>
      <c r="BB4" s="110">
        <v>0.02</v>
      </c>
      <c r="BC4" s="110">
        <f>BB4</f>
        <v>0.02</v>
      </c>
      <c r="BD4" s="110">
        <f t="shared" si="1"/>
        <v>0.02</v>
      </c>
      <c r="BE4" s="110">
        <f t="shared" si="1"/>
        <v>0.02</v>
      </c>
      <c r="BF4" s="110">
        <f t="shared" si="1"/>
        <v>0.02</v>
      </c>
      <c r="BG4" s="110">
        <f t="shared" si="1"/>
        <v>0.02</v>
      </c>
    </row>
    <row r="5" spans="1:59" ht="13.75" customHeight="1">
      <c r="A5" s="141" t="s">
        <v>86</v>
      </c>
      <c r="B5" s="165"/>
      <c r="C5" s="165"/>
      <c r="D5" s="166" t="s">
        <v>87</v>
      </c>
      <c r="E5" s="167"/>
      <c r="F5" s="168" t="s">
        <v>95</v>
      </c>
      <c r="G5" s="168" t="s">
        <v>3</v>
      </c>
      <c r="H5" s="168"/>
      <c r="I5" s="168" t="s">
        <v>90</v>
      </c>
      <c r="J5" s="123">
        <v>8.3299999999999985E-2</v>
      </c>
      <c r="K5" s="123">
        <v>0.17650000000000005</v>
      </c>
      <c r="L5" s="123">
        <v>0.12540000000000007</v>
      </c>
      <c r="M5" s="123">
        <v>0.28830000000000011</v>
      </c>
      <c r="N5" s="123">
        <v>0.13349999999999995</v>
      </c>
      <c r="O5" s="123">
        <v>0.10370000000000004</v>
      </c>
      <c r="P5" s="123">
        <v>0.25069999999999992</v>
      </c>
      <c r="Q5" s="123">
        <v>-7.0000000000000007E-2</v>
      </c>
      <c r="R5" s="123">
        <v>0.13849999999999996</v>
      </c>
      <c r="S5" s="123">
        <v>0.16659999999999997</v>
      </c>
      <c r="T5" s="123">
        <v>0.12010000000000005</v>
      </c>
      <c r="U5" s="107">
        <v>5.0999999999999997E-2</v>
      </c>
      <c r="V5" s="107">
        <v>3.4599999999999964E-2</v>
      </c>
      <c r="W5" s="107">
        <v>6.2799999999999967E-2</v>
      </c>
      <c r="X5" s="107">
        <v>0.12139999999999995</v>
      </c>
      <c r="Y5" s="107">
        <v>7.4500000000000011E-2</v>
      </c>
      <c r="Z5" s="107">
        <v>8.3699999999999997E-2</v>
      </c>
      <c r="AA5" s="107">
        <v>0.11709999999999994</v>
      </c>
      <c r="AB5" s="107">
        <v>-4.2600000000000054E-2</v>
      </c>
      <c r="AC5" s="107">
        <v>3.5600000000000021E-2</v>
      </c>
      <c r="AD5" s="107">
        <v>0.28520000000000012</v>
      </c>
      <c r="AE5" s="107">
        <v>-3.2999999999999974E-2</v>
      </c>
      <c r="AF5" s="107">
        <v>0.23133026259058975</v>
      </c>
      <c r="AG5" s="107">
        <v>1.4501784431709464E-2</v>
      </c>
      <c r="AH5" s="107">
        <v>2.1269903570611204E-2</v>
      </c>
      <c r="AI5" s="107">
        <v>3.6386717703610794E-2</v>
      </c>
      <c r="AJ5" s="107">
        <v>0.04</v>
      </c>
      <c r="AK5" s="107">
        <f t="shared" ref="AK5:BB5" si="2">AJ5</f>
        <v>0.04</v>
      </c>
      <c r="AL5" s="107">
        <f t="shared" si="2"/>
        <v>0.04</v>
      </c>
      <c r="AM5" s="107">
        <f t="shared" si="2"/>
        <v>0.04</v>
      </c>
      <c r="AN5" s="107">
        <f t="shared" si="2"/>
        <v>0.04</v>
      </c>
      <c r="AO5" s="107">
        <f t="shared" si="2"/>
        <v>0.04</v>
      </c>
      <c r="AP5" s="107">
        <f t="shared" si="2"/>
        <v>0.04</v>
      </c>
      <c r="AQ5" s="107">
        <f t="shared" si="2"/>
        <v>0.04</v>
      </c>
      <c r="AR5" s="107">
        <f t="shared" si="2"/>
        <v>0.04</v>
      </c>
      <c r="AS5" s="107">
        <f t="shared" si="2"/>
        <v>0.04</v>
      </c>
      <c r="AT5" s="107">
        <f t="shared" si="2"/>
        <v>0.04</v>
      </c>
      <c r="AU5" s="107">
        <f t="shared" si="2"/>
        <v>0.04</v>
      </c>
      <c r="AV5" s="107">
        <f t="shared" si="2"/>
        <v>0.04</v>
      </c>
      <c r="AW5" s="107">
        <f t="shared" si="2"/>
        <v>0.04</v>
      </c>
      <c r="AX5" s="107">
        <f t="shared" si="2"/>
        <v>0.04</v>
      </c>
      <c r="AY5" s="107">
        <f t="shared" si="2"/>
        <v>0.04</v>
      </c>
      <c r="AZ5" s="107">
        <f t="shared" si="2"/>
        <v>0.04</v>
      </c>
      <c r="BA5" s="107">
        <f t="shared" si="2"/>
        <v>0.04</v>
      </c>
      <c r="BB5" s="107">
        <f t="shared" si="2"/>
        <v>0.04</v>
      </c>
      <c r="BC5" s="107">
        <f>BB5</f>
        <v>0.04</v>
      </c>
      <c r="BD5" s="107">
        <f t="shared" si="1"/>
        <v>0.04</v>
      </c>
      <c r="BE5" s="107">
        <f t="shared" si="1"/>
        <v>0.04</v>
      </c>
      <c r="BF5" s="107">
        <f t="shared" si="1"/>
        <v>0.04</v>
      </c>
      <c r="BG5" s="107">
        <f t="shared" si="1"/>
        <v>0.04</v>
      </c>
    </row>
    <row r="6" spans="1:59" ht="13.75" customHeight="1">
      <c r="A6" s="141" t="s">
        <v>86</v>
      </c>
      <c r="B6" s="165"/>
      <c r="C6" s="165"/>
      <c r="D6" s="166" t="s">
        <v>87</v>
      </c>
      <c r="E6" s="167"/>
      <c r="F6" s="168" t="s">
        <v>96</v>
      </c>
      <c r="G6" s="168" t="s">
        <v>3</v>
      </c>
      <c r="H6" s="168"/>
      <c r="I6" s="169" t="s">
        <v>97</v>
      </c>
      <c r="J6" s="123">
        <v>0.16489519347599996</v>
      </c>
      <c r="K6" s="123">
        <v>0.15613926203768627</v>
      </c>
      <c r="L6" s="123">
        <v>0.13780061468851998</v>
      </c>
      <c r="M6" s="123">
        <v>0.2028207692821789</v>
      </c>
      <c r="N6" s="123">
        <v>0.19306094835868493</v>
      </c>
      <c r="O6" s="123">
        <v>0.15170047105096246</v>
      </c>
      <c r="P6" s="123">
        <v>0.13804420679740631</v>
      </c>
      <c r="Q6" s="123">
        <v>0.17959714037318933</v>
      </c>
      <c r="R6" s="123">
        <v>1.9937228232017646E-2</v>
      </c>
      <c r="S6" s="123">
        <v>0.14187038581354486</v>
      </c>
      <c r="T6" s="123">
        <v>0.15914447600206813</v>
      </c>
      <c r="U6" s="107">
        <v>7.3999999999999996E-2</v>
      </c>
      <c r="V6" s="107">
        <v>0.05</v>
      </c>
      <c r="W6" s="107">
        <v>8.8999999999999996E-2</v>
      </c>
      <c r="X6" s="107">
        <v>7.9000000000000001E-2</v>
      </c>
      <c r="Y6" s="107">
        <v>3.5158922314520946E-2</v>
      </c>
      <c r="Z6" s="107">
        <v>4.4000000000000004E-2</v>
      </c>
      <c r="AA6" s="107">
        <v>9.9989475800000061E-2</v>
      </c>
      <c r="AB6" s="107">
        <v>3.0841738400000054E-2</v>
      </c>
      <c r="AC6" s="107">
        <v>9.0000000000000011E-3</v>
      </c>
      <c r="AD6" s="107">
        <v>0.19</v>
      </c>
      <c r="AE6" s="107">
        <v>0.15799999999999997</v>
      </c>
      <c r="AF6" s="107">
        <v>6.4881731180328903E-2</v>
      </c>
      <c r="AG6" s="107">
        <v>7.5871884792882649E-2</v>
      </c>
      <c r="AH6" s="107">
        <v>3.2000000000000001E-2</v>
      </c>
      <c r="AI6" s="107">
        <v>3.5000000000000003E-2</v>
      </c>
      <c r="AJ6" s="107">
        <f>0.8*AJ3+0.2*AJ5</f>
        <v>0.04</v>
      </c>
      <c r="AK6" s="107">
        <f t="shared" ref="AK6:AX6" si="3">0.8*AK3+0.2*AK5</f>
        <v>0.04</v>
      </c>
      <c r="AL6" s="107">
        <f t="shared" si="3"/>
        <v>0.04</v>
      </c>
      <c r="AM6" s="107">
        <f t="shared" si="3"/>
        <v>0.04</v>
      </c>
      <c r="AN6" s="107">
        <f t="shared" si="3"/>
        <v>0.04</v>
      </c>
      <c r="AO6" s="107">
        <f t="shared" si="3"/>
        <v>0.04</v>
      </c>
      <c r="AP6" s="107">
        <f t="shared" si="3"/>
        <v>0.04</v>
      </c>
      <c r="AQ6" s="107">
        <f>0.8*AQ3+0.2*AQ5</f>
        <v>0.04</v>
      </c>
      <c r="AR6" s="107">
        <f t="shared" si="3"/>
        <v>0.04</v>
      </c>
      <c r="AS6" s="107">
        <f t="shared" si="3"/>
        <v>0.04</v>
      </c>
      <c r="AT6" s="107">
        <f t="shared" si="3"/>
        <v>0.04</v>
      </c>
      <c r="AU6" s="107">
        <f>0.8*AU3+0.2*AU5</f>
        <v>0.04</v>
      </c>
      <c r="AV6" s="107">
        <f>0.8*AV3+0.2*AV5</f>
        <v>0.04</v>
      </c>
      <c r="AW6" s="107">
        <f t="shared" si="3"/>
        <v>0.04</v>
      </c>
      <c r="AX6" s="107">
        <f t="shared" si="3"/>
        <v>0.04</v>
      </c>
      <c r="AY6" s="107">
        <f>0.8*AY3+0.2*AY5</f>
        <v>0.04</v>
      </c>
      <c r="AZ6" s="107">
        <f t="shared" ref="AZ6" si="4">0.8*AZ3+0.2*AZ5</f>
        <v>0.04</v>
      </c>
      <c r="BA6" s="107">
        <f>0.8*BA3+0.2*BA5</f>
        <v>0.04</v>
      </c>
      <c r="BB6" s="107">
        <f>0.8*BB3+0.2*BB5</f>
        <v>0.04</v>
      </c>
      <c r="BC6" s="107">
        <f>0.8*BC3+0.2*BC5</f>
        <v>0.04</v>
      </c>
      <c r="BD6" s="107">
        <f t="shared" ref="BD6:BG6" si="5">0.8*BD3+0.2*BD5</f>
        <v>0.04</v>
      </c>
      <c r="BE6" s="107">
        <f t="shared" si="5"/>
        <v>0.04</v>
      </c>
      <c r="BF6" s="107">
        <f t="shared" si="5"/>
        <v>0.04</v>
      </c>
      <c r="BG6" s="107">
        <f t="shared" si="5"/>
        <v>0.04</v>
      </c>
    </row>
    <row r="7" spans="1:59" ht="13.75" customHeight="1">
      <c r="A7" s="141" t="s">
        <v>86</v>
      </c>
      <c r="B7" s="165"/>
      <c r="C7" s="165"/>
      <c r="D7" s="170" t="s">
        <v>98</v>
      </c>
      <c r="E7" s="167"/>
      <c r="F7" s="168" t="s">
        <v>99</v>
      </c>
      <c r="G7" s="168" t="s">
        <v>100</v>
      </c>
      <c r="H7" s="168"/>
      <c r="I7" s="168" t="s">
        <v>101</v>
      </c>
      <c r="J7" s="147">
        <v>30.14</v>
      </c>
      <c r="K7" s="147">
        <v>31.78</v>
      </c>
      <c r="L7" s="147">
        <v>29.45</v>
      </c>
      <c r="M7" s="147">
        <v>27.75</v>
      </c>
      <c r="N7" s="147">
        <v>28.78</v>
      </c>
      <c r="O7" s="147">
        <v>26.33</v>
      </c>
      <c r="P7" s="147">
        <v>24.55</v>
      </c>
      <c r="Q7" s="147">
        <v>29.38</v>
      </c>
      <c r="R7" s="147">
        <v>30.24</v>
      </c>
      <c r="S7" s="147">
        <v>30.48</v>
      </c>
      <c r="T7" s="147">
        <v>32.200000000000003</v>
      </c>
      <c r="U7" s="111">
        <v>30.37</v>
      </c>
      <c r="V7" s="111">
        <v>32.729999999999997</v>
      </c>
      <c r="W7" s="111">
        <v>56.26</v>
      </c>
      <c r="X7" s="140">
        <v>72.8827</v>
      </c>
      <c r="Y7" s="111">
        <v>60.6569</v>
      </c>
      <c r="Z7" s="111">
        <v>57.600200000000001</v>
      </c>
      <c r="AA7" s="111">
        <v>69.470600000000005</v>
      </c>
      <c r="AB7" s="111">
        <v>61.905700000000003</v>
      </c>
      <c r="AC7" s="111">
        <v>73.875699999999995</v>
      </c>
      <c r="AD7" s="111">
        <v>74.292599999999993</v>
      </c>
      <c r="AE7" s="111">
        <v>70.337500000000006</v>
      </c>
      <c r="AF7" s="111">
        <v>89</v>
      </c>
      <c r="AG7" s="111">
        <v>89.839999999999918</v>
      </c>
      <c r="AH7" s="111">
        <v>91.03999999999985</v>
      </c>
      <c r="AI7" s="111">
        <v>92.239999999999782</v>
      </c>
      <c r="AJ7" s="111">
        <f t="shared" ref="AJ7:AW7" si="6">AJ14</f>
        <v>95.563799999999816</v>
      </c>
      <c r="AK7" s="111">
        <f t="shared" si="6"/>
        <v>97.475075999999817</v>
      </c>
      <c r="AL7" s="111">
        <f t="shared" si="6"/>
        <v>99.424577519999815</v>
      </c>
      <c r="AM7" s="111">
        <f>AM14</f>
        <v>101.41306907039981</v>
      </c>
      <c r="AN7" s="111">
        <f>AN14</f>
        <v>103.44133045180781</v>
      </c>
      <c r="AO7" s="111">
        <f>AO14</f>
        <v>105.51015706084398</v>
      </c>
      <c r="AP7" s="111">
        <f>AP14</f>
        <v>107.62036020206087</v>
      </c>
      <c r="AQ7" s="111">
        <f>AQ14</f>
        <v>109.77276740610209</v>
      </c>
      <c r="AR7" s="111">
        <f t="shared" si="6"/>
        <v>111.96822275422413</v>
      </c>
      <c r="AS7" s="111">
        <f t="shared" si="6"/>
        <v>114.20758720930861</v>
      </c>
      <c r="AT7" s="111">
        <f t="shared" si="6"/>
        <v>116.49173895349479</v>
      </c>
      <c r="AU7" s="111">
        <f t="shared" si="6"/>
        <v>118.82157373256469</v>
      </c>
      <c r="AV7" s="111">
        <f>AV14</f>
        <v>121.19800520721599</v>
      </c>
      <c r="AW7" s="111">
        <f t="shared" si="6"/>
        <v>123.62196531136031</v>
      </c>
      <c r="AX7" s="111">
        <f>AX14</f>
        <v>126.09440461758751</v>
      </c>
      <c r="AY7" s="111">
        <f>AY14</f>
        <v>128.61629270993927</v>
      </c>
      <c r="AZ7" s="111">
        <f>AZ14</f>
        <v>131.18861856413807</v>
      </c>
      <c r="BA7" s="111">
        <f>BA14</f>
        <v>133.81239093542084</v>
      </c>
      <c r="BB7" s="111">
        <f>BB14</f>
        <v>136.48863875412925</v>
      </c>
      <c r="BC7" s="111">
        <f t="shared" ref="BC7:BG7" si="7">BC14</f>
        <v>139.21841152921183</v>
      </c>
      <c r="BD7" s="111">
        <f t="shared" si="7"/>
        <v>142.00277975979608</v>
      </c>
      <c r="BE7" s="111">
        <f t="shared" si="7"/>
        <v>144.84283535499202</v>
      </c>
      <c r="BF7" s="111">
        <f t="shared" si="7"/>
        <v>147.73969206209185</v>
      </c>
      <c r="BG7" s="111">
        <f t="shared" si="7"/>
        <v>150.69448590333369</v>
      </c>
    </row>
    <row r="8" spans="1:59" ht="13.75" customHeight="1">
      <c r="A8" s="141" t="s">
        <v>86</v>
      </c>
      <c r="B8" s="165"/>
      <c r="C8" s="165"/>
      <c r="D8" s="170" t="s">
        <v>98</v>
      </c>
      <c r="E8" s="167"/>
      <c r="F8" s="168" t="s">
        <v>102</v>
      </c>
      <c r="G8" s="168" t="s">
        <v>103</v>
      </c>
      <c r="H8" s="168"/>
      <c r="I8" s="168" t="s">
        <v>104</v>
      </c>
      <c r="J8" s="147">
        <v>26.49</v>
      </c>
      <c r="K8" s="147">
        <v>33.11</v>
      </c>
      <c r="L8" s="147">
        <v>36.82</v>
      </c>
      <c r="M8" s="147">
        <v>37.81</v>
      </c>
      <c r="N8" s="147">
        <v>34.19</v>
      </c>
      <c r="O8" s="147">
        <v>34.700000000000003</v>
      </c>
      <c r="P8" s="147">
        <v>35.93</v>
      </c>
      <c r="Q8" s="147">
        <v>41.44</v>
      </c>
      <c r="R8" s="147">
        <v>43.39</v>
      </c>
      <c r="S8" s="147">
        <v>40.33</v>
      </c>
      <c r="T8" s="147">
        <v>41.67</v>
      </c>
      <c r="U8" s="111">
        <v>40.229999999999997</v>
      </c>
      <c r="V8" s="111">
        <v>44.97</v>
      </c>
      <c r="W8" s="111">
        <v>68.34</v>
      </c>
      <c r="X8" s="107">
        <v>79.56</v>
      </c>
      <c r="Y8" s="111">
        <v>63.811100000000003</v>
      </c>
      <c r="Z8" s="111">
        <v>68.866799999999998</v>
      </c>
      <c r="AA8" s="111">
        <v>79.460499999999996</v>
      </c>
      <c r="AB8" s="111">
        <v>69.340599999999995</v>
      </c>
      <c r="AC8" s="111">
        <v>90.682400000000001</v>
      </c>
      <c r="AD8" s="111">
        <v>84.069500000000005</v>
      </c>
      <c r="AE8" s="111">
        <v>75.655299999999997</v>
      </c>
      <c r="AF8" s="111">
        <f>AF7*AF36</f>
        <v>95.948114210468574</v>
      </c>
      <c r="AG8" s="111">
        <f t="shared" ref="AG8:AL8" si="8">AG7*AG36</f>
        <v>96.577999999999932</v>
      </c>
      <c r="AH8" s="111">
        <f t="shared" si="8"/>
        <v>98.323199999999844</v>
      </c>
      <c r="AI8" s="111">
        <f>AI7*AI36</f>
        <v>99.619199999999765</v>
      </c>
      <c r="AJ8" s="111">
        <f t="shared" si="8"/>
        <v>103.20890399999981</v>
      </c>
      <c r="AK8" s="111">
        <f t="shared" si="8"/>
        <v>105.27308207999981</v>
      </c>
      <c r="AL8" s="111">
        <f t="shared" si="8"/>
        <v>107.37854372159981</v>
      </c>
      <c r="AM8" s="111">
        <f>AM7*AM36</f>
        <v>109.5261145960318</v>
      </c>
      <c r="AN8" s="111">
        <f>AN7*AN36</f>
        <v>111.71663688795245</v>
      </c>
      <c r="AO8" s="111">
        <f>AO7*AO36</f>
        <v>113.95096962571151</v>
      </c>
      <c r="AP8" s="111">
        <f t="shared" ref="AP8:AX8" si="9">AP7*AP36</f>
        <v>116.22998901822574</v>
      </c>
      <c r="AQ8" s="111">
        <f t="shared" si="9"/>
        <v>118.55458879859026</v>
      </c>
      <c r="AR8" s="111">
        <f t="shared" si="9"/>
        <v>120.92568057456207</v>
      </c>
      <c r="AS8" s="111">
        <f t="shared" si="9"/>
        <v>123.34419418605331</v>
      </c>
      <c r="AT8" s="111">
        <f t="shared" si="9"/>
        <v>125.81107806977438</v>
      </c>
      <c r="AU8" s="111">
        <f t="shared" si="9"/>
        <v>128.32729963116986</v>
      </c>
      <c r="AV8" s="111">
        <f t="shared" si="9"/>
        <v>130.89384562379328</v>
      </c>
      <c r="AW8" s="111">
        <f t="shared" si="9"/>
        <v>133.51172253626913</v>
      </c>
      <c r="AX8" s="111">
        <f t="shared" si="9"/>
        <v>136.18195698699452</v>
      </c>
      <c r="AY8" s="111">
        <f>AY7*AY36</f>
        <v>138.90559612673442</v>
      </c>
      <c r="AZ8" s="111">
        <f>AZ7*AZ36</f>
        <v>141.68370804926911</v>
      </c>
      <c r="BA8" s="111">
        <f>BA7*BA36</f>
        <v>144.51738221025451</v>
      </c>
      <c r="BB8" s="111">
        <f>BB7*BB36</f>
        <v>147.4077298544596</v>
      </c>
      <c r="BC8" s="111">
        <f t="shared" ref="BC8:BG8" si="10">BC7*BC36</f>
        <v>150.3558844515488</v>
      </c>
      <c r="BD8" s="111">
        <f t="shared" si="10"/>
        <v>153.36300214057979</v>
      </c>
      <c r="BE8" s="111">
        <f t="shared" si="10"/>
        <v>156.43026218339139</v>
      </c>
      <c r="BF8" s="111">
        <f t="shared" si="10"/>
        <v>159.5588674270592</v>
      </c>
      <c r="BG8" s="111">
        <f t="shared" si="10"/>
        <v>162.7500447756004</v>
      </c>
    </row>
    <row r="9" spans="1:59" ht="13.75" customHeight="1">
      <c r="A9" s="141" t="s">
        <v>86</v>
      </c>
      <c r="B9" s="165"/>
      <c r="C9" s="165"/>
      <c r="D9" s="166" t="s">
        <v>87</v>
      </c>
      <c r="E9" s="167"/>
      <c r="F9" s="168" t="s">
        <v>105</v>
      </c>
      <c r="G9" s="168" t="s">
        <v>3</v>
      </c>
      <c r="H9" s="168"/>
      <c r="I9" s="168" t="s">
        <v>90</v>
      </c>
      <c r="J9" s="123">
        <v>8.7000000000000022E-2</v>
      </c>
      <c r="K9" s="123">
        <v>0.11099999999999995</v>
      </c>
      <c r="L9" s="123">
        <v>0.15</v>
      </c>
      <c r="M9" s="123">
        <v>0.10400000000000005</v>
      </c>
      <c r="N9" s="123">
        <v>0.12400000000000005</v>
      </c>
      <c r="O9" s="123">
        <v>0.13500000000000001</v>
      </c>
      <c r="P9" s="123">
        <v>0.12099999999999994</v>
      </c>
      <c r="Q9" s="123">
        <v>2.4000000000000056E-2</v>
      </c>
      <c r="R9" s="123">
        <v>0.03</v>
      </c>
      <c r="S9" s="123">
        <v>5.9000000000000059E-2</v>
      </c>
      <c r="T9" s="123">
        <v>5.0000000000000001E-3</v>
      </c>
      <c r="U9" s="107">
        <v>5.8000000000000003E-2</v>
      </c>
      <c r="V9" s="107">
        <v>4.8000000000000001E-2</v>
      </c>
      <c r="W9" s="107">
        <v>-1.2000000000000028E-2</v>
      </c>
      <c r="X9" s="107">
        <v>-2.4000000000000056E-2</v>
      </c>
      <c r="Y9" s="107">
        <v>-4.4999999999999998E-2</v>
      </c>
      <c r="Z9" s="107">
        <v>-5.0000000000000001E-3</v>
      </c>
      <c r="AA9" s="107">
        <v>7.9999999999998291E-4</v>
      </c>
      <c r="AB9" s="107">
        <v>9.0250000000000347E-3</v>
      </c>
      <c r="AC9" s="107">
        <v>-1.9749999999999979E-2</v>
      </c>
      <c r="AD9" s="107">
        <v>3.0790398424308384E-2</v>
      </c>
      <c r="AE9" s="107">
        <v>-9.4520199691621159E-3</v>
      </c>
      <c r="AF9" s="107">
        <v>4.4452944161055614E-2</v>
      </c>
      <c r="AG9" s="107">
        <v>6.2427696191460959E-3</v>
      </c>
      <c r="AH9" s="107">
        <v>9.4875358147902579E-3</v>
      </c>
      <c r="AI9" s="107">
        <v>1.2054108080999673E-2</v>
      </c>
      <c r="AJ9" s="107">
        <f>AI9</f>
        <v>1.2054108080999673E-2</v>
      </c>
      <c r="AK9" s="107">
        <f t="shared" ref="AK9:AZ10" si="11">AJ9</f>
        <v>1.2054108080999673E-2</v>
      </c>
      <c r="AL9" s="107">
        <f t="shared" si="11"/>
        <v>1.2054108080999673E-2</v>
      </c>
      <c r="AM9" s="107">
        <f t="shared" si="11"/>
        <v>1.2054108080999673E-2</v>
      </c>
      <c r="AN9" s="107">
        <f>AM9</f>
        <v>1.2054108080999673E-2</v>
      </c>
      <c r="AO9" s="107">
        <f>AN9</f>
        <v>1.2054108080999673E-2</v>
      </c>
      <c r="AP9" s="107">
        <f t="shared" si="11"/>
        <v>1.2054108080999673E-2</v>
      </c>
      <c r="AQ9" s="107">
        <f>AP9</f>
        <v>1.2054108080999673E-2</v>
      </c>
      <c r="AR9" s="107">
        <f>AQ9</f>
        <v>1.2054108080999673E-2</v>
      </c>
      <c r="AS9" s="107">
        <f t="shared" si="11"/>
        <v>1.2054108080999673E-2</v>
      </c>
      <c r="AT9" s="107">
        <f t="shared" si="11"/>
        <v>1.2054108080999673E-2</v>
      </c>
      <c r="AU9" s="107">
        <f t="shared" si="11"/>
        <v>1.2054108080999673E-2</v>
      </c>
      <c r="AV9" s="107">
        <f t="shared" si="11"/>
        <v>1.2054108080999673E-2</v>
      </c>
      <c r="AW9" s="107">
        <f t="shared" si="11"/>
        <v>1.2054108080999673E-2</v>
      </c>
      <c r="AX9" s="107">
        <f t="shared" si="11"/>
        <v>1.2054108080999673E-2</v>
      </c>
      <c r="AY9" s="107">
        <f t="shared" si="11"/>
        <v>1.2054108080999673E-2</v>
      </c>
      <c r="AZ9" s="107">
        <f t="shared" si="11"/>
        <v>1.2054108080999673E-2</v>
      </c>
      <c r="BA9" s="107">
        <f t="shared" ref="AY9:BG10" si="12">AZ9</f>
        <v>1.2054108080999673E-2</v>
      </c>
      <c r="BB9" s="107">
        <f t="shared" si="12"/>
        <v>1.2054108080999673E-2</v>
      </c>
      <c r="BC9" s="107">
        <f t="shared" si="12"/>
        <v>1.2054108080999673E-2</v>
      </c>
      <c r="BD9" s="107">
        <f t="shared" si="12"/>
        <v>1.2054108080999673E-2</v>
      </c>
      <c r="BE9" s="107">
        <f t="shared" si="12"/>
        <v>1.2054108080999673E-2</v>
      </c>
      <c r="BF9" s="107">
        <f t="shared" si="12"/>
        <v>1.2054108080999673E-2</v>
      </c>
      <c r="BG9" s="107">
        <f t="shared" si="12"/>
        <v>1.2054108080999673E-2</v>
      </c>
    </row>
    <row r="10" spans="1:59" ht="13.75" customHeight="1">
      <c r="A10" s="141" t="s">
        <v>86</v>
      </c>
      <c r="B10" s="165"/>
      <c r="C10" s="165"/>
      <c r="D10" s="166" t="s">
        <v>87</v>
      </c>
      <c r="E10" s="167"/>
      <c r="F10" s="168" t="s">
        <v>106</v>
      </c>
      <c r="G10" s="168" t="s">
        <v>3</v>
      </c>
      <c r="H10" s="168"/>
      <c r="I10" s="168" t="s">
        <v>107</v>
      </c>
      <c r="J10" s="123">
        <v>1.8812499999999999E-2</v>
      </c>
      <c r="K10" s="123">
        <v>1.38E-2</v>
      </c>
      <c r="L10" s="123">
        <v>1.1518800000000001E-2</v>
      </c>
      <c r="M10" s="123">
        <v>2.5643799999999998E-2</v>
      </c>
      <c r="N10" s="123">
        <v>4.53625E-2</v>
      </c>
      <c r="O10" s="123">
        <v>5.3600000000000002E-2</v>
      </c>
      <c r="P10" s="123">
        <v>4.7024999999999997E-2</v>
      </c>
      <c r="Q10" s="123">
        <v>1.4250000000000001E-2</v>
      </c>
      <c r="R10" s="123">
        <v>2.5063000000000004E-3</v>
      </c>
      <c r="S10" s="123">
        <v>3.0281000000000001E-3</v>
      </c>
      <c r="T10" s="114">
        <v>5.8099999999999992E-3</v>
      </c>
      <c r="U10" s="107">
        <v>4.3006071428571399E-3</v>
      </c>
      <c r="V10" s="107">
        <v>2.6720118577075098E-3</v>
      </c>
      <c r="W10" s="107">
        <v>2.3369980237154201E-3</v>
      </c>
      <c r="X10" s="107">
        <v>6.1269999999999996E-3</v>
      </c>
      <c r="Y10" s="110">
        <v>9.9789000000000006E-3</v>
      </c>
      <c r="Z10" s="110">
        <v>1.6942800000000001E-2</v>
      </c>
      <c r="AA10" s="110">
        <v>2.8076300000000002E-2</v>
      </c>
      <c r="AB10" s="110">
        <v>1.9083800000000001E-2</v>
      </c>
      <c r="AC10" s="110">
        <v>2.3999999999999998E-3</v>
      </c>
      <c r="AD10" s="110">
        <v>2.0999999999999999E-3</v>
      </c>
      <c r="AE10" s="110">
        <v>4.7699999999999992E-2</v>
      </c>
      <c r="AF10" s="110">
        <v>5.7000000000000002E-2</v>
      </c>
      <c r="AG10" s="110">
        <v>3.95E-2</v>
      </c>
      <c r="AH10" s="110">
        <v>2.9500000000000002E-2</v>
      </c>
      <c r="AI10" s="110">
        <v>2.5499999999999998E-2</v>
      </c>
      <c r="AJ10" s="110">
        <f t="shared" ref="AJ10" si="13">AI10</f>
        <v>2.5499999999999998E-2</v>
      </c>
      <c r="AK10" s="110">
        <f t="shared" si="11"/>
        <v>2.5499999999999998E-2</v>
      </c>
      <c r="AL10" s="110">
        <f t="shared" si="11"/>
        <v>2.5499999999999998E-2</v>
      </c>
      <c r="AM10" s="110">
        <f>AL10</f>
        <v>2.5499999999999998E-2</v>
      </c>
      <c r="AN10" s="110">
        <f>AM10</f>
        <v>2.5499999999999998E-2</v>
      </c>
      <c r="AO10" s="110">
        <f>AN10</f>
        <v>2.5499999999999998E-2</v>
      </c>
      <c r="AP10" s="110">
        <f>AO10</f>
        <v>2.5499999999999998E-2</v>
      </c>
      <c r="AQ10" s="110">
        <f t="shared" si="11"/>
        <v>2.5499999999999998E-2</v>
      </c>
      <c r="AR10" s="110">
        <f t="shared" si="11"/>
        <v>2.5499999999999998E-2</v>
      </c>
      <c r="AS10" s="110">
        <f t="shared" si="11"/>
        <v>2.5499999999999998E-2</v>
      </c>
      <c r="AT10" s="110">
        <f t="shared" si="11"/>
        <v>2.5499999999999998E-2</v>
      </c>
      <c r="AU10" s="110">
        <f t="shared" si="11"/>
        <v>2.5499999999999998E-2</v>
      </c>
      <c r="AV10" s="110">
        <f t="shared" si="11"/>
        <v>2.5499999999999998E-2</v>
      </c>
      <c r="AW10" s="110">
        <f>AV10</f>
        <v>2.5499999999999998E-2</v>
      </c>
      <c r="AX10" s="110">
        <f>AW10</f>
        <v>2.5499999999999998E-2</v>
      </c>
      <c r="AY10" s="110">
        <f t="shared" si="12"/>
        <v>2.5499999999999998E-2</v>
      </c>
      <c r="AZ10" s="110">
        <f t="shared" si="12"/>
        <v>2.5499999999999998E-2</v>
      </c>
      <c r="BA10" s="110">
        <f t="shared" si="12"/>
        <v>2.5499999999999998E-2</v>
      </c>
      <c r="BB10" s="110">
        <f t="shared" si="12"/>
        <v>2.5499999999999998E-2</v>
      </c>
      <c r="BC10" s="110">
        <f t="shared" si="12"/>
        <v>2.5499999999999998E-2</v>
      </c>
      <c r="BD10" s="110">
        <f t="shared" si="12"/>
        <v>2.5499999999999998E-2</v>
      </c>
      <c r="BE10" s="110">
        <f t="shared" si="12"/>
        <v>2.5499999999999998E-2</v>
      </c>
      <c r="BF10" s="110">
        <f t="shared" si="12"/>
        <v>2.5499999999999998E-2</v>
      </c>
      <c r="BG10" s="110">
        <f t="shared" si="12"/>
        <v>2.5499999999999998E-2</v>
      </c>
    </row>
    <row r="11" spans="1:59" ht="13.75" customHeight="1">
      <c r="A11" s="141" t="s">
        <v>86</v>
      </c>
      <c r="B11" s="165"/>
      <c r="C11" s="165"/>
      <c r="D11" s="165" t="s">
        <v>87</v>
      </c>
      <c r="E11" s="167"/>
      <c r="F11" s="161" t="s">
        <v>108</v>
      </c>
      <c r="G11" s="168" t="s">
        <v>3</v>
      </c>
      <c r="H11" s="168"/>
      <c r="I11" s="168" t="s">
        <v>109</v>
      </c>
      <c r="J11" s="123"/>
      <c r="K11" s="123"/>
      <c r="L11" s="123"/>
      <c r="M11" s="123"/>
      <c r="N11" s="123">
        <v>6.2199999999999998E-2</v>
      </c>
      <c r="O11" s="123">
        <v>5.7999999999999996E-2</v>
      </c>
      <c r="P11" s="123">
        <v>6.7099999999999993E-2</v>
      </c>
      <c r="Q11" s="123">
        <v>0.218</v>
      </c>
      <c r="R11" s="123">
        <v>7.0499999999999993E-2</v>
      </c>
      <c r="S11" s="123">
        <v>4.0599999999999997E-2</v>
      </c>
      <c r="T11" s="123">
        <v>7.22E-2</v>
      </c>
      <c r="U11" s="107">
        <v>7.0919918699186998E-2</v>
      </c>
      <c r="V11" s="107">
        <v>7.0100406504065002E-2</v>
      </c>
      <c r="W11" s="107">
        <v>0.105294331983806</v>
      </c>
      <c r="X11" s="107">
        <v>0.11789999999999999</v>
      </c>
      <c r="Y11" s="110">
        <v>0.10490000000000001</v>
      </c>
      <c r="Z11" s="110">
        <v>7.8799999999999995E-2</v>
      </c>
      <c r="AA11" s="110">
        <v>8.5800000000000001E-2</v>
      </c>
      <c r="AB11" s="110">
        <v>6.4500000000000002E-2</v>
      </c>
      <c r="AC11" s="110">
        <v>4.9200000000000001E-2</v>
      </c>
      <c r="AD11" s="110">
        <v>9.5000000000000001E-2</v>
      </c>
      <c r="AE11" s="110">
        <v>8.4100000000000008E-2</v>
      </c>
      <c r="AF11" s="110">
        <v>9.5500000000000002E-2</v>
      </c>
      <c r="AG11" s="110">
        <v>8.3000000000000004E-2</v>
      </c>
      <c r="AH11" s="110">
        <v>7.0000000000000007E-2</v>
      </c>
      <c r="AI11" s="110">
        <v>6.5500000000000003E-2</v>
      </c>
      <c r="AJ11" s="110">
        <f>AI11+(AJ$39-AI$39)</f>
        <v>6.5500000000000003E-2</v>
      </c>
      <c r="AK11" s="110">
        <f t="shared" ref="AK11:AL11" si="14">AJ11+(AK$39-AJ$39)</f>
        <v>6.5500000000000003E-2</v>
      </c>
      <c r="AL11" s="110">
        <f t="shared" si="14"/>
        <v>6.5500000000000003E-2</v>
      </c>
      <c r="AM11" s="110">
        <f>AL11+(AM$39-AL$39)</f>
        <v>6.5500000000000003E-2</v>
      </c>
      <c r="AN11" s="110">
        <f>AM11+(AN$39-AM$39)</f>
        <v>6.5500000000000003E-2</v>
      </c>
      <c r="AO11" s="110">
        <f>AN11+(AO$39-AN$39)</f>
        <v>6.5500000000000003E-2</v>
      </c>
      <c r="AP11" s="110">
        <f t="shared" ref="AP11:BB11" si="15">AO11+(AP$39-AO$39)</f>
        <v>6.5500000000000003E-2</v>
      </c>
      <c r="AQ11" s="110">
        <f t="shared" si="15"/>
        <v>6.5500000000000003E-2</v>
      </c>
      <c r="AR11" s="110">
        <f t="shared" si="15"/>
        <v>6.5500000000000003E-2</v>
      </c>
      <c r="AS11" s="110">
        <f t="shared" si="15"/>
        <v>6.5500000000000003E-2</v>
      </c>
      <c r="AT11" s="110">
        <f t="shared" si="15"/>
        <v>6.5500000000000003E-2</v>
      </c>
      <c r="AU11" s="110">
        <f t="shared" si="15"/>
        <v>6.5500000000000003E-2</v>
      </c>
      <c r="AV11" s="110">
        <f t="shared" si="15"/>
        <v>6.5500000000000003E-2</v>
      </c>
      <c r="AW11" s="110">
        <f t="shared" si="15"/>
        <v>6.5500000000000003E-2</v>
      </c>
      <c r="AX11" s="110">
        <f t="shared" si="15"/>
        <v>6.5500000000000003E-2</v>
      </c>
      <c r="AY11" s="110">
        <f t="shared" si="15"/>
        <v>6.5500000000000003E-2</v>
      </c>
      <c r="AZ11" s="110">
        <f t="shared" si="15"/>
        <v>6.5500000000000003E-2</v>
      </c>
      <c r="BA11" s="110">
        <f t="shared" si="15"/>
        <v>6.5500000000000003E-2</v>
      </c>
      <c r="BB11" s="110">
        <f t="shared" si="15"/>
        <v>6.5500000000000003E-2</v>
      </c>
      <c r="BC11" s="110">
        <f>BB11+(BC$39-BB$39)</f>
        <v>6.5500000000000003E-2</v>
      </c>
      <c r="BD11" s="110">
        <f>BC11+(BD$39-BC$39)</f>
        <v>6.5500000000000003E-2</v>
      </c>
      <c r="BE11" s="110">
        <f>BD11+(BE$39-BD$39)</f>
        <v>6.5500000000000003E-2</v>
      </c>
      <c r="BF11" s="110">
        <f>BE11+(BF$39-BE$39)</f>
        <v>6.5500000000000003E-2</v>
      </c>
      <c r="BG11" s="110">
        <f>BF11+(BG$39-BF$39)</f>
        <v>6.5500000000000003E-2</v>
      </c>
    </row>
    <row r="12" spans="1:59" ht="13.75" customHeight="1">
      <c r="A12" s="141" t="s">
        <v>86</v>
      </c>
      <c r="B12" s="165"/>
      <c r="C12" s="165"/>
      <c r="D12" s="165" t="s">
        <v>110</v>
      </c>
      <c r="E12" s="167"/>
      <c r="F12" s="168" t="s">
        <v>111</v>
      </c>
      <c r="G12" s="168" t="s">
        <v>3</v>
      </c>
      <c r="H12" s="168"/>
      <c r="I12" s="168" t="s">
        <v>112</v>
      </c>
      <c r="U12" s="107">
        <v>0.18</v>
      </c>
      <c r="V12" s="107">
        <v>0.18</v>
      </c>
      <c r="W12" s="107">
        <v>0.18</v>
      </c>
      <c r="X12" s="107">
        <v>0.18</v>
      </c>
      <c r="Y12" s="107">
        <v>0.18</v>
      </c>
      <c r="Z12" s="107">
        <v>0.18</v>
      </c>
      <c r="AA12" s="107">
        <v>0.18</v>
      </c>
      <c r="AB12" s="107">
        <v>0.2</v>
      </c>
      <c r="AC12" s="107">
        <v>0.2</v>
      </c>
      <c r="AD12" s="107">
        <v>0.2</v>
      </c>
      <c r="AE12" s="107">
        <f t="shared" ref="AE12:AT13" si="16">AD12</f>
        <v>0.2</v>
      </c>
      <c r="AF12" s="107">
        <f t="shared" si="16"/>
        <v>0.2</v>
      </c>
      <c r="AG12" s="107">
        <f t="shared" si="16"/>
        <v>0.2</v>
      </c>
      <c r="AH12" s="107">
        <f t="shared" si="16"/>
        <v>0.2</v>
      </c>
      <c r="AI12" s="107">
        <f t="shared" si="16"/>
        <v>0.2</v>
      </c>
      <c r="AJ12" s="107">
        <f t="shared" si="16"/>
        <v>0.2</v>
      </c>
      <c r="AK12" s="107">
        <f t="shared" si="16"/>
        <v>0.2</v>
      </c>
      <c r="AL12" s="107">
        <f t="shared" si="16"/>
        <v>0.2</v>
      </c>
      <c r="AM12" s="107">
        <f t="shared" si="16"/>
        <v>0.2</v>
      </c>
      <c r="AN12" s="107">
        <f t="shared" si="16"/>
        <v>0.2</v>
      </c>
      <c r="AO12" s="107">
        <f t="shared" si="16"/>
        <v>0.2</v>
      </c>
      <c r="AP12" s="107">
        <f t="shared" si="16"/>
        <v>0.2</v>
      </c>
      <c r="AQ12" s="107">
        <f t="shared" si="16"/>
        <v>0.2</v>
      </c>
      <c r="AR12" s="107">
        <f>AQ12</f>
        <v>0.2</v>
      </c>
      <c r="AS12" s="107">
        <f t="shared" si="16"/>
        <v>0.2</v>
      </c>
      <c r="AT12" s="107">
        <f t="shared" si="16"/>
        <v>0.2</v>
      </c>
      <c r="AU12" s="107">
        <f t="shared" ref="AU12:BG13" si="17">AT12</f>
        <v>0.2</v>
      </c>
      <c r="AV12" s="107">
        <f t="shared" si="17"/>
        <v>0.2</v>
      </c>
      <c r="AW12" s="107">
        <f t="shared" si="17"/>
        <v>0.2</v>
      </c>
      <c r="AX12" s="107">
        <f t="shared" si="17"/>
        <v>0.2</v>
      </c>
      <c r="AY12" s="107">
        <f t="shared" si="17"/>
        <v>0.2</v>
      </c>
      <c r="AZ12" s="107">
        <f t="shared" si="17"/>
        <v>0.2</v>
      </c>
      <c r="BA12" s="107">
        <f t="shared" si="17"/>
        <v>0.2</v>
      </c>
      <c r="BB12" s="107">
        <f t="shared" si="17"/>
        <v>0.2</v>
      </c>
      <c r="BC12" s="107">
        <f t="shared" si="17"/>
        <v>0.2</v>
      </c>
      <c r="BD12" s="107">
        <f t="shared" si="17"/>
        <v>0.2</v>
      </c>
      <c r="BE12" s="107">
        <f t="shared" si="17"/>
        <v>0.2</v>
      </c>
      <c r="BF12" s="107">
        <f t="shared" si="17"/>
        <v>0.2</v>
      </c>
      <c r="BG12" s="107">
        <f t="shared" si="17"/>
        <v>0.2</v>
      </c>
    </row>
    <row r="13" spans="1:59" ht="13.75" customHeight="1">
      <c r="A13" s="141" t="s">
        <v>86</v>
      </c>
      <c r="B13" s="165"/>
      <c r="C13" s="165"/>
      <c r="D13" s="165" t="s">
        <v>110</v>
      </c>
      <c r="E13" s="167"/>
      <c r="F13" s="168" t="s">
        <v>113</v>
      </c>
      <c r="G13" s="168" t="s">
        <v>3</v>
      </c>
      <c r="H13" s="168"/>
      <c r="I13" s="168" t="s">
        <v>112</v>
      </c>
      <c r="U13" s="107">
        <v>0.13</v>
      </c>
      <c r="V13" s="107">
        <v>0.13</v>
      </c>
      <c r="W13" s="107">
        <v>0.13</v>
      </c>
      <c r="X13" s="107">
        <v>0.13</v>
      </c>
      <c r="Y13" s="107">
        <v>0.13</v>
      </c>
      <c r="Z13" s="107">
        <v>0.13</v>
      </c>
      <c r="AA13" s="107">
        <v>0.13</v>
      </c>
      <c r="AB13" s="107">
        <v>0.13</v>
      </c>
      <c r="AC13" s="107">
        <v>0.13</v>
      </c>
      <c r="AD13" s="107">
        <v>0.13</v>
      </c>
      <c r="AE13" s="107">
        <f t="shared" si="16"/>
        <v>0.13</v>
      </c>
      <c r="AF13" s="107">
        <f t="shared" si="16"/>
        <v>0.13</v>
      </c>
      <c r="AG13" s="107">
        <f t="shared" si="16"/>
        <v>0.13</v>
      </c>
      <c r="AH13" s="107">
        <f t="shared" si="16"/>
        <v>0.13</v>
      </c>
      <c r="AI13" s="107">
        <f t="shared" si="16"/>
        <v>0.13</v>
      </c>
      <c r="AJ13" s="107">
        <f t="shared" si="16"/>
        <v>0.13</v>
      </c>
      <c r="AK13" s="107">
        <f t="shared" si="16"/>
        <v>0.13</v>
      </c>
      <c r="AL13" s="107">
        <f t="shared" si="16"/>
        <v>0.13</v>
      </c>
      <c r="AM13" s="107">
        <f t="shared" si="16"/>
        <v>0.13</v>
      </c>
      <c r="AN13" s="107">
        <f t="shared" si="16"/>
        <v>0.13</v>
      </c>
      <c r="AO13" s="107">
        <f t="shared" si="16"/>
        <v>0.13</v>
      </c>
      <c r="AP13" s="107">
        <f t="shared" si="16"/>
        <v>0.13</v>
      </c>
      <c r="AQ13" s="107">
        <f t="shared" si="16"/>
        <v>0.13</v>
      </c>
      <c r="AR13" s="107">
        <f t="shared" si="16"/>
        <v>0.13</v>
      </c>
      <c r="AS13" s="107">
        <f t="shared" si="16"/>
        <v>0.13</v>
      </c>
      <c r="AT13" s="107">
        <f t="shared" si="16"/>
        <v>0.13</v>
      </c>
      <c r="AU13" s="107">
        <f t="shared" si="17"/>
        <v>0.13</v>
      </c>
      <c r="AV13" s="107">
        <f t="shared" si="17"/>
        <v>0.13</v>
      </c>
      <c r="AW13" s="107">
        <f>AV13</f>
        <v>0.13</v>
      </c>
      <c r="AX13" s="107">
        <f t="shared" si="17"/>
        <v>0.13</v>
      </c>
      <c r="AY13" s="107">
        <f t="shared" si="17"/>
        <v>0.13</v>
      </c>
      <c r="AZ13" s="107">
        <f t="shared" si="17"/>
        <v>0.13</v>
      </c>
      <c r="BA13" s="107">
        <f t="shared" si="17"/>
        <v>0.13</v>
      </c>
      <c r="BB13" s="107">
        <f t="shared" si="17"/>
        <v>0.13</v>
      </c>
      <c r="BC13" s="107">
        <f t="shared" si="17"/>
        <v>0.13</v>
      </c>
      <c r="BD13" s="107">
        <f t="shared" si="17"/>
        <v>0.13</v>
      </c>
      <c r="BE13" s="107">
        <f t="shared" si="17"/>
        <v>0.13</v>
      </c>
      <c r="BF13" s="107">
        <f t="shared" si="17"/>
        <v>0.13</v>
      </c>
      <c r="BG13" s="107">
        <f t="shared" si="17"/>
        <v>0.13</v>
      </c>
    </row>
    <row r="14" spans="1:59" ht="13.75" customHeight="1">
      <c r="A14" s="141" t="s">
        <v>86</v>
      </c>
      <c r="B14" s="165"/>
      <c r="D14" s="142" t="s">
        <v>87</v>
      </c>
      <c r="F14" s="168" t="s">
        <v>114</v>
      </c>
      <c r="G14" s="168" t="s">
        <v>100</v>
      </c>
      <c r="I14" s="168" t="s">
        <v>90</v>
      </c>
      <c r="J14" s="147">
        <v>29.17</v>
      </c>
      <c r="K14" s="147">
        <v>31.35</v>
      </c>
      <c r="L14" s="147">
        <v>30.68</v>
      </c>
      <c r="M14" s="147">
        <v>28.81</v>
      </c>
      <c r="N14" s="147">
        <v>28.7</v>
      </c>
      <c r="O14" s="147">
        <v>27.18</v>
      </c>
      <c r="P14" s="147">
        <v>25.57</v>
      </c>
      <c r="Q14" s="147">
        <v>24.81</v>
      </c>
      <c r="R14" s="147">
        <v>31.68</v>
      </c>
      <c r="S14" s="147">
        <v>30.36</v>
      </c>
      <c r="T14" s="147">
        <v>29.35</v>
      </c>
      <c r="U14" s="111">
        <v>31.07</v>
      </c>
      <c r="V14" s="111">
        <v>31.82</v>
      </c>
      <c r="W14" s="111">
        <v>38.380000000000003</v>
      </c>
      <c r="X14" s="111">
        <v>60.94</v>
      </c>
      <c r="Y14" s="111">
        <v>67.05</v>
      </c>
      <c r="Z14" s="111">
        <v>58.298184615384642</v>
      </c>
      <c r="AA14" s="111">
        <v>62.926389473684253</v>
      </c>
      <c r="AB14" s="111">
        <v>64.618432113821143</v>
      </c>
      <c r="AC14" s="111">
        <v>72.323002057613166</v>
      </c>
      <c r="AD14" s="111">
        <v>73.654349999999994</v>
      </c>
      <c r="AE14" s="111">
        <v>68.485225</v>
      </c>
      <c r="AF14" s="111">
        <v>85.046666666666653</v>
      </c>
      <c r="AG14" s="111">
        <v>91.454999999999956</v>
      </c>
      <c r="AH14" s="111">
        <v>92.489999999999881</v>
      </c>
      <c r="AI14" s="111">
        <v>93.689999999999813</v>
      </c>
      <c r="AJ14" s="111">
        <f>AI14*(1+AJ3-AJ4)</f>
        <v>95.563799999999816</v>
      </c>
      <c r="AK14" s="111">
        <f t="shared" ref="AK14:AL14" si="18">AJ14*(1+AK3-AK4)</f>
        <v>97.475075999999817</v>
      </c>
      <c r="AL14" s="111">
        <f t="shared" si="18"/>
        <v>99.424577519999815</v>
      </c>
      <c r="AM14" s="111">
        <f>AL14*(1+AM3-AM4)</f>
        <v>101.41306907039981</v>
      </c>
      <c r="AN14" s="111">
        <f>AM14*(1+AN3-AN4)</f>
        <v>103.44133045180781</v>
      </c>
      <c r="AO14" s="111">
        <f t="shared" ref="AO14:BG14" si="19">AN14*(1+AO3-AO4)</f>
        <v>105.51015706084398</v>
      </c>
      <c r="AP14" s="111">
        <f t="shared" si="19"/>
        <v>107.62036020206087</v>
      </c>
      <c r="AQ14" s="111">
        <f t="shared" si="19"/>
        <v>109.77276740610209</v>
      </c>
      <c r="AR14" s="111">
        <f t="shared" si="19"/>
        <v>111.96822275422413</v>
      </c>
      <c r="AS14" s="111">
        <f t="shared" si="19"/>
        <v>114.20758720930861</v>
      </c>
      <c r="AT14" s="111">
        <f t="shared" si="19"/>
        <v>116.49173895349479</v>
      </c>
      <c r="AU14" s="111">
        <f t="shared" si="19"/>
        <v>118.82157373256469</v>
      </c>
      <c r="AV14" s="111">
        <f t="shared" si="19"/>
        <v>121.19800520721599</v>
      </c>
      <c r="AW14" s="111">
        <f t="shared" si="19"/>
        <v>123.62196531136031</v>
      </c>
      <c r="AX14" s="111">
        <f t="shared" si="19"/>
        <v>126.09440461758751</v>
      </c>
      <c r="AY14" s="111">
        <f t="shared" si="19"/>
        <v>128.61629270993927</v>
      </c>
      <c r="AZ14" s="111">
        <f t="shared" si="19"/>
        <v>131.18861856413807</v>
      </c>
      <c r="BA14" s="111">
        <f t="shared" si="19"/>
        <v>133.81239093542084</v>
      </c>
      <c r="BB14" s="111">
        <f t="shared" si="19"/>
        <v>136.48863875412925</v>
      </c>
      <c r="BC14" s="111">
        <f t="shared" si="19"/>
        <v>139.21841152921183</v>
      </c>
      <c r="BD14" s="111">
        <f t="shared" si="19"/>
        <v>142.00277975979608</v>
      </c>
      <c r="BE14" s="111">
        <f>BD14*(1+BE3-BE4)</f>
        <v>144.84283535499202</v>
      </c>
      <c r="BF14" s="111">
        <f t="shared" si="19"/>
        <v>147.73969206209185</v>
      </c>
      <c r="BG14" s="111">
        <f t="shared" si="19"/>
        <v>150.69448590333369</v>
      </c>
    </row>
    <row r="15" spans="1:59" ht="13.75" customHeight="1">
      <c r="A15" s="141" t="s">
        <v>86</v>
      </c>
      <c r="B15" s="165"/>
      <c r="D15" s="166" t="s">
        <v>87</v>
      </c>
      <c r="E15" s="167"/>
      <c r="F15" s="168" t="s">
        <v>115</v>
      </c>
      <c r="G15" s="168" t="s">
        <v>103</v>
      </c>
      <c r="H15" s="168"/>
      <c r="I15" s="168" t="s">
        <v>116</v>
      </c>
      <c r="J15" s="147">
        <v>26.13</v>
      </c>
      <c r="K15" s="147">
        <v>29.65</v>
      </c>
      <c r="L15" s="147">
        <v>34.69</v>
      </c>
      <c r="M15" s="147">
        <v>35.81</v>
      </c>
      <c r="N15" s="147">
        <v>34.17</v>
      </c>
      <c r="O15" s="147">
        <v>34.11</v>
      </c>
      <c r="P15" s="147">
        <v>35.01</v>
      </c>
      <c r="Q15" s="147">
        <v>36.409999999999997</v>
      </c>
      <c r="R15" s="147">
        <v>44.13</v>
      </c>
      <c r="S15" s="147">
        <v>40.270000000000003</v>
      </c>
      <c r="T15" s="147">
        <v>40.869999999999997</v>
      </c>
      <c r="U15" s="111">
        <v>39.937520491803269</v>
      </c>
      <c r="V15" s="111">
        <v>42.38285477178421</v>
      </c>
      <c r="W15" s="111">
        <v>51.002878099173586</v>
      </c>
      <c r="X15" s="111">
        <v>67.977302469135793</v>
      </c>
      <c r="Y15" s="111">
        <v>73.992421774193559</v>
      </c>
      <c r="Z15" s="111">
        <v>66.030461943319835</v>
      </c>
      <c r="AA15" s="111">
        <v>74.132998785425059</v>
      </c>
      <c r="AB15" s="111">
        <v>72.318717479674788</v>
      </c>
      <c r="AC15" s="111">
        <v>82.835824279835293</v>
      </c>
      <c r="AD15" s="111">
        <v>87.086124596774255</v>
      </c>
      <c r="AE15" s="111">
        <f t="shared" ref="AE15:AW15" si="20">AE14*AE35</f>
        <v>72.02233850310796</v>
      </c>
      <c r="AF15" s="111">
        <f>AF14*AF35</f>
        <v>91.686149287112158</v>
      </c>
      <c r="AG15" s="111">
        <f t="shared" si="20"/>
        <v>98.314124999999962</v>
      </c>
      <c r="AH15" s="111">
        <f t="shared" si="20"/>
        <v>99.889199999999875</v>
      </c>
      <c r="AI15" s="111">
        <f t="shared" si="20"/>
        <v>101.18519999999981</v>
      </c>
      <c r="AJ15" s="111">
        <f t="shared" si="20"/>
        <v>103.20890399999981</v>
      </c>
      <c r="AK15" s="111">
        <f t="shared" si="20"/>
        <v>105.27308207999981</v>
      </c>
      <c r="AL15" s="111">
        <f t="shared" si="20"/>
        <v>107.37854372159981</v>
      </c>
      <c r="AM15" s="111">
        <f t="shared" si="20"/>
        <v>109.5261145960318</v>
      </c>
      <c r="AN15" s="111">
        <f>AN14*AN35</f>
        <v>111.71663688795245</v>
      </c>
      <c r="AO15" s="111">
        <f t="shared" si="20"/>
        <v>113.95096962571151</v>
      </c>
      <c r="AP15" s="111">
        <f t="shared" si="20"/>
        <v>116.22998901822574</v>
      </c>
      <c r="AQ15" s="111">
        <f t="shared" si="20"/>
        <v>118.55458879859026</v>
      </c>
      <c r="AR15" s="111">
        <f t="shared" si="20"/>
        <v>120.92568057456207</v>
      </c>
      <c r="AS15" s="111">
        <f t="shared" si="20"/>
        <v>123.34419418605331</v>
      </c>
      <c r="AT15" s="111">
        <f t="shared" si="20"/>
        <v>125.81107806977438</v>
      </c>
      <c r="AU15" s="111">
        <f t="shared" si="20"/>
        <v>128.32729963116986</v>
      </c>
      <c r="AV15" s="111">
        <f t="shared" si="20"/>
        <v>130.89384562379328</v>
      </c>
      <c r="AW15" s="111">
        <f t="shared" si="20"/>
        <v>133.51172253626913</v>
      </c>
      <c r="AX15" s="111">
        <f>AX14*AX35</f>
        <v>136.18195698699452</v>
      </c>
      <c r="AY15" s="111">
        <f>AY14*AY35</f>
        <v>138.90559612673442</v>
      </c>
      <c r="AZ15" s="111">
        <f>AZ14*AZ35</f>
        <v>141.68370804926911</v>
      </c>
      <c r="BA15" s="111">
        <f>BA14*BA35</f>
        <v>144.51738221025451</v>
      </c>
      <c r="BB15" s="111">
        <f>BB14*BB35</f>
        <v>147.4077298544596</v>
      </c>
      <c r="BC15" s="111">
        <f t="shared" ref="BC15" si="21">BC14*BC35</f>
        <v>150.3558844515488</v>
      </c>
      <c r="BD15" s="111">
        <f>BD14*BD35</f>
        <v>153.36300214057979</v>
      </c>
      <c r="BE15" s="111">
        <f>BE14*BE35</f>
        <v>156.43026218339139</v>
      </c>
      <c r="BF15" s="111">
        <f>BF14*BF35</f>
        <v>159.5588674270592</v>
      </c>
      <c r="BG15" s="111">
        <f>BG14*BG35</f>
        <v>162.7500447756004</v>
      </c>
    </row>
    <row r="16" spans="1:59" ht="13.75" customHeight="1">
      <c r="A16" s="141" t="s">
        <v>86</v>
      </c>
      <c r="B16" s="165"/>
      <c r="C16" s="165"/>
      <c r="D16" s="165" t="s">
        <v>110</v>
      </c>
      <c r="E16" s="167"/>
      <c r="F16" s="168" t="s">
        <v>117</v>
      </c>
      <c r="G16" s="168" t="s">
        <v>3</v>
      </c>
      <c r="H16" s="168"/>
      <c r="I16" s="168" t="s">
        <v>118</v>
      </c>
      <c r="U16" s="107">
        <v>2.1999999999999999E-2</v>
      </c>
      <c r="V16" s="107">
        <v>2.1999999999999999E-2</v>
      </c>
      <c r="W16" s="107">
        <v>2.1999999999999999E-2</v>
      </c>
      <c r="X16" s="107">
        <v>2.1999999999999999E-2</v>
      </c>
      <c r="Y16" s="107">
        <v>2.1999999999999999E-2</v>
      </c>
      <c r="Z16" s="107">
        <v>2.1999999999999999E-2</v>
      </c>
      <c r="AA16" s="107">
        <v>2.1999999999999999E-2</v>
      </c>
      <c r="AB16" s="107">
        <v>2.1999999999999999E-2</v>
      </c>
      <c r="AC16" s="107">
        <v>2.1999999999999999E-2</v>
      </c>
      <c r="AD16" s="107">
        <v>2.1999999999999999E-2</v>
      </c>
      <c r="AE16" s="107">
        <f t="shared" ref="AE16:AT18" si="22">AD16</f>
        <v>2.1999999999999999E-2</v>
      </c>
      <c r="AF16" s="107">
        <f t="shared" si="22"/>
        <v>2.1999999999999999E-2</v>
      </c>
      <c r="AG16" s="107">
        <f t="shared" si="22"/>
        <v>2.1999999999999999E-2</v>
      </c>
      <c r="AH16" s="107">
        <f t="shared" si="22"/>
        <v>2.1999999999999999E-2</v>
      </c>
      <c r="AI16" s="107">
        <f t="shared" si="22"/>
        <v>2.1999999999999999E-2</v>
      </c>
      <c r="AJ16" s="107">
        <f t="shared" si="22"/>
        <v>2.1999999999999999E-2</v>
      </c>
      <c r="AK16" s="107">
        <f t="shared" si="22"/>
        <v>2.1999999999999999E-2</v>
      </c>
      <c r="AL16" s="107">
        <f t="shared" si="22"/>
        <v>2.1999999999999999E-2</v>
      </c>
      <c r="AM16" s="107">
        <f t="shared" si="22"/>
        <v>2.1999999999999999E-2</v>
      </c>
      <c r="AN16" s="107">
        <f t="shared" si="22"/>
        <v>2.1999999999999999E-2</v>
      </c>
      <c r="AO16" s="107">
        <f t="shared" si="22"/>
        <v>2.1999999999999999E-2</v>
      </c>
      <c r="AP16" s="107">
        <f t="shared" si="22"/>
        <v>2.1999999999999999E-2</v>
      </c>
      <c r="AQ16" s="107">
        <f t="shared" si="22"/>
        <v>2.1999999999999999E-2</v>
      </c>
      <c r="AR16" s="107">
        <f t="shared" si="22"/>
        <v>2.1999999999999999E-2</v>
      </c>
      <c r="AS16" s="107">
        <f t="shared" si="22"/>
        <v>2.1999999999999999E-2</v>
      </c>
      <c r="AT16" s="107">
        <f t="shared" si="22"/>
        <v>2.1999999999999999E-2</v>
      </c>
      <c r="AU16" s="107">
        <f t="shared" ref="AU16:BG18" si="23">AT16</f>
        <v>2.1999999999999999E-2</v>
      </c>
      <c r="AV16" s="107">
        <f t="shared" si="23"/>
        <v>2.1999999999999999E-2</v>
      </c>
      <c r="AW16" s="107">
        <f t="shared" si="23"/>
        <v>2.1999999999999999E-2</v>
      </c>
      <c r="AX16" s="107">
        <f t="shared" si="23"/>
        <v>2.1999999999999999E-2</v>
      </c>
      <c r="AY16" s="107">
        <f t="shared" si="23"/>
        <v>2.1999999999999999E-2</v>
      </c>
      <c r="AZ16" s="107">
        <f t="shared" si="23"/>
        <v>2.1999999999999999E-2</v>
      </c>
      <c r="BA16" s="107">
        <f t="shared" si="23"/>
        <v>2.1999999999999999E-2</v>
      </c>
      <c r="BB16" s="107">
        <f t="shared" si="23"/>
        <v>2.1999999999999999E-2</v>
      </c>
      <c r="BC16" s="107">
        <f t="shared" si="23"/>
        <v>2.1999999999999999E-2</v>
      </c>
      <c r="BD16" s="107">
        <f t="shared" si="23"/>
        <v>2.1999999999999999E-2</v>
      </c>
      <c r="BE16" s="107">
        <f t="shared" si="23"/>
        <v>2.1999999999999999E-2</v>
      </c>
      <c r="BF16" s="107">
        <f t="shared" si="23"/>
        <v>2.1999999999999999E-2</v>
      </c>
      <c r="BG16" s="107">
        <f t="shared" si="23"/>
        <v>2.1999999999999999E-2</v>
      </c>
    </row>
    <row r="17" spans="1:59" ht="13.75" customHeight="1">
      <c r="A17" s="141" t="s">
        <v>86</v>
      </c>
      <c r="B17" s="165"/>
      <c r="C17" s="165"/>
      <c r="D17" s="165" t="s">
        <v>110</v>
      </c>
      <c r="E17" s="167"/>
      <c r="F17" s="168" t="s">
        <v>119</v>
      </c>
      <c r="G17" s="168" t="s">
        <v>3</v>
      </c>
      <c r="H17" s="168"/>
      <c r="I17" s="168" t="s">
        <v>118</v>
      </c>
      <c r="W17" s="107">
        <v>8.9999999999999993E-3</v>
      </c>
      <c r="X17" s="107">
        <v>1.2E-2</v>
      </c>
      <c r="Y17" s="107">
        <v>1.2999999999999999E-2</v>
      </c>
      <c r="Z17" s="107">
        <v>1.4E-2</v>
      </c>
      <c r="AA17" s="107">
        <v>1.4999999999999999E-2</v>
      </c>
      <c r="AB17" s="107">
        <v>1.6E-2</v>
      </c>
      <c r="AC17" s="107">
        <v>1.7000000000000001E-2</v>
      </c>
      <c r="AD17" s="107">
        <v>1.8000000000000002E-2</v>
      </c>
      <c r="AE17" s="107">
        <f>AD17+0.1%</f>
        <v>1.9000000000000003E-2</v>
      </c>
      <c r="AF17" s="107">
        <f>AE17+0.1%</f>
        <v>2.0000000000000004E-2</v>
      </c>
      <c r="AG17" s="107">
        <f t="shared" si="22"/>
        <v>2.0000000000000004E-2</v>
      </c>
      <c r="AH17" s="107">
        <f t="shared" si="22"/>
        <v>2.0000000000000004E-2</v>
      </c>
      <c r="AI17" s="107">
        <f t="shared" si="22"/>
        <v>2.0000000000000004E-2</v>
      </c>
      <c r="AJ17" s="107">
        <f t="shared" si="22"/>
        <v>2.0000000000000004E-2</v>
      </c>
      <c r="AK17" s="107">
        <f t="shared" si="22"/>
        <v>2.0000000000000004E-2</v>
      </c>
      <c r="AL17" s="107">
        <f t="shared" si="22"/>
        <v>2.0000000000000004E-2</v>
      </c>
      <c r="AM17" s="107">
        <f t="shared" si="22"/>
        <v>2.0000000000000004E-2</v>
      </c>
      <c r="AN17" s="107">
        <f t="shared" si="22"/>
        <v>2.0000000000000004E-2</v>
      </c>
      <c r="AO17" s="107">
        <f t="shared" si="22"/>
        <v>2.0000000000000004E-2</v>
      </c>
      <c r="AP17" s="107">
        <f t="shared" si="22"/>
        <v>2.0000000000000004E-2</v>
      </c>
      <c r="AQ17" s="107">
        <f t="shared" si="22"/>
        <v>2.0000000000000004E-2</v>
      </c>
      <c r="AR17" s="107">
        <f t="shared" si="22"/>
        <v>2.0000000000000004E-2</v>
      </c>
      <c r="AS17" s="107">
        <f t="shared" si="22"/>
        <v>2.0000000000000004E-2</v>
      </c>
      <c r="AT17" s="107">
        <f t="shared" si="22"/>
        <v>2.0000000000000004E-2</v>
      </c>
      <c r="AU17" s="107">
        <f t="shared" si="23"/>
        <v>2.0000000000000004E-2</v>
      </c>
      <c r="AV17" s="107">
        <f t="shared" si="23"/>
        <v>2.0000000000000004E-2</v>
      </c>
      <c r="AW17" s="107">
        <f t="shared" si="23"/>
        <v>2.0000000000000004E-2</v>
      </c>
      <c r="AX17" s="107">
        <f t="shared" si="23"/>
        <v>2.0000000000000004E-2</v>
      </c>
      <c r="AY17" s="107">
        <f t="shared" si="23"/>
        <v>2.0000000000000004E-2</v>
      </c>
      <c r="AZ17" s="107">
        <f t="shared" si="23"/>
        <v>2.0000000000000004E-2</v>
      </c>
      <c r="BA17" s="107">
        <f t="shared" si="23"/>
        <v>2.0000000000000004E-2</v>
      </c>
      <c r="BB17" s="107">
        <f t="shared" si="23"/>
        <v>2.0000000000000004E-2</v>
      </c>
      <c r="BC17" s="107">
        <f t="shared" si="23"/>
        <v>2.0000000000000004E-2</v>
      </c>
      <c r="BD17" s="107">
        <f t="shared" si="23"/>
        <v>2.0000000000000004E-2</v>
      </c>
      <c r="BE17" s="107">
        <f t="shared" si="23"/>
        <v>2.0000000000000004E-2</v>
      </c>
      <c r="BF17" s="107">
        <f t="shared" si="23"/>
        <v>2.0000000000000004E-2</v>
      </c>
      <c r="BG17" s="107">
        <f t="shared" si="23"/>
        <v>2.0000000000000004E-2</v>
      </c>
    </row>
    <row r="18" spans="1:59" ht="13.75" customHeight="1">
      <c r="A18" s="141" t="s">
        <v>86</v>
      </c>
      <c r="B18" s="165"/>
      <c r="C18" s="165"/>
      <c r="D18" s="165" t="s">
        <v>110</v>
      </c>
      <c r="E18" s="167"/>
      <c r="F18" s="168" t="s">
        <v>120</v>
      </c>
      <c r="G18" s="168" t="s">
        <v>3</v>
      </c>
      <c r="H18" s="168"/>
      <c r="I18" s="168" t="s">
        <v>118</v>
      </c>
      <c r="W18" s="107">
        <v>0.01</v>
      </c>
      <c r="X18" s="107">
        <v>1.4999999999999999E-2</v>
      </c>
      <c r="Y18" s="107">
        <v>0.02</v>
      </c>
      <c r="Z18" s="107">
        <v>0.02</v>
      </c>
      <c r="AA18" s="107">
        <v>0.02</v>
      </c>
      <c r="AB18" s="107">
        <v>0.02</v>
      </c>
      <c r="AC18" s="107">
        <v>0.02</v>
      </c>
      <c r="AD18" s="107">
        <v>0.02</v>
      </c>
      <c r="AE18" s="107">
        <f t="shared" ref="AE18:AH18" si="24">AD18</f>
        <v>0.02</v>
      </c>
      <c r="AF18" s="107">
        <f t="shared" si="24"/>
        <v>0.02</v>
      </c>
      <c r="AG18" s="107">
        <f t="shared" si="24"/>
        <v>0.02</v>
      </c>
      <c r="AH18" s="107">
        <f t="shared" si="24"/>
        <v>0.02</v>
      </c>
      <c r="AI18" s="107">
        <f t="shared" si="22"/>
        <v>0.02</v>
      </c>
      <c r="AJ18" s="107">
        <f t="shared" si="22"/>
        <v>0.02</v>
      </c>
      <c r="AK18" s="107">
        <f t="shared" si="22"/>
        <v>0.02</v>
      </c>
      <c r="AL18" s="107">
        <f t="shared" si="22"/>
        <v>0.02</v>
      </c>
      <c r="AM18" s="107">
        <f t="shared" si="22"/>
        <v>0.02</v>
      </c>
      <c r="AN18" s="107">
        <f t="shared" si="22"/>
        <v>0.02</v>
      </c>
      <c r="AO18" s="107">
        <f t="shared" si="22"/>
        <v>0.02</v>
      </c>
      <c r="AP18" s="107">
        <f t="shared" si="22"/>
        <v>0.02</v>
      </c>
      <c r="AQ18" s="107">
        <f t="shared" si="22"/>
        <v>0.02</v>
      </c>
      <c r="AR18" s="107">
        <f t="shared" si="22"/>
        <v>0.02</v>
      </c>
      <c r="AS18" s="107">
        <f t="shared" si="22"/>
        <v>0.02</v>
      </c>
      <c r="AT18" s="107">
        <f t="shared" si="22"/>
        <v>0.02</v>
      </c>
      <c r="AU18" s="107">
        <f t="shared" si="23"/>
        <v>0.02</v>
      </c>
      <c r="AV18" s="107">
        <f t="shared" si="23"/>
        <v>0.02</v>
      </c>
      <c r="AW18" s="107">
        <f t="shared" si="23"/>
        <v>0.02</v>
      </c>
      <c r="AX18" s="107">
        <f t="shared" si="23"/>
        <v>0.02</v>
      </c>
      <c r="AY18" s="107">
        <f t="shared" si="23"/>
        <v>0.02</v>
      </c>
      <c r="AZ18" s="107">
        <f t="shared" si="23"/>
        <v>0.02</v>
      </c>
      <c r="BA18" s="107">
        <f t="shared" si="23"/>
        <v>0.02</v>
      </c>
      <c r="BB18" s="107">
        <f t="shared" si="23"/>
        <v>0.02</v>
      </c>
      <c r="BC18" s="107">
        <f t="shared" si="23"/>
        <v>0.02</v>
      </c>
      <c r="BD18" s="107">
        <f t="shared" si="23"/>
        <v>0.02</v>
      </c>
      <c r="BE18" s="107">
        <f t="shared" si="23"/>
        <v>0.02</v>
      </c>
      <c r="BF18" s="107">
        <f t="shared" si="23"/>
        <v>0.02</v>
      </c>
      <c r="BG18" s="107">
        <f t="shared" si="23"/>
        <v>0.02</v>
      </c>
    </row>
    <row r="19" spans="1:59" ht="13.75" customHeight="1">
      <c r="A19" s="141" t="s">
        <v>86</v>
      </c>
      <c r="B19" s="165"/>
      <c r="C19" s="165"/>
      <c r="D19" s="166" t="s">
        <v>87</v>
      </c>
      <c r="E19" s="167"/>
      <c r="F19" s="168" t="s">
        <v>121</v>
      </c>
      <c r="G19" s="168" t="s">
        <v>3</v>
      </c>
      <c r="H19" s="168"/>
      <c r="I19" s="168" t="s">
        <v>122</v>
      </c>
      <c r="J19" s="123">
        <v>0.45699999999999991</v>
      </c>
      <c r="K19" s="123">
        <v>0.34599999999999992</v>
      </c>
      <c r="L19" s="123">
        <v>0.26099999999999995</v>
      </c>
      <c r="M19" s="123">
        <v>0.22599999999999995</v>
      </c>
      <c r="N19" s="123">
        <v>0.26900000000000007</v>
      </c>
      <c r="O19" s="123">
        <v>0.24299999999999997</v>
      </c>
      <c r="P19" s="123">
        <v>0.27799999999999997</v>
      </c>
      <c r="Q19" s="123">
        <v>0.27200000000000002</v>
      </c>
      <c r="R19" s="123">
        <v>7.7999999999999972E-2</v>
      </c>
      <c r="S19" s="123">
        <v>0.12400000000000005</v>
      </c>
      <c r="T19" s="123">
        <v>0.115</v>
      </c>
      <c r="U19" s="107">
        <v>0.13900000000000001</v>
      </c>
      <c r="V19" s="107">
        <v>0.11899999999999999</v>
      </c>
      <c r="W19" s="107">
        <v>9.0999999999999998E-2</v>
      </c>
      <c r="X19" s="107">
        <v>5.0999999999999997E-2</v>
      </c>
      <c r="Y19" s="107">
        <v>7.9000000000000001E-2</v>
      </c>
      <c r="Z19" s="107">
        <v>6.7000000000000004E-2</v>
      </c>
      <c r="AA19" s="107">
        <v>0.10965864120305359</v>
      </c>
      <c r="AB19" s="107">
        <v>9.1798582669918569E-2</v>
      </c>
      <c r="AC19" s="107">
        <v>7.6035130421954866E-2</v>
      </c>
      <c r="AD19" s="107">
        <v>0.10656959085515826</v>
      </c>
      <c r="AE19" s="107">
        <v>0.13434235871235711</v>
      </c>
      <c r="AF19" s="107">
        <v>0.12369822870537896</v>
      </c>
      <c r="AG19" s="107">
        <v>8.998024670048356E-2</v>
      </c>
      <c r="AH19" s="107">
        <v>5.439920453395275E-2</v>
      </c>
      <c r="AI19" s="107">
        <v>5.0882975414821896E-2</v>
      </c>
      <c r="AJ19" s="107">
        <f t="shared" ref="AJ19:BB19" si="25">AJ3+AJ9</f>
        <v>5.2054108080999674E-2</v>
      </c>
      <c r="AK19" s="107">
        <f>AK3+AK9</f>
        <v>5.2054108080999674E-2</v>
      </c>
      <c r="AL19" s="107">
        <f t="shared" si="25"/>
        <v>5.2054108080999674E-2</v>
      </c>
      <c r="AM19" s="107">
        <f t="shared" si="25"/>
        <v>5.2054108080999674E-2</v>
      </c>
      <c r="AN19" s="107">
        <f t="shared" si="25"/>
        <v>5.2054108080999674E-2</v>
      </c>
      <c r="AO19" s="107">
        <f t="shared" si="25"/>
        <v>5.2054108080999674E-2</v>
      </c>
      <c r="AP19" s="107">
        <f t="shared" si="25"/>
        <v>5.2054108080999674E-2</v>
      </c>
      <c r="AQ19" s="107">
        <f t="shared" si="25"/>
        <v>5.2054108080999674E-2</v>
      </c>
      <c r="AR19" s="107">
        <f t="shared" si="25"/>
        <v>5.2054108080999674E-2</v>
      </c>
      <c r="AS19" s="107">
        <f t="shared" si="25"/>
        <v>5.2054108080999674E-2</v>
      </c>
      <c r="AT19" s="107">
        <f t="shared" si="25"/>
        <v>5.2054108080999674E-2</v>
      </c>
      <c r="AU19" s="107">
        <f t="shared" si="25"/>
        <v>5.2054108080999674E-2</v>
      </c>
      <c r="AV19" s="107">
        <f t="shared" si="25"/>
        <v>5.2054108080999674E-2</v>
      </c>
      <c r="AW19" s="107">
        <f t="shared" si="25"/>
        <v>5.2054108080999674E-2</v>
      </c>
      <c r="AX19" s="107">
        <f t="shared" si="25"/>
        <v>5.2054108080999674E-2</v>
      </c>
      <c r="AY19" s="107">
        <f t="shared" si="25"/>
        <v>5.2054108080999674E-2</v>
      </c>
      <c r="AZ19" s="107">
        <f t="shared" si="25"/>
        <v>5.2054108080999674E-2</v>
      </c>
      <c r="BA19" s="107">
        <f t="shared" si="25"/>
        <v>5.2054108080999674E-2</v>
      </c>
      <c r="BB19" s="107">
        <f t="shared" si="25"/>
        <v>5.2054108080999674E-2</v>
      </c>
      <c r="BC19" s="107">
        <f>BC3+BC9</f>
        <v>5.2054108080999674E-2</v>
      </c>
      <c r="BD19" s="107">
        <f>BD3+BD9</f>
        <v>5.2054108080999674E-2</v>
      </c>
      <c r="BE19" s="107">
        <f>BE3+BE9</f>
        <v>5.2054108080999674E-2</v>
      </c>
      <c r="BF19" s="107">
        <f>BF3+BF9</f>
        <v>5.2054108080999674E-2</v>
      </c>
      <c r="BG19" s="107">
        <f>BG3+BG9</f>
        <v>5.2054108080999674E-2</v>
      </c>
    </row>
    <row r="20" spans="1:59" ht="13.75" customHeight="1">
      <c r="A20" s="141" t="s">
        <v>86</v>
      </c>
      <c r="B20" s="165"/>
      <c r="C20" s="165"/>
      <c r="D20" s="166" t="s">
        <v>87</v>
      </c>
      <c r="E20" s="167"/>
      <c r="F20" s="168" t="s">
        <v>123</v>
      </c>
      <c r="G20" s="168" t="s">
        <v>3</v>
      </c>
      <c r="H20" s="168"/>
      <c r="I20" s="168" t="s">
        <v>124</v>
      </c>
      <c r="J20" s="123">
        <v>3.2939999999999997E-2</v>
      </c>
      <c r="K20" s="123">
        <v>2.8650000000000002E-2</v>
      </c>
      <c r="L20" s="123">
        <v>2.1240000000000002E-2</v>
      </c>
      <c r="M20" s="123">
        <v>2.155E-2</v>
      </c>
      <c r="N20" s="123">
        <v>2.4879999999999999E-2</v>
      </c>
      <c r="O20" s="123">
        <v>3.7249999999999998E-2</v>
      </c>
      <c r="P20" s="123">
        <v>4.684E-2</v>
      </c>
      <c r="Q20" s="123">
        <v>2.8919999999999998E-2</v>
      </c>
      <c r="R20" s="123">
        <v>6.9999999999999993E-3</v>
      </c>
      <c r="S20" s="123">
        <v>1.0059999999999999E-2</v>
      </c>
      <c r="T20" s="114">
        <v>1.3559999999999999E-2</v>
      </c>
      <c r="U20" s="107">
        <v>4.9081058365758696E-3</v>
      </c>
      <c r="V20" s="107">
        <v>1.52185019762846E-3</v>
      </c>
      <c r="W20" s="107">
        <v>1.79734743083004E-3</v>
      </c>
      <c r="X20" s="107">
        <v>-1.2786E-3</v>
      </c>
      <c r="Y20" s="110">
        <v>-3.1900000000000001E-3</v>
      </c>
      <c r="Z20" s="110">
        <v>-3.2789999999999998E-3</v>
      </c>
      <c r="AA20" s="110">
        <v>-3.0899999999999999E-3</v>
      </c>
      <c r="AB20" s="110">
        <v>-3.8300000000000001E-3</v>
      </c>
      <c r="AC20" s="110">
        <v>-5.45E-3</v>
      </c>
      <c r="AD20" s="110">
        <v>-5.7199999999999994E-3</v>
      </c>
      <c r="AE20" s="110">
        <v>2.1320000000000002E-2</v>
      </c>
      <c r="AF20" s="110">
        <v>3.9E-2</v>
      </c>
      <c r="AG20" s="110">
        <v>2.3E-2</v>
      </c>
      <c r="AH20" s="110">
        <v>1.3999999999999999E-2</v>
      </c>
      <c r="AI20" s="110">
        <v>9.4999999999999998E-3</v>
      </c>
      <c r="AJ20" s="110">
        <f t="shared" ref="AJ20:BB20" si="26">AI20</f>
        <v>9.4999999999999998E-3</v>
      </c>
      <c r="AK20" s="110">
        <f t="shared" si="26"/>
        <v>9.4999999999999998E-3</v>
      </c>
      <c r="AL20" s="110">
        <f t="shared" si="26"/>
        <v>9.4999999999999998E-3</v>
      </c>
      <c r="AM20" s="110">
        <f t="shared" si="26"/>
        <v>9.4999999999999998E-3</v>
      </c>
      <c r="AN20" s="110">
        <f t="shared" si="26"/>
        <v>9.4999999999999998E-3</v>
      </c>
      <c r="AO20" s="110">
        <f t="shared" si="26"/>
        <v>9.4999999999999998E-3</v>
      </c>
      <c r="AP20" s="110">
        <f t="shared" si="26"/>
        <v>9.4999999999999998E-3</v>
      </c>
      <c r="AQ20" s="110">
        <f t="shared" si="26"/>
        <v>9.4999999999999998E-3</v>
      </c>
      <c r="AR20" s="110">
        <f t="shared" si="26"/>
        <v>9.4999999999999998E-3</v>
      </c>
      <c r="AS20" s="110">
        <f t="shared" si="26"/>
        <v>9.4999999999999998E-3</v>
      </c>
      <c r="AT20" s="110">
        <f t="shared" si="26"/>
        <v>9.4999999999999998E-3</v>
      </c>
      <c r="AU20" s="110">
        <f t="shared" si="26"/>
        <v>9.4999999999999998E-3</v>
      </c>
      <c r="AV20" s="110">
        <f t="shared" si="26"/>
        <v>9.4999999999999998E-3</v>
      </c>
      <c r="AW20" s="110">
        <f t="shared" si="26"/>
        <v>9.4999999999999998E-3</v>
      </c>
      <c r="AX20" s="110">
        <f t="shared" si="26"/>
        <v>9.4999999999999998E-3</v>
      </c>
      <c r="AY20" s="110">
        <f t="shared" si="26"/>
        <v>9.4999999999999998E-3</v>
      </c>
      <c r="AZ20" s="110">
        <f t="shared" si="26"/>
        <v>9.4999999999999998E-3</v>
      </c>
      <c r="BA20" s="110">
        <f t="shared" si="26"/>
        <v>9.4999999999999998E-3</v>
      </c>
      <c r="BB20" s="110">
        <f t="shared" si="26"/>
        <v>9.4999999999999998E-3</v>
      </c>
      <c r="BC20" s="110">
        <f>BB20</f>
        <v>9.4999999999999998E-3</v>
      </c>
      <c r="BD20" s="110">
        <f>BC20</f>
        <v>9.4999999999999998E-3</v>
      </c>
      <c r="BE20" s="110">
        <f>BD20</f>
        <v>9.4999999999999998E-3</v>
      </c>
      <c r="BF20" s="110">
        <f>BE20</f>
        <v>9.4999999999999998E-3</v>
      </c>
      <c r="BG20" s="110">
        <f>BF20</f>
        <v>9.4999999999999998E-3</v>
      </c>
    </row>
    <row r="21" spans="1:59" ht="13.75" customHeight="1">
      <c r="A21" s="141" t="s">
        <v>86</v>
      </c>
      <c r="B21" s="165"/>
      <c r="C21" s="165"/>
      <c r="D21" s="165" t="s">
        <v>87</v>
      </c>
      <c r="E21" s="167"/>
      <c r="F21" s="168" t="s">
        <v>125</v>
      </c>
      <c r="G21" s="168" t="s">
        <v>3</v>
      </c>
      <c r="H21" s="168"/>
      <c r="I21" s="168" t="s">
        <v>109</v>
      </c>
      <c r="J21" s="123"/>
      <c r="K21" s="123"/>
      <c r="L21" s="123"/>
      <c r="M21" s="123"/>
      <c r="N21" s="123"/>
      <c r="O21" s="123">
        <v>5.7800000000000004E-2</v>
      </c>
      <c r="P21" s="123">
        <v>5.6799999999999996E-2</v>
      </c>
      <c r="Q21" s="123">
        <v>0.1575</v>
      </c>
      <c r="R21" s="123">
        <v>7.3200000000000001E-2</v>
      </c>
      <c r="S21" s="123">
        <v>5.3350000000000002E-2</v>
      </c>
      <c r="T21" s="123">
        <v>7.2099999999999997E-2</v>
      </c>
      <c r="U21" s="107">
        <v>7.3222593869731775E-2</v>
      </c>
      <c r="V21" s="107">
        <v>6.9354528735632331E-2</v>
      </c>
      <c r="W21" s="107">
        <v>0.10586615708812261</v>
      </c>
      <c r="X21" s="107">
        <v>0.11599999999999999</v>
      </c>
      <c r="Y21" s="110">
        <v>0.10465000000000001</v>
      </c>
      <c r="Z21" s="110">
        <v>7.8E-2</v>
      </c>
      <c r="AA21" s="110">
        <v>9.5700000000000007E-2</v>
      </c>
      <c r="AB21" s="110">
        <v>6.4600000000000005E-2</v>
      </c>
      <c r="AC21" s="110">
        <v>5.04E-2</v>
      </c>
      <c r="AD21" s="114">
        <v>0.10220000000000001</v>
      </c>
      <c r="AE21" s="110">
        <v>8.8000000000000009E-2</v>
      </c>
      <c r="AF21" s="110">
        <v>0.14000000000000001</v>
      </c>
      <c r="AG21" s="110">
        <v>0.10349999999999999</v>
      </c>
      <c r="AH21" s="110">
        <v>7.3499999999999996E-2</v>
      </c>
      <c r="AI21" s="110">
        <v>6.2E-2</v>
      </c>
      <c r="AJ21" s="110">
        <f>AI21+(AJ$39-AI$39)</f>
        <v>6.2E-2</v>
      </c>
      <c r="AK21" s="110">
        <f t="shared" ref="AK21:AZ25" si="27">AJ21+(AK$39-AJ$39)</f>
        <v>6.2E-2</v>
      </c>
      <c r="AL21" s="110">
        <f t="shared" si="27"/>
        <v>6.2E-2</v>
      </c>
      <c r="AM21" s="110">
        <f t="shared" si="27"/>
        <v>6.2E-2</v>
      </c>
      <c r="AN21" s="110">
        <f t="shared" si="27"/>
        <v>6.2E-2</v>
      </c>
      <c r="AO21" s="110">
        <f t="shared" si="27"/>
        <v>6.2E-2</v>
      </c>
      <c r="AP21" s="110">
        <f t="shared" si="27"/>
        <v>6.2E-2</v>
      </c>
      <c r="AQ21" s="110">
        <f t="shared" si="27"/>
        <v>6.2E-2</v>
      </c>
      <c r="AR21" s="110">
        <f t="shared" si="27"/>
        <v>6.2E-2</v>
      </c>
      <c r="AS21" s="110">
        <f t="shared" si="27"/>
        <v>6.2E-2</v>
      </c>
      <c r="AT21" s="110">
        <f t="shared" si="27"/>
        <v>6.2E-2</v>
      </c>
      <c r="AU21" s="110">
        <f t="shared" si="27"/>
        <v>6.2E-2</v>
      </c>
      <c r="AV21" s="110">
        <f t="shared" si="27"/>
        <v>6.2E-2</v>
      </c>
      <c r="AW21" s="110">
        <f t="shared" si="27"/>
        <v>6.2E-2</v>
      </c>
      <c r="AX21" s="110">
        <f t="shared" si="27"/>
        <v>6.2E-2</v>
      </c>
      <c r="AY21" s="110">
        <f t="shared" si="27"/>
        <v>6.2E-2</v>
      </c>
      <c r="AZ21" s="110">
        <f t="shared" si="27"/>
        <v>6.2E-2</v>
      </c>
      <c r="BA21" s="110">
        <f t="shared" ref="AZ21:BG23" si="28">AZ21+(BA$39-AZ$39)</f>
        <v>6.2E-2</v>
      </c>
      <c r="BB21" s="110">
        <f t="shared" si="28"/>
        <v>6.2E-2</v>
      </c>
      <c r="BC21" s="110">
        <f t="shared" si="28"/>
        <v>6.2E-2</v>
      </c>
      <c r="BD21" s="110">
        <f t="shared" si="28"/>
        <v>6.2E-2</v>
      </c>
      <c r="BE21" s="110">
        <f t="shared" si="28"/>
        <v>6.2E-2</v>
      </c>
      <c r="BF21" s="110">
        <f t="shared" si="28"/>
        <v>6.2E-2</v>
      </c>
      <c r="BG21" s="110">
        <f t="shared" si="28"/>
        <v>6.2E-2</v>
      </c>
    </row>
    <row r="22" spans="1:59" ht="13.75" customHeight="1">
      <c r="A22" s="141" t="s">
        <v>86</v>
      </c>
      <c r="B22" s="165"/>
      <c r="C22" s="165"/>
      <c r="D22" s="165" t="s">
        <v>87</v>
      </c>
      <c r="E22" s="167"/>
      <c r="F22" s="168" t="s">
        <v>126</v>
      </c>
      <c r="G22" s="168" t="s">
        <v>3</v>
      </c>
      <c r="H22" s="168"/>
      <c r="I22" s="168" t="s">
        <v>109</v>
      </c>
      <c r="J22" s="123"/>
      <c r="K22" s="123"/>
      <c r="L22" s="123"/>
      <c r="M22" s="123"/>
      <c r="N22" s="123"/>
      <c r="O22" s="123">
        <v>6.1500000000000006E-2</v>
      </c>
      <c r="P22" s="123">
        <v>6.6699999999999995E-2</v>
      </c>
      <c r="Q22" s="123">
        <v>0.16</v>
      </c>
      <c r="R22" s="123">
        <v>7.5999999999999998E-2</v>
      </c>
      <c r="S22" s="123">
        <v>6.7500000000000004E-2</v>
      </c>
      <c r="T22" s="123">
        <v>7.4200000000000002E-2</v>
      </c>
      <c r="U22" s="107">
        <v>7.5070977011494247E-2</v>
      </c>
      <c r="V22" s="107">
        <v>6.9934961685823707E-2</v>
      </c>
      <c r="W22" s="107">
        <v>9.8913639846743243E-2</v>
      </c>
      <c r="X22" s="107">
        <v>0.1079</v>
      </c>
      <c r="Y22" s="110">
        <v>9.5299999999999996E-2</v>
      </c>
      <c r="Z22" s="110">
        <v>7.5899999999999995E-2</v>
      </c>
      <c r="AA22" s="110">
        <v>9.6799999999999997E-2</v>
      </c>
      <c r="AB22" s="110">
        <v>6.3399999999999998E-2</v>
      </c>
      <c r="AC22" s="110">
        <v>5.5399999999999998E-2</v>
      </c>
      <c r="AD22" s="114">
        <v>9.35E-2</v>
      </c>
      <c r="AE22" s="110">
        <v>9.6999999999999989E-2</v>
      </c>
      <c r="AF22" s="110">
        <v>0.13</v>
      </c>
      <c r="AG22" s="110">
        <v>0.105</v>
      </c>
      <c r="AH22" s="110">
        <v>7.400000000000001E-2</v>
      </c>
      <c r="AI22" s="110">
        <v>6.4000000000000001E-2</v>
      </c>
      <c r="AJ22" s="110">
        <f t="shared" ref="AJ22:AL25" si="29">AI22+(AJ$39-AI$39)</f>
        <v>6.4000000000000001E-2</v>
      </c>
      <c r="AK22" s="110">
        <f t="shared" si="29"/>
        <v>6.4000000000000001E-2</v>
      </c>
      <c r="AL22" s="110">
        <f t="shared" si="29"/>
        <v>6.4000000000000001E-2</v>
      </c>
      <c r="AM22" s="110">
        <f t="shared" si="27"/>
        <v>6.4000000000000001E-2</v>
      </c>
      <c r="AN22" s="110">
        <f t="shared" si="27"/>
        <v>6.4000000000000001E-2</v>
      </c>
      <c r="AO22" s="110">
        <f t="shared" si="27"/>
        <v>6.4000000000000001E-2</v>
      </c>
      <c r="AP22" s="110">
        <f t="shared" si="27"/>
        <v>6.4000000000000001E-2</v>
      </c>
      <c r="AQ22" s="110">
        <f t="shared" si="27"/>
        <v>6.4000000000000001E-2</v>
      </c>
      <c r="AR22" s="110">
        <f t="shared" si="27"/>
        <v>6.4000000000000001E-2</v>
      </c>
      <c r="AS22" s="110">
        <f t="shared" si="27"/>
        <v>6.4000000000000001E-2</v>
      </c>
      <c r="AT22" s="110">
        <f t="shared" si="27"/>
        <v>6.4000000000000001E-2</v>
      </c>
      <c r="AU22" s="110">
        <f t="shared" si="27"/>
        <v>6.4000000000000001E-2</v>
      </c>
      <c r="AV22" s="110">
        <f>AU22+(AV$39-AU$39)</f>
        <v>6.4000000000000001E-2</v>
      </c>
      <c r="AW22" s="110">
        <f>AV22+(AW$39-AV$39)</f>
        <v>6.4000000000000001E-2</v>
      </c>
      <c r="AX22" s="110">
        <f t="shared" si="27"/>
        <v>6.4000000000000001E-2</v>
      </c>
      <c r="AY22" s="110">
        <f t="shared" si="27"/>
        <v>6.4000000000000001E-2</v>
      </c>
      <c r="AZ22" s="110">
        <f t="shared" si="27"/>
        <v>6.4000000000000001E-2</v>
      </c>
      <c r="BA22" s="110">
        <f t="shared" si="28"/>
        <v>6.4000000000000001E-2</v>
      </c>
      <c r="BB22" s="110">
        <f t="shared" si="28"/>
        <v>6.4000000000000001E-2</v>
      </c>
      <c r="BC22" s="110">
        <f t="shared" si="28"/>
        <v>6.4000000000000001E-2</v>
      </c>
      <c r="BD22" s="110">
        <f t="shared" si="28"/>
        <v>6.4000000000000001E-2</v>
      </c>
      <c r="BE22" s="110">
        <f t="shared" si="28"/>
        <v>6.4000000000000001E-2</v>
      </c>
      <c r="BF22" s="110">
        <f t="shared" si="28"/>
        <v>6.4000000000000001E-2</v>
      </c>
      <c r="BG22" s="110">
        <f t="shared" si="28"/>
        <v>6.4000000000000001E-2</v>
      </c>
    </row>
    <row r="23" spans="1:59" ht="13.75" customHeight="1">
      <c r="A23" s="141" t="s">
        <v>86</v>
      </c>
      <c r="B23" s="165"/>
      <c r="C23" s="165"/>
      <c r="D23" s="165" t="s">
        <v>87</v>
      </c>
      <c r="E23" s="167"/>
      <c r="F23" s="168" t="s">
        <v>127</v>
      </c>
      <c r="G23" s="168" t="s">
        <v>3</v>
      </c>
      <c r="H23" s="168"/>
      <c r="I23" s="168" t="s">
        <v>109</v>
      </c>
      <c r="J23" s="123"/>
      <c r="K23" s="123"/>
      <c r="L23" s="123"/>
      <c r="M23" s="123"/>
      <c r="N23" s="123"/>
      <c r="O23" s="123">
        <v>6.4000000000000001E-2</v>
      </c>
      <c r="P23" s="123">
        <v>7.1800000000000003E-2</v>
      </c>
      <c r="Q23" s="123">
        <v>0.16500000000000001</v>
      </c>
      <c r="R23" s="123">
        <v>7.85E-2</v>
      </c>
      <c r="S23" s="123">
        <v>7.3499999999999996E-2</v>
      </c>
      <c r="T23" s="123">
        <v>7.5399999999999995E-2</v>
      </c>
      <c r="U23" s="107">
        <v>7.6751555555555559E-2</v>
      </c>
      <c r="V23" s="107">
        <v>7.1434632183908123E-2</v>
      </c>
      <c r="W23" s="107">
        <v>9.633078544061302E-2</v>
      </c>
      <c r="X23" s="107">
        <v>0.10619999999999999</v>
      </c>
      <c r="Y23" s="110">
        <v>9.1799999999999993E-2</v>
      </c>
      <c r="Z23" s="110">
        <v>7.5499999999999998E-2</v>
      </c>
      <c r="AA23" s="110">
        <v>9.5600000000000004E-2</v>
      </c>
      <c r="AB23" s="110">
        <v>6.4600000000000005E-2</v>
      </c>
      <c r="AC23" s="110">
        <v>5.8799999999999998E-2</v>
      </c>
      <c r="AD23" s="114">
        <v>8.9399999999999993E-2</v>
      </c>
      <c r="AE23" s="110">
        <v>0.10199999999999999</v>
      </c>
      <c r="AF23" s="110">
        <v>0.12299999999999998</v>
      </c>
      <c r="AG23" s="110">
        <v>0.1065</v>
      </c>
      <c r="AH23" s="110">
        <v>7.7499999999999999E-2</v>
      </c>
      <c r="AI23" s="110">
        <v>6.9500000000000006E-2</v>
      </c>
      <c r="AJ23" s="110">
        <f t="shared" si="29"/>
        <v>6.9500000000000006E-2</v>
      </c>
      <c r="AK23" s="110">
        <f t="shared" si="29"/>
        <v>6.9500000000000006E-2</v>
      </c>
      <c r="AL23" s="110">
        <f t="shared" si="29"/>
        <v>6.9500000000000006E-2</v>
      </c>
      <c r="AM23" s="110">
        <f t="shared" si="27"/>
        <v>6.9500000000000006E-2</v>
      </c>
      <c r="AN23" s="110">
        <f t="shared" si="27"/>
        <v>6.9500000000000006E-2</v>
      </c>
      <c r="AO23" s="110">
        <f t="shared" si="27"/>
        <v>6.9500000000000006E-2</v>
      </c>
      <c r="AP23" s="110">
        <f t="shared" si="27"/>
        <v>6.9500000000000006E-2</v>
      </c>
      <c r="AQ23" s="110">
        <f t="shared" si="27"/>
        <v>6.9500000000000006E-2</v>
      </c>
      <c r="AR23" s="110">
        <f t="shared" si="27"/>
        <v>6.9500000000000006E-2</v>
      </c>
      <c r="AS23" s="110">
        <f t="shared" si="27"/>
        <v>6.9500000000000006E-2</v>
      </c>
      <c r="AT23" s="110">
        <f t="shared" si="27"/>
        <v>6.9500000000000006E-2</v>
      </c>
      <c r="AU23" s="110">
        <f t="shared" si="27"/>
        <v>6.9500000000000006E-2</v>
      </c>
      <c r="AV23" s="110">
        <f>AU23+(AV$39-AU$39)</f>
        <v>6.9500000000000006E-2</v>
      </c>
      <c r="AW23" s="110">
        <f>AV23+(AW$39-AV$39)</f>
        <v>6.9500000000000006E-2</v>
      </c>
      <c r="AX23" s="110">
        <f>AW23+(AX$39-AW$39)</f>
        <v>6.9500000000000006E-2</v>
      </c>
      <c r="AY23" s="110">
        <f>AX23+(AY$39-AX$39)</f>
        <v>6.9500000000000006E-2</v>
      </c>
      <c r="AZ23" s="110">
        <f t="shared" si="28"/>
        <v>6.9500000000000006E-2</v>
      </c>
      <c r="BA23" s="110">
        <f t="shared" si="28"/>
        <v>6.9500000000000006E-2</v>
      </c>
      <c r="BB23" s="110">
        <f t="shared" si="28"/>
        <v>6.9500000000000006E-2</v>
      </c>
      <c r="BC23" s="110">
        <f t="shared" si="28"/>
        <v>6.9500000000000006E-2</v>
      </c>
      <c r="BD23" s="110">
        <f t="shared" si="28"/>
        <v>6.9500000000000006E-2</v>
      </c>
      <c r="BE23" s="110">
        <f t="shared" si="28"/>
        <v>6.9500000000000006E-2</v>
      </c>
      <c r="BF23" s="110">
        <f t="shared" si="28"/>
        <v>6.9500000000000006E-2</v>
      </c>
      <c r="BG23" s="110">
        <f t="shared" si="28"/>
        <v>6.9500000000000006E-2</v>
      </c>
    </row>
    <row r="24" spans="1:59" ht="13.75" customHeight="1">
      <c r="A24" s="141" t="s">
        <v>86</v>
      </c>
      <c r="B24" s="165"/>
      <c r="C24" s="165"/>
      <c r="D24" s="165" t="s">
        <v>87</v>
      </c>
      <c r="E24" s="167"/>
      <c r="F24" s="168" t="s">
        <v>128</v>
      </c>
      <c r="G24" s="168" t="s">
        <v>3</v>
      </c>
      <c r="H24" s="168"/>
      <c r="I24" s="168" t="s">
        <v>109</v>
      </c>
      <c r="J24" s="123"/>
      <c r="K24" s="123"/>
      <c r="L24" s="123"/>
      <c r="M24" s="123"/>
      <c r="N24" s="123"/>
      <c r="O24" s="123">
        <v>6.4600000000000005E-2</v>
      </c>
      <c r="P24" s="123">
        <v>7.3700000000000002E-2</v>
      </c>
      <c r="Q24" s="123">
        <v>0.16500000000000001</v>
      </c>
      <c r="R24" s="123">
        <v>8.1500000000000003E-2</v>
      </c>
      <c r="S24" s="123">
        <v>7.6509999999999995E-2</v>
      </c>
      <c r="T24" s="123">
        <v>7.7100000000000002E-2</v>
      </c>
      <c r="U24" s="107">
        <v>7.8596911877394732E-2</v>
      </c>
      <c r="V24" s="107">
        <v>7.3566593869731592E-2</v>
      </c>
      <c r="W24" s="107">
        <v>9.5379850574712641E-2</v>
      </c>
      <c r="X24" s="110">
        <v>0.10539999999999999</v>
      </c>
      <c r="Y24" s="110">
        <v>8.9600000000000013E-2</v>
      </c>
      <c r="Z24" s="110">
        <v>7.5300000000000006E-2</v>
      </c>
      <c r="AA24" s="110">
        <v>9.4499999999999987E-2</v>
      </c>
      <c r="AB24" s="110">
        <v>6.8199999999999997E-2</v>
      </c>
      <c r="AC24" s="110">
        <v>6.13E-2</v>
      </c>
      <c r="AD24" s="110">
        <v>8.7899999999999992E-2</v>
      </c>
      <c r="AE24" s="110">
        <f t="shared" ref="AE24:AU24" si="30">AE23+(AE25-AE23)*2/5</f>
        <v>0.10479999999999999</v>
      </c>
      <c r="AF24" s="110">
        <f t="shared" si="30"/>
        <v>0.12039999999999999</v>
      </c>
      <c r="AG24" s="110">
        <f t="shared" si="30"/>
        <v>0.1067</v>
      </c>
      <c r="AH24" s="110">
        <f t="shared" si="30"/>
        <v>7.9500000000000001E-2</v>
      </c>
      <c r="AI24" s="110">
        <f t="shared" si="30"/>
        <v>7.1900000000000006E-2</v>
      </c>
      <c r="AJ24" s="110">
        <f t="shared" si="30"/>
        <v>7.1900000000000006E-2</v>
      </c>
      <c r="AK24" s="110">
        <f t="shared" si="30"/>
        <v>7.1900000000000006E-2</v>
      </c>
      <c r="AL24" s="110">
        <f t="shared" si="30"/>
        <v>7.1900000000000006E-2</v>
      </c>
      <c r="AM24" s="110">
        <f t="shared" si="30"/>
        <v>7.1900000000000006E-2</v>
      </c>
      <c r="AN24" s="110">
        <f t="shared" si="30"/>
        <v>7.1900000000000006E-2</v>
      </c>
      <c r="AO24" s="110">
        <f t="shared" si="30"/>
        <v>7.1900000000000006E-2</v>
      </c>
      <c r="AP24" s="110">
        <f t="shared" si="30"/>
        <v>7.1900000000000006E-2</v>
      </c>
      <c r="AQ24" s="110">
        <f t="shared" si="30"/>
        <v>7.1900000000000006E-2</v>
      </c>
      <c r="AR24" s="110">
        <f t="shared" si="30"/>
        <v>7.1900000000000006E-2</v>
      </c>
      <c r="AS24" s="110">
        <f t="shared" si="30"/>
        <v>7.1900000000000006E-2</v>
      </c>
      <c r="AT24" s="110">
        <f t="shared" si="30"/>
        <v>7.1900000000000006E-2</v>
      </c>
      <c r="AU24" s="110">
        <f t="shared" si="30"/>
        <v>7.1900000000000006E-2</v>
      </c>
      <c r="AV24" s="110">
        <f>AV23+(AV25-AV23)*2/5</f>
        <v>7.1900000000000006E-2</v>
      </c>
      <c r="AW24" s="110">
        <f>AW23+(AW25-AW23)*2/5</f>
        <v>7.1900000000000006E-2</v>
      </c>
      <c r="AX24" s="110">
        <f>AX23+(AX25-AX23)*2/5</f>
        <v>7.1900000000000006E-2</v>
      </c>
      <c r="AY24" s="110">
        <f t="shared" ref="AY24:BG24" si="31">AY23+(AY25-AY23)*2/5</f>
        <v>7.1900000000000006E-2</v>
      </c>
      <c r="AZ24" s="110">
        <f t="shared" si="31"/>
        <v>7.1900000000000006E-2</v>
      </c>
      <c r="BA24" s="110">
        <f t="shared" si="31"/>
        <v>7.1900000000000006E-2</v>
      </c>
      <c r="BB24" s="110">
        <f t="shared" si="31"/>
        <v>7.1900000000000006E-2</v>
      </c>
      <c r="BC24" s="110">
        <f t="shared" si="31"/>
        <v>7.1900000000000006E-2</v>
      </c>
      <c r="BD24" s="110">
        <f t="shared" si="31"/>
        <v>7.1900000000000006E-2</v>
      </c>
      <c r="BE24" s="110">
        <f t="shared" si="31"/>
        <v>7.1900000000000006E-2</v>
      </c>
      <c r="BF24" s="110">
        <f t="shared" si="31"/>
        <v>7.1900000000000006E-2</v>
      </c>
      <c r="BG24" s="110">
        <f t="shared" si="31"/>
        <v>7.1900000000000006E-2</v>
      </c>
    </row>
    <row r="25" spans="1:59" ht="13.75" customHeight="1">
      <c r="A25" s="141" t="s">
        <v>86</v>
      </c>
      <c r="B25" s="165"/>
      <c r="C25" s="165"/>
      <c r="D25" s="165" t="s">
        <v>87</v>
      </c>
      <c r="E25" s="167"/>
      <c r="F25" s="168" t="s">
        <v>129</v>
      </c>
      <c r="G25" s="168" t="s">
        <v>3</v>
      </c>
      <c r="H25" s="168"/>
      <c r="I25" s="168" t="s">
        <v>109</v>
      </c>
      <c r="J25" s="123"/>
      <c r="K25" s="123"/>
      <c r="L25" s="123"/>
      <c r="M25" s="123"/>
      <c r="N25" s="123"/>
      <c r="O25" s="123">
        <v>6.5099999999999991E-2</v>
      </c>
      <c r="P25" s="123">
        <v>7.6600000000000001E-2</v>
      </c>
      <c r="Q25" s="123">
        <v>0.16500000000000001</v>
      </c>
      <c r="R25" s="123">
        <v>8.199999999999999E-2</v>
      </c>
      <c r="S25" s="123">
        <v>7.9509999999999997E-2</v>
      </c>
      <c r="T25" s="123">
        <v>7.8899999999999998E-2</v>
      </c>
      <c r="U25" s="107">
        <v>8.1269616858237512E-2</v>
      </c>
      <c r="V25" s="107">
        <v>7.6304413793103459E-2</v>
      </c>
      <c r="W25" s="107">
        <v>9.5675601532567031E-2</v>
      </c>
      <c r="X25" s="107">
        <v>0.10390000000000001</v>
      </c>
      <c r="Y25" s="110">
        <v>8.7300000000000003E-2</v>
      </c>
      <c r="Z25" s="110">
        <v>7.5300000000000006E-2</v>
      </c>
      <c r="AA25" s="110">
        <v>9.3200000000000005E-2</v>
      </c>
      <c r="AB25" s="110">
        <v>6.8400000000000002E-2</v>
      </c>
      <c r="AC25" s="110">
        <v>6.4600000000000005E-2</v>
      </c>
      <c r="AD25" s="110">
        <v>8.77E-2</v>
      </c>
      <c r="AE25" s="110">
        <v>0.109</v>
      </c>
      <c r="AF25" s="110">
        <v>0.11650000000000001</v>
      </c>
      <c r="AG25" s="110">
        <v>0.10700000000000001</v>
      </c>
      <c r="AH25" s="110">
        <v>8.2500000000000004E-2</v>
      </c>
      <c r="AI25" s="110">
        <v>7.5500000000000012E-2</v>
      </c>
      <c r="AJ25" s="110">
        <f t="shared" si="29"/>
        <v>7.5500000000000012E-2</v>
      </c>
      <c r="AK25" s="110">
        <f t="shared" si="29"/>
        <v>7.5500000000000012E-2</v>
      </c>
      <c r="AL25" s="110">
        <f t="shared" si="29"/>
        <v>7.5500000000000012E-2</v>
      </c>
      <c r="AM25" s="110">
        <f t="shared" si="27"/>
        <v>7.5500000000000012E-2</v>
      </c>
      <c r="AN25" s="110">
        <f t="shared" si="27"/>
        <v>7.5500000000000012E-2</v>
      </c>
      <c r="AO25" s="110">
        <f t="shared" si="27"/>
        <v>7.5500000000000012E-2</v>
      </c>
      <c r="AP25" s="110">
        <f t="shared" si="27"/>
        <v>7.5500000000000012E-2</v>
      </c>
      <c r="AQ25" s="110">
        <f t="shared" si="27"/>
        <v>7.5500000000000012E-2</v>
      </c>
      <c r="AR25" s="110">
        <f t="shared" si="27"/>
        <v>7.5500000000000012E-2</v>
      </c>
      <c r="AS25" s="110">
        <f t="shared" si="27"/>
        <v>7.5500000000000012E-2</v>
      </c>
      <c r="AT25" s="110">
        <f t="shared" si="27"/>
        <v>7.5500000000000012E-2</v>
      </c>
      <c r="AU25" s="110">
        <f t="shared" si="27"/>
        <v>7.5500000000000012E-2</v>
      </c>
      <c r="AV25" s="110">
        <f>AU25+(AV$39-AU$39)</f>
        <v>7.5500000000000012E-2</v>
      </c>
      <c r="AW25" s="110">
        <f>AV25+(AW$39-AV$39)</f>
        <v>7.5500000000000012E-2</v>
      </c>
      <c r="AX25" s="110">
        <f>AW25+(AX$39-AW$39)</f>
        <v>7.5500000000000012E-2</v>
      </c>
      <c r="AY25" s="110">
        <f t="shared" ref="AY25:BG25" si="32">AX25+(AY$39-AX$39)</f>
        <v>7.5500000000000012E-2</v>
      </c>
      <c r="AZ25" s="110">
        <f t="shared" si="32"/>
        <v>7.5500000000000012E-2</v>
      </c>
      <c r="BA25" s="110">
        <f t="shared" si="32"/>
        <v>7.5500000000000012E-2</v>
      </c>
      <c r="BB25" s="110">
        <f t="shared" si="32"/>
        <v>7.5500000000000012E-2</v>
      </c>
      <c r="BC25" s="110">
        <f t="shared" si="32"/>
        <v>7.5500000000000012E-2</v>
      </c>
      <c r="BD25" s="110">
        <f t="shared" si="32"/>
        <v>7.5500000000000012E-2</v>
      </c>
      <c r="BE25" s="110">
        <f t="shared" si="32"/>
        <v>7.5500000000000012E-2</v>
      </c>
      <c r="BF25" s="110">
        <f t="shared" si="32"/>
        <v>7.5500000000000012E-2</v>
      </c>
      <c r="BG25" s="110">
        <f t="shared" si="32"/>
        <v>7.5500000000000012E-2</v>
      </c>
    </row>
    <row r="26" spans="1:59" ht="13.75" customHeight="1">
      <c r="A26" s="141" t="s">
        <v>86</v>
      </c>
      <c r="B26" s="165"/>
      <c r="C26" s="165"/>
      <c r="D26" s="165" t="s">
        <v>98</v>
      </c>
      <c r="E26" s="167"/>
      <c r="F26" s="168" t="s">
        <v>130</v>
      </c>
      <c r="G26" s="168" t="s">
        <v>131</v>
      </c>
      <c r="I26" s="168" t="s">
        <v>116</v>
      </c>
      <c r="J26" s="147">
        <v>17.318563380281692</v>
      </c>
      <c r="K26" s="147">
        <v>20.225351549295755</v>
      </c>
      <c r="L26" s="147">
        <v>22.797648048048025</v>
      </c>
      <c r="M26" s="147">
        <v>23.200051311953345</v>
      </c>
      <c r="N26" s="147">
        <v>22.72658742857142</v>
      </c>
      <c r="O26" s="147">
        <v>21.674498290598287</v>
      </c>
      <c r="P26" s="147">
        <v>21.310417415730349</v>
      </c>
      <c r="Q26" s="147">
        <v>22.925360076045614</v>
      </c>
      <c r="R26" s="147">
        <v>29.245193532338298</v>
      </c>
      <c r="S26" s="147">
        <v>29.492689383561622</v>
      </c>
      <c r="T26" s="147">
        <v>33.218057458563564</v>
      </c>
      <c r="U26" s="112">
        <v>33.114757028112443</v>
      </c>
      <c r="V26" s="112">
        <v>34.428351219512201</v>
      </c>
      <c r="W26" s="112">
        <v>42.014607692307678</v>
      </c>
      <c r="X26" s="107">
        <v>63.87710916334661</v>
      </c>
      <c r="Y26" s="112">
        <v>67.848924193548427</v>
      </c>
      <c r="Z26" s="111">
        <v>59.296312550607276</v>
      </c>
      <c r="AA26" s="112">
        <v>64.271352631578935</v>
      </c>
      <c r="AB26" s="112">
        <v>65.038546341463416</v>
      </c>
      <c r="AC26" s="112">
        <v>77.342137448559583</v>
      </c>
      <c r="AD26" s="112">
        <v>80.517745967741888</v>
      </c>
      <c r="AE26" s="112">
        <f>AE14/AE41</f>
        <v>74.698218263941129</v>
      </c>
      <c r="AF26" s="112">
        <f t="shared" ref="AF26:AV26" si="33">AF14/AF41</f>
        <v>93.212740046838391</v>
      </c>
      <c r="AG26" s="112">
        <f t="shared" si="33"/>
        <v>101.56884705882348</v>
      </c>
      <c r="AH26" s="112">
        <f t="shared" si="33"/>
        <v>104.07858156028354</v>
      </c>
      <c r="AI26" s="112">
        <f t="shared" si="33"/>
        <v>105.42893617021254</v>
      </c>
      <c r="AJ26" s="112">
        <f t="shared" si="33"/>
        <v>107.53751489361679</v>
      </c>
      <c r="AK26" s="112">
        <f t="shared" si="33"/>
        <v>109.68826519148914</v>
      </c>
      <c r="AL26" s="112">
        <f t="shared" si="33"/>
        <v>111.88203049531892</v>
      </c>
      <c r="AM26" s="112">
        <f t="shared" si="33"/>
        <v>114.11967110522529</v>
      </c>
      <c r="AN26" s="112">
        <f t="shared" si="33"/>
        <v>116.40206452732981</v>
      </c>
      <c r="AO26" s="112">
        <f t="shared" si="33"/>
        <v>118.73010581787642</v>
      </c>
      <c r="AP26" s="112">
        <f t="shared" si="33"/>
        <v>121.10470793423396</v>
      </c>
      <c r="AQ26" s="112">
        <f t="shared" si="33"/>
        <v>123.52680209291864</v>
      </c>
      <c r="AR26" s="112">
        <f t="shared" si="33"/>
        <v>125.99733813477701</v>
      </c>
      <c r="AS26" s="112">
        <f t="shared" si="33"/>
        <v>128.51728489747256</v>
      </c>
      <c r="AT26" s="112">
        <f t="shared" si="33"/>
        <v>131.08763059542201</v>
      </c>
      <c r="AU26" s="112">
        <f t="shared" si="33"/>
        <v>133.70938320733046</v>
      </c>
      <c r="AV26" s="112">
        <f t="shared" si="33"/>
        <v>136.38357087147708</v>
      </c>
      <c r="AW26" s="112">
        <f>AW14/AW41</f>
        <v>139.11124228890662</v>
      </c>
      <c r="AX26" s="112">
        <f>AX14/AX41</f>
        <v>141.89346713468473</v>
      </c>
      <c r="AY26" s="112">
        <f>AY14/AY41</f>
        <v>144.73133647737845</v>
      </c>
      <c r="AZ26" s="112">
        <f>AZ14/AZ41</f>
        <v>147.62596320692603</v>
      </c>
      <c r="BA26" s="112">
        <f t="shared" ref="BA26:BG26" si="34">BA14/BA41</f>
        <v>150.57848247106455</v>
      </c>
      <c r="BB26" s="112">
        <f t="shared" si="34"/>
        <v>153.59005212048584</v>
      </c>
      <c r="BC26" s="112">
        <f t="shared" si="34"/>
        <v>156.66185316289557</v>
      </c>
      <c r="BD26" s="112">
        <f t="shared" si="34"/>
        <v>159.79509022615349</v>
      </c>
      <c r="BE26" s="112">
        <f t="shared" si="34"/>
        <v>162.99099203067658</v>
      </c>
      <c r="BF26" s="112">
        <f t="shared" si="34"/>
        <v>166.2508118712901</v>
      </c>
      <c r="BG26" s="112">
        <f t="shared" si="34"/>
        <v>169.57582810871588</v>
      </c>
    </row>
    <row r="27" spans="1:59" ht="13.75" customHeight="1">
      <c r="A27" s="141" t="s">
        <v>86</v>
      </c>
      <c r="B27" s="165"/>
      <c r="C27" s="165"/>
      <c r="D27" s="165" t="s">
        <v>98</v>
      </c>
      <c r="E27" s="167"/>
      <c r="F27" s="168" t="s">
        <v>132</v>
      </c>
      <c r="G27" s="168" t="s">
        <v>131</v>
      </c>
      <c r="I27" s="168" t="s">
        <v>116</v>
      </c>
      <c r="J27" s="147">
        <v>17.86</v>
      </c>
      <c r="K27" s="147">
        <v>22.777999999999999</v>
      </c>
      <c r="L27" s="147">
        <v>23.599499999999999</v>
      </c>
      <c r="M27" s="147">
        <v>24.482700000000001</v>
      </c>
      <c r="N27" s="147">
        <v>21.956299999999999</v>
      </c>
      <c r="O27" s="147">
        <v>21.597000000000001</v>
      </c>
      <c r="P27" s="147">
        <v>21.7879</v>
      </c>
      <c r="Q27" s="147">
        <v>27.832899999999999</v>
      </c>
      <c r="R27" s="147">
        <v>29.137</v>
      </c>
      <c r="S27" s="147">
        <v>32.4084</v>
      </c>
      <c r="T27" s="147">
        <v>34.236600000000003</v>
      </c>
      <c r="U27" s="112">
        <v>33.288800000000002</v>
      </c>
      <c r="V27" s="112">
        <v>36.695999999999998</v>
      </c>
      <c r="W27" s="112">
        <v>56.976300000000002</v>
      </c>
      <c r="X27" s="107">
        <v>73.611526999999995</v>
      </c>
      <c r="Y27" s="112">
        <v>59.415100000000002</v>
      </c>
      <c r="Z27" s="111">
        <v>58.974299999999999</v>
      </c>
      <c r="AA27" s="112">
        <v>70.578699999999998</v>
      </c>
      <c r="AB27" s="112">
        <v>63.603900000000003</v>
      </c>
      <c r="AC27" s="112">
        <v>83.513099999999994</v>
      </c>
      <c r="AD27" s="112">
        <v>80.937600000000003</v>
      </c>
      <c r="AE27" s="112">
        <f>AE7/AE40</f>
        <v>77.272183098591555</v>
      </c>
      <c r="AF27" s="112">
        <f t="shared" ref="AF27:AW27" si="35">AF7/AF40</f>
        <v>99.075471698113205</v>
      </c>
      <c r="AG27" s="112">
        <f t="shared" si="35"/>
        <v>101.33611374407575</v>
      </c>
      <c r="AH27" s="112">
        <f t="shared" si="35"/>
        <v>102.44690307328587</v>
      </c>
      <c r="AI27" s="112">
        <f t="shared" si="35"/>
        <v>103.79725768321487</v>
      </c>
      <c r="AJ27" s="112">
        <f t="shared" si="35"/>
        <v>107.53751489361679</v>
      </c>
      <c r="AK27" s="112">
        <f t="shared" si="35"/>
        <v>109.68826519148914</v>
      </c>
      <c r="AL27" s="112">
        <f t="shared" si="35"/>
        <v>111.88203049531892</v>
      </c>
      <c r="AM27" s="112">
        <f t="shared" si="35"/>
        <v>114.11967110522529</v>
      </c>
      <c r="AN27" s="112">
        <f t="shared" si="35"/>
        <v>116.40206452732981</v>
      </c>
      <c r="AO27" s="112">
        <f t="shared" si="35"/>
        <v>118.73010581787642</v>
      </c>
      <c r="AP27" s="112">
        <f t="shared" si="35"/>
        <v>121.10470793423396</v>
      </c>
      <c r="AQ27" s="112">
        <f t="shared" si="35"/>
        <v>123.52680209291864</v>
      </c>
      <c r="AR27" s="112">
        <f t="shared" si="35"/>
        <v>125.99733813477701</v>
      </c>
      <c r="AS27" s="112">
        <f t="shared" si="35"/>
        <v>128.51728489747256</v>
      </c>
      <c r="AT27" s="112">
        <f t="shared" si="35"/>
        <v>131.08763059542201</v>
      </c>
      <c r="AU27" s="112">
        <f t="shared" si="35"/>
        <v>133.70938320733046</v>
      </c>
      <c r="AV27" s="112">
        <f t="shared" si="35"/>
        <v>136.38357087147708</v>
      </c>
      <c r="AW27" s="112">
        <f t="shared" si="35"/>
        <v>139.11124228890662</v>
      </c>
      <c r="AX27" s="112">
        <f>AX7/AX40</f>
        <v>141.89346713468473</v>
      </c>
      <c r="AY27" s="112">
        <f>AY7/AY40</f>
        <v>144.73133647737845</v>
      </c>
      <c r="AZ27" s="112">
        <f t="shared" ref="AZ27:BG27" si="36">AZ7/AZ40</f>
        <v>147.62596320692603</v>
      </c>
      <c r="BA27" s="112">
        <f t="shared" si="36"/>
        <v>150.57848247106455</v>
      </c>
      <c r="BB27" s="112">
        <f t="shared" si="36"/>
        <v>153.59005212048584</v>
      </c>
      <c r="BC27" s="112">
        <f t="shared" si="36"/>
        <v>156.66185316289557</v>
      </c>
      <c r="BD27" s="112">
        <f t="shared" si="36"/>
        <v>159.79509022615349</v>
      </c>
      <c r="BE27" s="112">
        <f t="shared" si="36"/>
        <v>162.99099203067658</v>
      </c>
      <c r="BF27" s="112">
        <f t="shared" si="36"/>
        <v>166.2508118712901</v>
      </c>
      <c r="BG27" s="112">
        <f t="shared" si="36"/>
        <v>169.57582810871588</v>
      </c>
    </row>
    <row r="28" spans="1:59" ht="13.75" customHeight="1">
      <c r="A28" s="141" t="s">
        <v>86</v>
      </c>
      <c r="B28" s="165"/>
      <c r="C28" s="165"/>
      <c r="D28" s="165" t="s">
        <v>92</v>
      </c>
      <c r="E28" s="167"/>
      <c r="F28" s="168" t="s">
        <v>133</v>
      </c>
      <c r="G28" s="168" t="s">
        <v>3</v>
      </c>
      <c r="I28" s="168" t="s">
        <v>134</v>
      </c>
      <c r="J28" s="123">
        <v>-1.6E-2</v>
      </c>
      <c r="K28" s="123">
        <v>1.2E-2</v>
      </c>
      <c r="L28" s="123">
        <v>0.04</v>
      </c>
      <c r="M28" s="123">
        <v>4.2000000000000003E-2</v>
      </c>
      <c r="N28" s="123">
        <v>5.4000000000000006E-2</v>
      </c>
      <c r="O28" s="123">
        <v>1.1000000000000001E-2</v>
      </c>
      <c r="P28" s="123">
        <v>6.2E-2</v>
      </c>
      <c r="Q28" s="123">
        <v>-9.0000000000000011E-3</v>
      </c>
      <c r="R28" s="123">
        <v>4.2999999999999997E-2</v>
      </c>
      <c r="S28" s="123">
        <v>3.7999999999999999E-2</v>
      </c>
      <c r="T28" s="123">
        <v>4.7E-2</v>
      </c>
      <c r="U28" s="107">
        <v>2.1000000000000001E-2</v>
      </c>
      <c r="V28" s="107">
        <v>4.0000000000000001E-3</v>
      </c>
      <c r="W28" s="107">
        <v>8.0000000000000002E-3</v>
      </c>
      <c r="X28" s="107">
        <v>-5.0999999999999997E-2</v>
      </c>
      <c r="Y28" s="107">
        <v>-1.9E-2</v>
      </c>
      <c r="Z28" s="107">
        <v>3.2000000000000001E-2</v>
      </c>
      <c r="AA28" s="107">
        <v>1.3000000000000001E-2</v>
      </c>
      <c r="AB28" s="107">
        <v>1.7000000000000001E-2</v>
      </c>
      <c r="AC28" s="107">
        <v>-8.0000000000000002E-3</v>
      </c>
      <c r="AD28" s="107">
        <v>0.122</v>
      </c>
      <c r="AE28" s="107">
        <f t="shared" ref="AE28:AW28" si="37">AE4</f>
        <v>6.5000000000000002E-2</v>
      </c>
      <c r="AF28" s="107">
        <f t="shared" si="37"/>
        <v>3.1843454310135098E-2</v>
      </c>
      <c r="AG28" s="107">
        <f t="shared" si="37"/>
        <v>2.05918250055575E-2</v>
      </c>
      <c r="AH28" s="107">
        <f t="shared" si="37"/>
        <v>2.0591825005557101E-2</v>
      </c>
      <c r="AI28" s="107">
        <f>AI4</f>
        <v>2.0591825005557202E-2</v>
      </c>
      <c r="AJ28" s="107">
        <f t="shared" si="37"/>
        <v>0.02</v>
      </c>
      <c r="AK28" s="107">
        <f t="shared" si="37"/>
        <v>0.02</v>
      </c>
      <c r="AL28" s="107">
        <f t="shared" si="37"/>
        <v>0.02</v>
      </c>
      <c r="AM28" s="107">
        <f t="shared" si="37"/>
        <v>0.02</v>
      </c>
      <c r="AN28" s="107">
        <f t="shared" si="37"/>
        <v>0.02</v>
      </c>
      <c r="AO28" s="107">
        <f t="shared" si="37"/>
        <v>0.02</v>
      </c>
      <c r="AP28" s="107">
        <f t="shared" si="37"/>
        <v>0.02</v>
      </c>
      <c r="AQ28" s="107">
        <f t="shared" si="37"/>
        <v>0.02</v>
      </c>
      <c r="AR28" s="107">
        <f t="shared" si="37"/>
        <v>0.02</v>
      </c>
      <c r="AS28" s="107">
        <f t="shared" si="37"/>
        <v>0.02</v>
      </c>
      <c r="AT28" s="107">
        <f t="shared" si="37"/>
        <v>0.02</v>
      </c>
      <c r="AU28" s="107">
        <f t="shared" si="37"/>
        <v>0.02</v>
      </c>
      <c r="AV28" s="107">
        <f t="shared" si="37"/>
        <v>0.02</v>
      </c>
      <c r="AW28" s="107">
        <f t="shared" si="37"/>
        <v>0.02</v>
      </c>
      <c r="AX28" s="107">
        <f>AX4</f>
        <v>0.02</v>
      </c>
      <c r="AY28" s="107">
        <f>AY4</f>
        <v>0.02</v>
      </c>
      <c r="AZ28" s="107">
        <f>AZ4</f>
        <v>0.02</v>
      </c>
      <c r="BA28" s="107">
        <f>BA4</f>
        <v>0.02</v>
      </c>
      <c r="BB28" s="107">
        <f>BB4</f>
        <v>0.02</v>
      </c>
      <c r="BC28" s="107">
        <f t="shared" ref="BC28:BG28" si="38">BC4</f>
        <v>0.02</v>
      </c>
      <c r="BD28" s="107">
        <f t="shared" si="38"/>
        <v>0.02</v>
      </c>
      <c r="BE28" s="107">
        <f t="shared" si="38"/>
        <v>0.02</v>
      </c>
      <c r="BF28" s="107">
        <f t="shared" si="38"/>
        <v>0.02</v>
      </c>
      <c r="BG28" s="107">
        <f t="shared" si="38"/>
        <v>0.02</v>
      </c>
    </row>
    <row r="29" spans="1:59" ht="13.75" customHeight="1">
      <c r="A29" s="141" t="s">
        <v>86</v>
      </c>
      <c r="B29" s="165"/>
      <c r="C29" s="165"/>
      <c r="D29" s="165" t="s">
        <v>92</v>
      </c>
      <c r="E29" s="167"/>
      <c r="F29" s="168" t="s">
        <v>135</v>
      </c>
      <c r="G29" s="168" t="s">
        <v>3</v>
      </c>
      <c r="I29" s="168" t="s">
        <v>136</v>
      </c>
      <c r="J29" s="123">
        <v>2.1000000000000001E-2</v>
      </c>
      <c r="K29" s="123">
        <v>2.3E-2</v>
      </c>
      <c r="L29" s="123">
        <v>0.02</v>
      </c>
      <c r="M29" s="123">
        <v>2.3E-2</v>
      </c>
      <c r="N29" s="123">
        <v>2.3E-2</v>
      </c>
      <c r="O29" s="123">
        <v>1.9E-2</v>
      </c>
      <c r="P29" s="123">
        <v>3.1E-2</v>
      </c>
      <c r="Q29" s="123">
        <v>1.6E-2</v>
      </c>
      <c r="R29" s="123">
        <v>9.0000000000000011E-3</v>
      </c>
      <c r="S29" s="123">
        <v>2.2000000000000002E-2</v>
      </c>
      <c r="T29" s="123">
        <v>2.7999999999999997E-2</v>
      </c>
      <c r="U29" s="107">
        <v>2.2212505465675658E-2</v>
      </c>
      <c r="V29" s="107">
        <v>8.4695012404825132E-3</v>
      </c>
      <c r="W29" s="107">
        <v>-1.6118086189345071E-3</v>
      </c>
      <c r="X29" s="107">
        <v>2E-3</v>
      </c>
      <c r="Y29" s="107">
        <v>1.1000000000000001E-2</v>
      </c>
      <c r="Z29" s="107">
        <v>1.3000000000000001E-2</v>
      </c>
      <c r="AA29" s="107">
        <v>1.4999999999999999E-2</v>
      </c>
      <c r="AB29" s="107">
        <v>1.3000000000000001E-2</v>
      </c>
      <c r="AC29" s="107">
        <v>-3.0000000000000001E-3</v>
      </c>
      <c r="AD29" s="107">
        <v>0.05</v>
      </c>
      <c r="AE29" s="107">
        <v>9.1999999999999998E-2</v>
      </c>
      <c r="AF29" s="107">
        <v>4.1286924900720598E-2</v>
      </c>
      <c r="AG29" s="107">
        <v>2.20189611728994E-2</v>
      </c>
      <c r="AH29" s="107">
        <v>2.05918250055575E-2</v>
      </c>
      <c r="AI29" s="107">
        <v>2.0591825005557673E-2</v>
      </c>
      <c r="AJ29" s="107">
        <v>0.02</v>
      </c>
      <c r="AK29" s="107">
        <f t="shared" ref="AK29:AW29" si="39">AJ29</f>
        <v>0.02</v>
      </c>
      <c r="AL29" s="107">
        <f t="shared" si="39"/>
        <v>0.02</v>
      </c>
      <c r="AM29" s="107">
        <f t="shared" si="39"/>
        <v>0.02</v>
      </c>
      <c r="AN29" s="107">
        <f t="shared" si="39"/>
        <v>0.02</v>
      </c>
      <c r="AO29" s="107">
        <f t="shared" si="39"/>
        <v>0.02</v>
      </c>
      <c r="AP29" s="107">
        <f t="shared" si="39"/>
        <v>0.02</v>
      </c>
      <c r="AQ29" s="107">
        <f t="shared" si="39"/>
        <v>0.02</v>
      </c>
      <c r="AR29" s="107">
        <f t="shared" si="39"/>
        <v>0.02</v>
      </c>
      <c r="AS29" s="107">
        <f t="shared" si="39"/>
        <v>0.02</v>
      </c>
      <c r="AT29" s="107">
        <f t="shared" si="39"/>
        <v>0.02</v>
      </c>
      <c r="AU29" s="107">
        <f t="shared" si="39"/>
        <v>0.02</v>
      </c>
      <c r="AV29" s="107">
        <f t="shared" si="39"/>
        <v>0.02</v>
      </c>
      <c r="AW29" s="107">
        <f t="shared" si="39"/>
        <v>0.02</v>
      </c>
      <c r="AX29" s="107">
        <f>AW29</f>
        <v>0.02</v>
      </c>
      <c r="AY29" s="107">
        <f t="shared" ref="AY29:BG29" si="40">AX29</f>
        <v>0.02</v>
      </c>
      <c r="AZ29" s="107">
        <f t="shared" si="40"/>
        <v>0.02</v>
      </c>
      <c r="BA29" s="107">
        <f t="shared" si="40"/>
        <v>0.02</v>
      </c>
      <c r="BB29" s="107">
        <f t="shared" si="40"/>
        <v>0.02</v>
      </c>
      <c r="BC29" s="107">
        <f t="shared" si="40"/>
        <v>0.02</v>
      </c>
      <c r="BD29" s="107">
        <f t="shared" si="40"/>
        <v>0.02</v>
      </c>
      <c r="BE29" s="107">
        <f t="shared" si="40"/>
        <v>0.02</v>
      </c>
      <c r="BF29" s="107">
        <f t="shared" si="40"/>
        <v>0.02</v>
      </c>
      <c r="BG29" s="107">
        <f t="shared" si="40"/>
        <v>0.02</v>
      </c>
    </row>
    <row r="30" spans="1:59" ht="13.75" customHeight="1">
      <c r="A30" s="141" t="s">
        <v>86</v>
      </c>
      <c r="B30" s="165"/>
      <c r="C30" s="165"/>
      <c r="D30" s="165" t="s">
        <v>92</v>
      </c>
      <c r="E30" s="167"/>
      <c r="F30" s="168" t="s">
        <v>137</v>
      </c>
      <c r="G30" s="168" t="s">
        <v>3</v>
      </c>
      <c r="I30" s="168" t="s">
        <v>134</v>
      </c>
      <c r="J30" s="123">
        <v>-5.0000000000000001E-3</v>
      </c>
      <c r="K30" s="123">
        <v>1.4999999999999999E-2</v>
      </c>
      <c r="L30" s="123">
        <v>0.01</v>
      </c>
      <c r="M30" s="123">
        <v>3.7000000000000005E-2</v>
      </c>
      <c r="N30" s="123">
        <v>4.4999999999999998E-2</v>
      </c>
      <c r="O30" s="123">
        <v>3.7999999999999999E-2</v>
      </c>
      <c r="P30" s="123">
        <v>4.4000000000000004E-2</v>
      </c>
      <c r="Q30" s="123">
        <v>1.4999999999999999E-2</v>
      </c>
      <c r="R30" s="123">
        <v>-0.03</v>
      </c>
      <c r="S30" s="123">
        <v>0.05</v>
      </c>
      <c r="T30" s="123">
        <v>4.4000000000000004E-2</v>
      </c>
      <c r="U30" s="107">
        <v>2.4E-2</v>
      </c>
      <c r="V30" s="107">
        <v>-1E-3</v>
      </c>
      <c r="W30" s="107">
        <v>-1.2999999999999999E-2</v>
      </c>
      <c r="X30" s="107">
        <v>-1.9E-2</v>
      </c>
      <c r="Y30" s="107">
        <v>-1.0999999999999999E-2</v>
      </c>
      <c r="Z30" s="107">
        <v>2.2000000000000002E-2</v>
      </c>
      <c r="AA30" s="107">
        <v>3.1E-2</v>
      </c>
      <c r="AB30" s="107">
        <v>-6.9999999999999993E-3</v>
      </c>
      <c r="AC30" s="107">
        <v>-1.1000000000000001E-2</v>
      </c>
      <c r="AD30" s="107">
        <v>0.23699999999999999</v>
      </c>
      <c r="AE30" s="107">
        <f>AE29</f>
        <v>9.1999999999999998E-2</v>
      </c>
      <c r="AF30" s="107">
        <f t="shared" ref="AF30" si="41">AF29</f>
        <v>4.1286924900720598E-2</v>
      </c>
      <c r="AG30" s="107">
        <f>AG29</f>
        <v>2.20189611728994E-2</v>
      </c>
      <c r="AH30" s="107">
        <f>AH29</f>
        <v>2.05918250055575E-2</v>
      </c>
      <c r="AI30" s="107">
        <f t="shared" ref="AI30:BG30" si="42">AI29</f>
        <v>2.0591825005557673E-2</v>
      </c>
      <c r="AJ30" s="107">
        <f t="shared" si="42"/>
        <v>0.02</v>
      </c>
      <c r="AK30" s="107">
        <f t="shared" si="42"/>
        <v>0.02</v>
      </c>
      <c r="AL30" s="107">
        <f t="shared" si="42"/>
        <v>0.02</v>
      </c>
      <c r="AM30" s="107">
        <f t="shared" si="42"/>
        <v>0.02</v>
      </c>
      <c r="AN30" s="107">
        <f t="shared" si="42"/>
        <v>0.02</v>
      </c>
      <c r="AO30" s="107">
        <f t="shared" si="42"/>
        <v>0.02</v>
      </c>
      <c r="AP30" s="107">
        <f t="shared" si="42"/>
        <v>0.02</v>
      </c>
      <c r="AQ30" s="107">
        <f t="shared" si="42"/>
        <v>0.02</v>
      </c>
      <c r="AR30" s="107">
        <f t="shared" si="42"/>
        <v>0.02</v>
      </c>
      <c r="AS30" s="107">
        <f t="shared" si="42"/>
        <v>0.02</v>
      </c>
      <c r="AT30" s="107">
        <f t="shared" si="42"/>
        <v>0.02</v>
      </c>
      <c r="AU30" s="107">
        <f t="shared" si="42"/>
        <v>0.02</v>
      </c>
      <c r="AV30" s="107">
        <f t="shared" si="42"/>
        <v>0.02</v>
      </c>
      <c r="AW30" s="107">
        <f t="shared" si="42"/>
        <v>0.02</v>
      </c>
      <c r="AX30" s="107">
        <f t="shared" si="42"/>
        <v>0.02</v>
      </c>
      <c r="AY30" s="107">
        <f t="shared" si="42"/>
        <v>0.02</v>
      </c>
      <c r="AZ30" s="107">
        <f t="shared" si="42"/>
        <v>0.02</v>
      </c>
      <c r="BA30" s="107">
        <f t="shared" si="42"/>
        <v>0.02</v>
      </c>
      <c r="BB30" s="107">
        <f t="shared" si="42"/>
        <v>0.02</v>
      </c>
      <c r="BC30" s="107">
        <f t="shared" si="42"/>
        <v>0.02</v>
      </c>
      <c r="BD30" s="107">
        <f t="shared" si="42"/>
        <v>0.02</v>
      </c>
      <c r="BE30" s="107">
        <f t="shared" si="42"/>
        <v>0.02</v>
      </c>
      <c r="BF30" s="107">
        <f t="shared" si="42"/>
        <v>0.02</v>
      </c>
      <c r="BG30" s="107">
        <f t="shared" si="42"/>
        <v>0.02</v>
      </c>
    </row>
    <row r="31" spans="1:59" ht="13.75" customHeight="1">
      <c r="A31" s="141" t="s">
        <v>86</v>
      </c>
      <c r="B31" s="165"/>
      <c r="C31" s="165"/>
      <c r="D31" s="165" t="s">
        <v>110</v>
      </c>
      <c r="E31" s="167"/>
      <c r="F31" s="168" t="s">
        <v>138</v>
      </c>
      <c r="G31" s="168" t="s">
        <v>3</v>
      </c>
      <c r="H31" s="168"/>
      <c r="I31" s="168" t="s">
        <v>139</v>
      </c>
      <c r="U31" s="107">
        <v>5.0999999999999997E-2</v>
      </c>
      <c r="V31" s="107">
        <v>5.0999999999999997E-2</v>
      </c>
      <c r="W31" s="107">
        <v>5.0999999999999997E-2</v>
      </c>
      <c r="X31" s="108">
        <v>5.0999999999999997E-2</v>
      </c>
      <c r="Y31" s="107">
        <v>5.0999999999999997E-2</v>
      </c>
      <c r="Z31" s="107">
        <v>5.0999999999999997E-2</v>
      </c>
      <c r="AA31" s="107">
        <v>5.0999999999999997E-2</v>
      </c>
      <c r="AB31" s="107">
        <v>5.0999999999999997E-2</v>
      </c>
      <c r="AC31" s="107">
        <v>5.0999999999999997E-2</v>
      </c>
      <c r="AD31" s="107">
        <v>5.0999999999999997E-2</v>
      </c>
      <c r="AE31" s="107">
        <f t="shared" ref="AE31:AT37" si="43">AD31</f>
        <v>5.0999999999999997E-2</v>
      </c>
      <c r="AF31" s="107">
        <f t="shared" si="43"/>
        <v>5.0999999999999997E-2</v>
      </c>
      <c r="AG31" s="107">
        <f t="shared" si="43"/>
        <v>5.0999999999999997E-2</v>
      </c>
      <c r="AH31" s="107">
        <f t="shared" si="43"/>
        <v>5.0999999999999997E-2</v>
      </c>
      <c r="AI31" s="107">
        <f t="shared" si="43"/>
        <v>5.0999999999999997E-2</v>
      </c>
      <c r="AJ31" s="107">
        <f t="shared" si="43"/>
        <v>5.0999999999999997E-2</v>
      </c>
      <c r="AK31" s="107">
        <f t="shared" si="43"/>
        <v>5.0999999999999997E-2</v>
      </c>
      <c r="AL31" s="107">
        <f t="shared" si="43"/>
        <v>5.0999999999999997E-2</v>
      </c>
      <c r="AM31" s="107">
        <f t="shared" si="43"/>
        <v>5.0999999999999997E-2</v>
      </c>
      <c r="AN31" s="107">
        <f t="shared" si="43"/>
        <v>5.0999999999999997E-2</v>
      </c>
      <c r="AO31" s="107">
        <f t="shared" si="43"/>
        <v>5.0999999999999997E-2</v>
      </c>
      <c r="AP31" s="107">
        <f t="shared" si="43"/>
        <v>5.0999999999999997E-2</v>
      </c>
      <c r="AQ31" s="107">
        <f t="shared" si="43"/>
        <v>5.0999999999999997E-2</v>
      </c>
      <c r="AR31" s="107">
        <f t="shared" si="43"/>
        <v>5.0999999999999997E-2</v>
      </c>
      <c r="AS31" s="107">
        <f t="shared" si="43"/>
        <v>5.0999999999999997E-2</v>
      </c>
      <c r="AT31" s="107">
        <f t="shared" si="43"/>
        <v>5.0999999999999997E-2</v>
      </c>
      <c r="AU31" s="107">
        <f t="shared" ref="AU31:BG37" si="44">AT31</f>
        <v>5.0999999999999997E-2</v>
      </c>
      <c r="AV31" s="107">
        <f t="shared" si="44"/>
        <v>5.0999999999999997E-2</v>
      </c>
      <c r="AW31" s="107">
        <f t="shared" si="44"/>
        <v>5.0999999999999997E-2</v>
      </c>
      <c r="AX31" s="107">
        <f t="shared" si="44"/>
        <v>5.0999999999999997E-2</v>
      </c>
      <c r="AY31" s="107">
        <f t="shared" si="44"/>
        <v>5.0999999999999997E-2</v>
      </c>
      <c r="AZ31" s="107">
        <f t="shared" si="44"/>
        <v>5.0999999999999997E-2</v>
      </c>
      <c r="BA31" s="107">
        <f t="shared" si="44"/>
        <v>5.0999999999999997E-2</v>
      </c>
      <c r="BB31" s="107">
        <f t="shared" si="44"/>
        <v>5.0999999999999997E-2</v>
      </c>
      <c r="BC31" s="107">
        <f t="shared" si="44"/>
        <v>5.0999999999999997E-2</v>
      </c>
      <c r="BD31" s="107">
        <f t="shared" si="44"/>
        <v>5.0999999999999997E-2</v>
      </c>
      <c r="BE31" s="107">
        <f t="shared" si="44"/>
        <v>5.0999999999999997E-2</v>
      </c>
      <c r="BF31" s="107">
        <f t="shared" si="44"/>
        <v>5.0999999999999997E-2</v>
      </c>
      <c r="BG31" s="107">
        <f t="shared" si="44"/>
        <v>5.0999999999999997E-2</v>
      </c>
    </row>
    <row r="32" spans="1:59" ht="13.75" customHeight="1">
      <c r="A32" s="141" t="s">
        <v>86</v>
      </c>
      <c r="B32" s="165"/>
      <c r="C32" s="165"/>
      <c r="D32" s="165" t="s">
        <v>110</v>
      </c>
      <c r="E32" s="167"/>
      <c r="F32" s="168" t="s">
        <v>140</v>
      </c>
      <c r="G32" s="168" t="s">
        <v>3</v>
      </c>
      <c r="H32" s="168"/>
      <c r="I32" s="168" t="s">
        <v>139</v>
      </c>
      <c r="U32" s="107">
        <v>2.9000000000000001E-2</v>
      </c>
      <c r="V32" s="107">
        <v>2.9000000000000001E-2</v>
      </c>
      <c r="W32" s="107">
        <v>2.9000000000000001E-2</v>
      </c>
      <c r="X32" s="108">
        <v>2.9000000000000001E-2</v>
      </c>
      <c r="Y32" s="107">
        <v>2.9000000000000001E-2</v>
      </c>
      <c r="Z32" s="107">
        <v>2.9000000000000001E-2</v>
      </c>
      <c r="AA32" s="107">
        <v>2.9000000000000001E-2</v>
      </c>
      <c r="AB32" s="107">
        <v>2.9000000000000001E-2</v>
      </c>
      <c r="AC32" s="107">
        <v>2.9000000000000001E-2</v>
      </c>
      <c r="AD32" s="107">
        <v>2.9000000000000001E-2</v>
      </c>
      <c r="AE32" s="107">
        <f t="shared" si="43"/>
        <v>2.9000000000000001E-2</v>
      </c>
      <c r="AF32" s="107">
        <f t="shared" si="43"/>
        <v>2.9000000000000001E-2</v>
      </c>
      <c r="AG32" s="107">
        <f t="shared" si="43"/>
        <v>2.9000000000000001E-2</v>
      </c>
      <c r="AH32" s="107">
        <f t="shared" si="43"/>
        <v>2.9000000000000001E-2</v>
      </c>
      <c r="AI32" s="107">
        <f t="shared" si="43"/>
        <v>2.9000000000000001E-2</v>
      </c>
      <c r="AJ32" s="107">
        <f t="shared" si="43"/>
        <v>2.9000000000000001E-2</v>
      </c>
      <c r="AK32" s="107">
        <f t="shared" si="43"/>
        <v>2.9000000000000001E-2</v>
      </c>
      <c r="AL32" s="107">
        <f t="shared" si="43"/>
        <v>2.9000000000000001E-2</v>
      </c>
      <c r="AM32" s="107">
        <f t="shared" si="43"/>
        <v>2.9000000000000001E-2</v>
      </c>
      <c r="AN32" s="107">
        <f t="shared" si="43"/>
        <v>2.9000000000000001E-2</v>
      </c>
      <c r="AO32" s="107">
        <f t="shared" si="43"/>
        <v>2.9000000000000001E-2</v>
      </c>
      <c r="AP32" s="107">
        <f t="shared" si="43"/>
        <v>2.9000000000000001E-2</v>
      </c>
      <c r="AQ32" s="107">
        <f t="shared" si="43"/>
        <v>2.9000000000000001E-2</v>
      </c>
      <c r="AR32" s="107">
        <f t="shared" si="43"/>
        <v>2.9000000000000001E-2</v>
      </c>
      <c r="AS32" s="107">
        <f t="shared" si="43"/>
        <v>2.9000000000000001E-2</v>
      </c>
      <c r="AT32" s="107">
        <f t="shared" si="43"/>
        <v>2.9000000000000001E-2</v>
      </c>
      <c r="AU32" s="107">
        <f t="shared" si="44"/>
        <v>2.9000000000000001E-2</v>
      </c>
      <c r="AV32" s="107">
        <f t="shared" si="44"/>
        <v>2.9000000000000001E-2</v>
      </c>
      <c r="AW32" s="107">
        <f t="shared" si="44"/>
        <v>2.9000000000000001E-2</v>
      </c>
      <c r="AX32" s="107">
        <f t="shared" si="44"/>
        <v>2.9000000000000001E-2</v>
      </c>
      <c r="AY32" s="107">
        <f t="shared" si="44"/>
        <v>2.9000000000000001E-2</v>
      </c>
      <c r="AZ32" s="107">
        <f t="shared" si="44"/>
        <v>2.9000000000000001E-2</v>
      </c>
      <c r="BA32" s="107">
        <f t="shared" si="44"/>
        <v>2.9000000000000001E-2</v>
      </c>
      <c r="BB32" s="107">
        <f t="shared" si="44"/>
        <v>2.9000000000000001E-2</v>
      </c>
      <c r="BC32" s="107">
        <f t="shared" si="44"/>
        <v>2.9000000000000001E-2</v>
      </c>
      <c r="BD32" s="107">
        <f t="shared" si="44"/>
        <v>2.9000000000000001E-2</v>
      </c>
      <c r="BE32" s="107">
        <f t="shared" si="44"/>
        <v>2.9000000000000001E-2</v>
      </c>
      <c r="BF32" s="107">
        <f t="shared" si="44"/>
        <v>2.9000000000000001E-2</v>
      </c>
      <c r="BG32" s="107">
        <f t="shared" si="44"/>
        <v>2.9000000000000001E-2</v>
      </c>
    </row>
    <row r="33" spans="1:59" ht="13.75" customHeight="1">
      <c r="A33" s="141" t="s">
        <v>86</v>
      </c>
      <c r="B33" s="165"/>
      <c r="C33" s="165"/>
      <c r="D33" s="165" t="s">
        <v>110</v>
      </c>
      <c r="E33" s="167"/>
      <c r="F33" s="168" t="s">
        <v>141</v>
      </c>
      <c r="G33" s="168" t="s">
        <v>3</v>
      </c>
      <c r="H33" s="168"/>
      <c r="I33" s="168" t="s">
        <v>139</v>
      </c>
      <c r="U33" s="107">
        <v>0.22</v>
      </c>
      <c r="V33" s="107">
        <v>0.22</v>
      </c>
      <c r="W33" s="107">
        <v>0.22</v>
      </c>
      <c r="X33" s="108">
        <v>0.22</v>
      </c>
      <c r="Y33" s="107">
        <v>0.22</v>
      </c>
      <c r="Z33" s="107">
        <v>0.22</v>
      </c>
      <c r="AA33" s="107">
        <v>0.22</v>
      </c>
      <c r="AB33" s="107">
        <v>0.22</v>
      </c>
      <c r="AC33" s="107">
        <v>0.22</v>
      </c>
      <c r="AD33" s="107">
        <v>0.22</v>
      </c>
      <c r="AE33" s="107">
        <f t="shared" si="43"/>
        <v>0.22</v>
      </c>
      <c r="AF33" s="107">
        <f t="shared" si="43"/>
        <v>0.22</v>
      </c>
      <c r="AG33" s="107">
        <f t="shared" si="43"/>
        <v>0.22</v>
      </c>
      <c r="AH33" s="107">
        <f t="shared" si="43"/>
        <v>0.22</v>
      </c>
      <c r="AI33" s="107">
        <f t="shared" si="43"/>
        <v>0.22</v>
      </c>
      <c r="AJ33" s="107">
        <f t="shared" si="43"/>
        <v>0.22</v>
      </c>
      <c r="AK33" s="107">
        <f t="shared" si="43"/>
        <v>0.22</v>
      </c>
      <c r="AL33" s="107">
        <f t="shared" si="43"/>
        <v>0.22</v>
      </c>
      <c r="AM33" s="107">
        <f t="shared" si="43"/>
        <v>0.22</v>
      </c>
      <c r="AN33" s="107">
        <f t="shared" si="43"/>
        <v>0.22</v>
      </c>
      <c r="AO33" s="107">
        <f t="shared" si="43"/>
        <v>0.22</v>
      </c>
      <c r="AP33" s="107">
        <f t="shared" si="43"/>
        <v>0.22</v>
      </c>
      <c r="AQ33" s="107">
        <f t="shared" si="43"/>
        <v>0.22</v>
      </c>
      <c r="AR33" s="107">
        <f t="shared" si="43"/>
        <v>0.22</v>
      </c>
      <c r="AS33" s="107">
        <f t="shared" si="43"/>
        <v>0.22</v>
      </c>
      <c r="AT33" s="107">
        <f t="shared" si="43"/>
        <v>0.22</v>
      </c>
      <c r="AU33" s="107">
        <f t="shared" si="44"/>
        <v>0.22</v>
      </c>
      <c r="AV33" s="107">
        <f t="shared" si="44"/>
        <v>0.22</v>
      </c>
      <c r="AW33" s="107">
        <f t="shared" si="44"/>
        <v>0.22</v>
      </c>
      <c r="AX33" s="107">
        <f t="shared" si="44"/>
        <v>0.22</v>
      </c>
      <c r="AY33" s="107">
        <f t="shared" si="44"/>
        <v>0.22</v>
      </c>
      <c r="AZ33" s="107">
        <f t="shared" si="44"/>
        <v>0.22</v>
      </c>
      <c r="BA33" s="107">
        <f t="shared" si="44"/>
        <v>0.22</v>
      </c>
      <c r="BB33" s="107">
        <f t="shared" si="44"/>
        <v>0.22</v>
      </c>
      <c r="BC33" s="107">
        <f t="shared" si="44"/>
        <v>0.22</v>
      </c>
      <c r="BD33" s="107">
        <f t="shared" si="44"/>
        <v>0.22</v>
      </c>
      <c r="BE33" s="107">
        <f t="shared" si="44"/>
        <v>0.22</v>
      </c>
      <c r="BF33" s="107">
        <f t="shared" si="44"/>
        <v>0.22</v>
      </c>
      <c r="BG33" s="107">
        <f t="shared" si="44"/>
        <v>0.22</v>
      </c>
    </row>
    <row r="34" spans="1:59" ht="13.75" customHeight="1">
      <c r="A34" s="141" t="s">
        <v>86</v>
      </c>
      <c r="B34" s="165"/>
      <c r="C34" s="165"/>
      <c r="D34" s="165" t="s">
        <v>110</v>
      </c>
      <c r="E34" s="167"/>
      <c r="F34" s="168" t="s">
        <v>142</v>
      </c>
      <c r="G34" s="168" t="s">
        <v>3</v>
      </c>
      <c r="H34" s="168"/>
      <c r="I34" s="168" t="s">
        <v>139</v>
      </c>
      <c r="U34" s="107">
        <v>0.2</v>
      </c>
      <c r="V34" s="107">
        <v>0.2</v>
      </c>
      <c r="W34" s="107">
        <v>0.2</v>
      </c>
      <c r="X34" s="108">
        <v>0.2</v>
      </c>
      <c r="Y34" s="107">
        <v>0.2</v>
      </c>
      <c r="Z34" s="107">
        <v>0.2</v>
      </c>
      <c r="AA34" s="107">
        <v>0.2</v>
      </c>
      <c r="AB34" s="107">
        <v>0.2</v>
      </c>
      <c r="AC34" s="107">
        <v>0.2</v>
      </c>
      <c r="AD34" s="107">
        <v>0.2</v>
      </c>
      <c r="AE34" s="107">
        <f t="shared" si="43"/>
        <v>0.2</v>
      </c>
      <c r="AF34" s="107">
        <f t="shared" si="43"/>
        <v>0.2</v>
      </c>
      <c r="AG34" s="107">
        <f t="shared" si="43"/>
        <v>0.2</v>
      </c>
      <c r="AH34" s="107">
        <f t="shared" si="43"/>
        <v>0.2</v>
      </c>
      <c r="AI34" s="107">
        <f t="shared" si="43"/>
        <v>0.2</v>
      </c>
      <c r="AJ34" s="107">
        <f t="shared" si="43"/>
        <v>0.2</v>
      </c>
      <c r="AK34" s="107">
        <f t="shared" si="43"/>
        <v>0.2</v>
      </c>
      <c r="AL34" s="107">
        <f t="shared" si="43"/>
        <v>0.2</v>
      </c>
      <c r="AM34" s="107">
        <f t="shared" si="43"/>
        <v>0.2</v>
      </c>
      <c r="AN34" s="107">
        <f t="shared" si="43"/>
        <v>0.2</v>
      </c>
      <c r="AO34" s="107">
        <f t="shared" si="43"/>
        <v>0.2</v>
      </c>
      <c r="AP34" s="107">
        <f t="shared" si="43"/>
        <v>0.2</v>
      </c>
      <c r="AQ34" s="107">
        <f t="shared" si="43"/>
        <v>0.2</v>
      </c>
      <c r="AR34" s="107">
        <f t="shared" si="43"/>
        <v>0.2</v>
      </c>
      <c r="AS34" s="107">
        <f t="shared" si="43"/>
        <v>0.2</v>
      </c>
      <c r="AT34" s="107">
        <f t="shared" si="43"/>
        <v>0.2</v>
      </c>
      <c r="AU34" s="107">
        <f t="shared" si="44"/>
        <v>0.2</v>
      </c>
      <c r="AV34" s="107">
        <f t="shared" si="44"/>
        <v>0.2</v>
      </c>
      <c r="AW34" s="107">
        <f t="shared" si="44"/>
        <v>0.2</v>
      </c>
      <c r="AX34" s="107">
        <f t="shared" si="44"/>
        <v>0.2</v>
      </c>
      <c r="AY34" s="107">
        <f t="shared" si="44"/>
        <v>0.2</v>
      </c>
      <c r="AZ34" s="107">
        <f t="shared" si="44"/>
        <v>0.2</v>
      </c>
      <c r="BA34" s="107">
        <f t="shared" si="44"/>
        <v>0.2</v>
      </c>
      <c r="BB34" s="107">
        <f t="shared" si="44"/>
        <v>0.2</v>
      </c>
      <c r="BC34" s="107">
        <f t="shared" si="44"/>
        <v>0.2</v>
      </c>
      <c r="BD34" s="107">
        <f t="shared" si="44"/>
        <v>0.2</v>
      </c>
      <c r="BE34" s="107">
        <f t="shared" si="44"/>
        <v>0.2</v>
      </c>
      <c r="BF34" s="107">
        <f t="shared" si="44"/>
        <v>0.2</v>
      </c>
      <c r="BG34" s="107">
        <f t="shared" si="44"/>
        <v>0.2</v>
      </c>
    </row>
    <row r="35" spans="1:59" ht="13.75" customHeight="1">
      <c r="A35" s="141" t="s">
        <v>86</v>
      </c>
      <c r="B35" s="165"/>
      <c r="C35" s="165"/>
      <c r="D35" s="170" t="s">
        <v>87</v>
      </c>
      <c r="E35" s="168"/>
      <c r="F35" s="168" t="s">
        <v>143</v>
      </c>
      <c r="G35" s="168" t="s">
        <v>144</v>
      </c>
      <c r="H35" s="168"/>
      <c r="I35" s="168" t="s">
        <v>145</v>
      </c>
      <c r="J35" s="147">
        <v>0.89559999999999995</v>
      </c>
      <c r="K35" s="147">
        <v>0.9456</v>
      </c>
      <c r="L35" s="147">
        <v>1.1312</v>
      </c>
      <c r="M35" s="147">
        <v>1.2439</v>
      </c>
      <c r="N35" s="147">
        <v>1.2441</v>
      </c>
      <c r="O35" s="147">
        <v>1.2556</v>
      </c>
      <c r="P35" s="147">
        <v>1.3705000000000001</v>
      </c>
      <c r="Q35" s="147">
        <v>1.4708000000000001</v>
      </c>
      <c r="R35" s="147">
        <v>1.3948</v>
      </c>
      <c r="S35" s="147">
        <v>1.3257000000000001</v>
      </c>
      <c r="T35" s="147">
        <v>1.3919999999999999</v>
      </c>
      <c r="U35" s="112"/>
      <c r="V35" s="112"/>
      <c r="W35" s="111">
        <v>1.32</v>
      </c>
      <c r="X35" s="111">
        <v>1.109844890109889</v>
      </c>
      <c r="Y35" s="111">
        <v>1.1075316927665921</v>
      </c>
      <c r="Z35" s="113">
        <v>1.1301777562326867</v>
      </c>
      <c r="AA35" s="113">
        <v>1.1806945454545457</v>
      </c>
      <c r="AB35" s="113">
        <v>1.1073</v>
      </c>
      <c r="AC35" s="113">
        <v>1.1411540665294917</v>
      </c>
      <c r="AD35" s="113">
        <v>1.1837660361966427</v>
      </c>
      <c r="AE35" s="113">
        <v>1.0516478335744384</v>
      </c>
      <c r="AF35" s="113">
        <v>1.0780686989940289</v>
      </c>
      <c r="AG35" s="113">
        <v>1.0750000000000002</v>
      </c>
      <c r="AH35" s="113">
        <v>1.08</v>
      </c>
      <c r="AI35" s="113">
        <v>1.08</v>
      </c>
      <c r="AJ35" s="113">
        <f t="shared" si="43"/>
        <v>1.08</v>
      </c>
      <c r="AK35" s="113">
        <f t="shared" si="43"/>
        <v>1.08</v>
      </c>
      <c r="AL35" s="113">
        <f t="shared" si="43"/>
        <v>1.08</v>
      </c>
      <c r="AM35" s="113">
        <f>AL35</f>
        <v>1.08</v>
      </c>
      <c r="AN35" s="113">
        <f>AM35</f>
        <v>1.08</v>
      </c>
      <c r="AO35" s="113">
        <f t="shared" si="43"/>
        <v>1.08</v>
      </c>
      <c r="AP35" s="113">
        <f>AO35</f>
        <v>1.08</v>
      </c>
      <c r="AQ35" s="113">
        <f>AP35</f>
        <v>1.08</v>
      </c>
      <c r="AR35" s="113">
        <f t="shared" si="43"/>
        <v>1.08</v>
      </c>
      <c r="AS35" s="113">
        <f t="shared" si="43"/>
        <v>1.08</v>
      </c>
      <c r="AT35" s="113">
        <f t="shared" si="43"/>
        <v>1.08</v>
      </c>
      <c r="AU35" s="113">
        <f t="shared" si="44"/>
        <v>1.08</v>
      </c>
      <c r="AV35" s="113">
        <f t="shared" si="44"/>
        <v>1.08</v>
      </c>
      <c r="AW35" s="113">
        <f t="shared" si="44"/>
        <v>1.08</v>
      </c>
      <c r="AX35" s="113">
        <f t="shared" si="44"/>
        <v>1.08</v>
      </c>
      <c r="AY35" s="113">
        <f t="shared" si="44"/>
        <v>1.08</v>
      </c>
      <c r="AZ35" s="113">
        <f t="shared" si="44"/>
        <v>1.08</v>
      </c>
      <c r="BA35" s="113">
        <f t="shared" si="44"/>
        <v>1.08</v>
      </c>
      <c r="BB35" s="113">
        <f t="shared" si="44"/>
        <v>1.08</v>
      </c>
      <c r="BC35" s="113">
        <f t="shared" si="44"/>
        <v>1.08</v>
      </c>
      <c r="BD35" s="113">
        <f t="shared" si="44"/>
        <v>1.08</v>
      </c>
      <c r="BE35" s="113">
        <f t="shared" si="44"/>
        <v>1.08</v>
      </c>
      <c r="BF35" s="113">
        <f t="shared" si="44"/>
        <v>1.08</v>
      </c>
      <c r="BG35" s="113">
        <f t="shared" si="44"/>
        <v>1.08</v>
      </c>
    </row>
    <row r="36" spans="1:59" ht="13.75" customHeight="1">
      <c r="A36" s="141" t="s">
        <v>86</v>
      </c>
      <c r="B36" s="165"/>
      <c r="C36" s="165"/>
      <c r="D36" s="170" t="s">
        <v>98</v>
      </c>
      <c r="E36" s="167"/>
      <c r="F36" s="168" t="s">
        <v>146</v>
      </c>
      <c r="G36" s="168" t="s">
        <v>144</v>
      </c>
      <c r="H36" s="168"/>
      <c r="I36" s="168"/>
      <c r="J36" s="147">
        <v>0.88129999999999997</v>
      </c>
      <c r="K36" s="147">
        <v>1.0487</v>
      </c>
      <c r="L36" s="147">
        <v>1.2629999999999999</v>
      </c>
      <c r="M36" s="147">
        <v>1.3621000000000001</v>
      </c>
      <c r="N36" s="147">
        <v>1.1797</v>
      </c>
      <c r="O36" s="147">
        <v>1.3169999999999999</v>
      </c>
      <c r="P36" s="147">
        <v>1.4721</v>
      </c>
      <c r="Q36" s="147">
        <v>1.3916999999999999</v>
      </c>
      <c r="R36" s="147">
        <v>1.4406000000000001</v>
      </c>
      <c r="S36" s="147">
        <v>1.3362000000000001</v>
      </c>
      <c r="T36" s="147">
        <v>1.2939000000000001</v>
      </c>
      <c r="U36" s="111">
        <v>1.3193999999999999</v>
      </c>
      <c r="V36" s="111">
        <v>1.3791</v>
      </c>
      <c r="W36" s="111">
        <v>1.2141</v>
      </c>
      <c r="X36" s="111">
        <v>1.0865499999999999</v>
      </c>
      <c r="Y36" s="111">
        <v>1.0516000000000001</v>
      </c>
      <c r="Z36" s="113">
        <v>1.1994</v>
      </c>
      <c r="AA36" s="113">
        <v>1.1456</v>
      </c>
      <c r="AB36" s="113">
        <v>1.1214</v>
      </c>
      <c r="AC36" s="113">
        <v>1.2217</v>
      </c>
      <c r="AD36" s="113">
        <v>1.137</v>
      </c>
      <c r="AE36" s="113">
        <f>AE35</f>
        <v>1.0516478335744384</v>
      </c>
      <c r="AF36" s="113">
        <f>AF35</f>
        <v>1.0780686989940289</v>
      </c>
      <c r="AG36" s="113">
        <f>AG35</f>
        <v>1.0750000000000002</v>
      </c>
      <c r="AH36" s="113">
        <f>AH35</f>
        <v>1.08</v>
      </c>
      <c r="AI36" s="113">
        <f>AH36</f>
        <v>1.08</v>
      </c>
      <c r="AJ36" s="113">
        <f>AI36</f>
        <v>1.08</v>
      </c>
      <c r="AK36" s="113">
        <f t="shared" si="43"/>
        <v>1.08</v>
      </c>
      <c r="AL36" s="113">
        <f t="shared" si="43"/>
        <v>1.08</v>
      </c>
      <c r="AM36" s="113">
        <f>AL36</f>
        <v>1.08</v>
      </c>
      <c r="AN36" s="113">
        <f t="shared" ref="AN36:AV36" si="45">AN35</f>
        <v>1.08</v>
      </c>
      <c r="AO36" s="113">
        <f>AO35</f>
        <v>1.08</v>
      </c>
      <c r="AP36" s="113">
        <f t="shared" si="45"/>
        <v>1.08</v>
      </c>
      <c r="AQ36" s="113">
        <f t="shared" si="45"/>
        <v>1.08</v>
      </c>
      <c r="AR36" s="113">
        <f t="shared" si="45"/>
        <v>1.08</v>
      </c>
      <c r="AS36" s="113">
        <f>AS35</f>
        <v>1.08</v>
      </c>
      <c r="AT36" s="113">
        <f t="shared" si="45"/>
        <v>1.08</v>
      </c>
      <c r="AU36" s="113">
        <f t="shared" si="45"/>
        <v>1.08</v>
      </c>
      <c r="AV36" s="113">
        <f t="shared" si="45"/>
        <v>1.08</v>
      </c>
      <c r="AW36" s="113">
        <f>AW35</f>
        <v>1.08</v>
      </c>
      <c r="AX36" s="113">
        <f>AX35</f>
        <v>1.08</v>
      </c>
      <c r="AY36" s="113">
        <f t="shared" ref="AY36" si="46">AY35</f>
        <v>1.08</v>
      </c>
      <c r="AZ36" s="113">
        <f>AZ35</f>
        <v>1.08</v>
      </c>
      <c r="BA36" s="113">
        <f>BA35</f>
        <v>1.08</v>
      </c>
      <c r="BB36" s="113">
        <f>BB35</f>
        <v>1.08</v>
      </c>
      <c r="BC36" s="113">
        <f t="shared" ref="BC36:BG36" si="47">BC35</f>
        <v>1.08</v>
      </c>
      <c r="BD36" s="113">
        <f t="shared" si="47"/>
        <v>1.08</v>
      </c>
      <c r="BE36" s="113">
        <f t="shared" si="47"/>
        <v>1.08</v>
      </c>
      <c r="BF36" s="113">
        <f t="shared" si="47"/>
        <v>1.08</v>
      </c>
      <c r="BG36" s="113">
        <f t="shared" si="47"/>
        <v>1.08</v>
      </c>
    </row>
    <row r="37" spans="1:59" ht="13.75" customHeight="1">
      <c r="A37" s="141" t="s">
        <v>86</v>
      </c>
      <c r="B37" s="165"/>
      <c r="C37" s="165"/>
      <c r="D37" s="165" t="s">
        <v>87</v>
      </c>
      <c r="E37" s="167"/>
      <c r="F37" s="168" t="s">
        <v>147</v>
      </c>
      <c r="G37" s="168" t="s">
        <v>3</v>
      </c>
      <c r="H37" s="168"/>
      <c r="I37" s="168" t="s">
        <v>124</v>
      </c>
      <c r="J37" s="114">
        <v>3.2500000000000001E-2</v>
      </c>
      <c r="K37" s="114">
        <v>2.75E-2</v>
      </c>
      <c r="L37" s="114">
        <v>0.02</v>
      </c>
      <c r="M37" s="114">
        <v>0.02</v>
      </c>
      <c r="N37" s="114">
        <v>2.2499999999999999E-2</v>
      </c>
      <c r="O37" s="114">
        <v>3.5000000000000003E-2</v>
      </c>
      <c r="P37" s="114">
        <v>0.04</v>
      </c>
      <c r="Q37" s="114">
        <v>2.5000000000000001E-2</v>
      </c>
      <c r="R37" s="114">
        <v>0.01</v>
      </c>
      <c r="S37" s="114">
        <v>0.01</v>
      </c>
      <c r="T37" s="114">
        <v>0.01</v>
      </c>
      <c r="U37" s="148">
        <v>7.4999999999999997E-3</v>
      </c>
      <c r="V37" s="148">
        <v>2.5000000000000001E-3</v>
      </c>
      <c r="W37" s="148">
        <v>5.0000000000000001E-4</v>
      </c>
      <c r="X37" s="110">
        <v>5.0000000000000001E-4</v>
      </c>
      <c r="Y37" s="110">
        <v>0</v>
      </c>
      <c r="Z37" s="110">
        <v>0</v>
      </c>
      <c r="AA37" s="110">
        <v>0</v>
      </c>
      <c r="AB37" s="110">
        <v>0</v>
      </c>
      <c r="AC37" s="110">
        <v>0</v>
      </c>
      <c r="AD37" s="110">
        <v>0</v>
      </c>
      <c r="AE37" s="110">
        <v>2.5000000000000001E-2</v>
      </c>
      <c r="AF37" s="110">
        <v>4.4999999999999998E-2</v>
      </c>
      <c r="AG37" s="110">
        <v>3.2500000000000001E-2</v>
      </c>
      <c r="AH37" s="110">
        <v>2.2499999999999999E-2</v>
      </c>
      <c r="AI37" s="110">
        <v>1.4999999999999999E-2</v>
      </c>
      <c r="AJ37" s="110">
        <f t="shared" si="43"/>
        <v>1.4999999999999999E-2</v>
      </c>
      <c r="AK37" s="110">
        <f t="shared" si="43"/>
        <v>1.4999999999999999E-2</v>
      </c>
      <c r="AL37" s="110">
        <f t="shared" si="43"/>
        <v>1.4999999999999999E-2</v>
      </c>
      <c r="AM37" s="110">
        <f t="shared" si="43"/>
        <v>1.4999999999999999E-2</v>
      </c>
      <c r="AN37" s="110">
        <f t="shared" si="43"/>
        <v>1.4999999999999999E-2</v>
      </c>
      <c r="AO37" s="110">
        <f t="shared" si="43"/>
        <v>1.4999999999999999E-2</v>
      </c>
      <c r="AP37" s="110">
        <f t="shared" si="43"/>
        <v>1.4999999999999999E-2</v>
      </c>
      <c r="AQ37" s="110">
        <f t="shared" si="43"/>
        <v>1.4999999999999999E-2</v>
      </c>
      <c r="AR37" s="110">
        <f t="shared" si="43"/>
        <v>1.4999999999999999E-2</v>
      </c>
      <c r="AS37" s="110">
        <f t="shared" si="43"/>
        <v>1.4999999999999999E-2</v>
      </c>
      <c r="AT37" s="110">
        <f t="shared" si="43"/>
        <v>1.4999999999999999E-2</v>
      </c>
      <c r="AU37" s="110">
        <f t="shared" ref="AU37:BA37" si="48">AT37</f>
        <v>1.4999999999999999E-2</v>
      </c>
      <c r="AV37" s="110">
        <f t="shared" si="48"/>
        <v>1.4999999999999999E-2</v>
      </c>
      <c r="AW37" s="110">
        <f t="shared" si="48"/>
        <v>1.4999999999999999E-2</v>
      </c>
      <c r="AX37" s="110">
        <f t="shared" si="48"/>
        <v>1.4999999999999999E-2</v>
      </c>
      <c r="AY37" s="110">
        <f t="shared" si="48"/>
        <v>1.4999999999999999E-2</v>
      </c>
      <c r="AZ37" s="110">
        <f t="shared" si="48"/>
        <v>1.4999999999999999E-2</v>
      </c>
      <c r="BA37" s="110">
        <f t="shared" si="48"/>
        <v>1.4999999999999999E-2</v>
      </c>
      <c r="BB37" s="110">
        <f t="shared" si="44"/>
        <v>1.4999999999999999E-2</v>
      </c>
      <c r="BC37" s="110">
        <f t="shared" si="44"/>
        <v>1.4999999999999999E-2</v>
      </c>
      <c r="BD37" s="110">
        <f t="shared" si="44"/>
        <v>1.4999999999999999E-2</v>
      </c>
      <c r="BE37" s="110">
        <f t="shared" si="44"/>
        <v>1.4999999999999999E-2</v>
      </c>
      <c r="BF37" s="110">
        <f t="shared" si="44"/>
        <v>1.4999999999999999E-2</v>
      </c>
      <c r="BG37" s="110">
        <f t="shared" si="44"/>
        <v>1.4999999999999999E-2</v>
      </c>
    </row>
    <row r="38" spans="1:59" ht="13.75" customHeight="1">
      <c r="A38" s="141" t="s">
        <v>86</v>
      </c>
      <c r="B38" s="165"/>
      <c r="C38" s="165"/>
      <c r="D38" s="170" t="s">
        <v>98</v>
      </c>
      <c r="E38" s="167"/>
      <c r="F38" s="168" t="s">
        <v>148</v>
      </c>
      <c r="G38" s="168" t="s">
        <v>149</v>
      </c>
      <c r="H38" s="168"/>
      <c r="I38" s="168" t="s">
        <v>116</v>
      </c>
      <c r="J38" s="147">
        <v>1.4777</v>
      </c>
      <c r="K38" s="147">
        <v>1.4514</v>
      </c>
      <c r="L38" s="147">
        <v>1.5604499999999999</v>
      </c>
      <c r="M38" s="147">
        <v>1.546</v>
      </c>
      <c r="N38" s="147">
        <v>1.5561500000000001</v>
      </c>
      <c r="O38" s="147">
        <v>1.6091</v>
      </c>
      <c r="P38" s="147">
        <v>1.6536</v>
      </c>
      <c r="Q38" s="147">
        <v>1.4935800000000001</v>
      </c>
      <c r="R38" s="147">
        <v>1.4836499999999999</v>
      </c>
      <c r="S38" s="147">
        <v>1.2516099999999999</v>
      </c>
      <c r="T38" s="147">
        <v>1.21689</v>
      </c>
      <c r="U38" s="112">
        <v>1.2072000000000001</v>
      </c>
      <c r="V38" s="112">
        <v>1.2276</v>
      </c>
      <c r="W38" s="112">
        <v>1.2023999999999999</v>
      </c>
      <c r="X38" s="111">
        <v>1.0887316276537833</v>
      </c>
      <c r="Y38" s="111">
        <v>1.0740000000000001</v>
      </c>
      <c r="Z38" s="111">
        <v>1.17</v>
      </c>
      <c r="AA38" s="111">
        <v>1.127</v>
      </c>
      <c r="AB38" s="111">
        <v>1.0853999999999999</v>
      </c>
      <c r="AC38" s="111">
        <v>1.0809642200843153</v>
      </c>
      <c r="AD38" s="111">
        <v>1.0373443983402491</v>
      </c>
      <c r="AE38" s="111">
        <v>1.0649999999999999</v>
      </c>
      <c r="AF38" s="111">
        <v>1.06</v>
      </c>
      <c r="AG38" s="111">
        <v>1.0549999999999999</v>
      </c>
      <c r="AH38" s="111">
        <f t="shared" ref="AH38:AV38" si="49">AH36*AH40</f>
        <v>0.95974789915966408</v>
      </c>
      <c r="AI38" s="111">
        <f t="shared" si="49"/>
        <v>0.95974789915966408</v>
      </c>
      <c r="AJ38" s="111">
        <f t="shared" si="49"/>
        <v>0.95974789915966408</v>
      </c>
      <c r="AK38" s="111">
        <f t="shared" si="49"/>
        <v>0.95974789915966408</v>
      </c>
      <c r="AL38" s="111">
        <f t="shared" si="49"/>
        <v>0.95974789915966408</v>
      </c>
      <c r="AM38" s="111">
        <f t="shared" si="49"/>
        <v>0.95974789915966408</v>
      </c>
      <c r="AN38" s="111">
        <f t="shared" si="49"/>
        <v>0.95974789915966408</v>
      </c>
      <c r="AO38" s="111">
        <f t="shared" si="49"/>
        <v>0.95974789915966408</v>
      </c>
      <c r="AP38" s="111">
        <f t="shared" si="49"/>
        <v>0.95974789915966408</v>
      </c>
      <c r="AQ38" s="111">
        <f t="shared" si="49"/>
        <v>0.95974789915966408</v>
      </c>
      <c r="AR38" s="111">
        <f t="shared" si="49"/>
        <v>0.95974789915966408</v>
      </c>
      <c r="AS38" s="111">
        <f t="shared" si="49"/>
        <v>0.95974789915966408</v>
      </c>
      <c r="AT38" s="111">
        <f t="shared" si="49"/>
        <v>0.95974789915966408</v>
      </c>
      <c r="AU38" s="111">
        <f t="shared" si="49"/>
        <v>0.95974789915966408</v>
      </c>
      <c r="AV38" s="111">
        <f t="shared" si="49"/>
        <v>0.95974789915966408</v>
      </c>
      <c r="AW38" s="111">
        <f>AW36*AW40</f>
        <v>0.95974789915966408</v>
      </c>
      <c r="AX38" s="111">
        <f>AX36*AX40</f>
        <v>0.95974789915966408</v>
      </c>
      <c r="AY38" s="111">
        <f t="shared" ref="AY38:BA38" si="50">AY36*AY40</f>
        <v>0.95974789915966408</v>
      </c>
      <c r="AZ38" s="111">
        <f t="shared" si="50"/>
        <v>0.95974789915966408</v>
      </c>
      <c r="BA38" s="111">
        <f t="shared" si="50"/>
        <v>0.95974789915966408</v>
      </c>
      <c r="BB38" s="111">
        <f>BB36*BB40</f>
        <v>0.95974789915966408</v>
      </c>
      <c r="BC38" s="111">
        <f t="shared" ref="BC38:BG38" si="51">BC36*BC40</f>
        <v>0.95974789915966408</v>
      </c>
      <c r="BD38" s="111">
        <f t="shared" si="51"/>
        <v>0.95974789915966408</v>
      </c>
      <c r="BE38" s="111">
        <f t="shared" si="51"/>
        <v>0.95974789915966408</v>
      </c>
      <c r="BF38" s="111">
        <f t="shared" si="51"/>
        <v>0.95974789915966408</v>
      </c>
      <c r="BG38" s="111">
        <f t="shared" si="51"/>
        <v>0.95974789915966408</v>
      </c>
    </row>
    <row r="39" spans="1:59" ht="13.75" customHeight="1">
      <c r="A39" s="141" t="s">
        <v>86</v>
      </c>
      <c r="B39" s="165"/>
      <c r="C39" s="165"/>
      <c r="D39" s="170" t="s">
        <v>87</v>
      </c>
      <c r="E39" s="167"/>
      <c r="F39" s="168" t="s">
        <v>150</v>
      </c>
      <c r="G39" s="168" t="s">
        <v>3</v>
      </c>
      <c r="H39" s="168"/>
      <c r="I39" s="168" t="s">
        <v>151</v>
      </c>
      <c r="T39" s="114">
        <v>5.2499999999999998E-2</v>
      </c>
      <c r="W39" s="107">
        <v>0.17</v>
      </c>
      <c r="X39" s="107">
        <v>0.11</v>
      </c>
      <c r="Y39" s="107">
        <v>0.1</v>
      </c>
      <c r="Z39" s="110">
        <v>7.7499999999999999E-2</v>
      </c>
      <c r="AA39" s="110">
        <v>7.7499999999999999E-2</v>
      </c>
      <c r="AB39" s="110">
        <v>6.25E-2</v>
      </c>
      <c r="AC39" s="110">
        <v>4.2500000000000003E-2</v>
      </c>
      <c r="AD39" s="110">
        <v>8.5000000000000006E-2</v>
      </c>
      <c r="AE39" s="110">
        <v>7.4999999999999997E-2</v>
      </c>
      <c r="AF39" s="110">
        <v>0.14000000000000001</v>
      </c>
      <c r="AG39" s="110">
        <v>0.11</v>
      </c>
      <c r="AH39" s="110">
        <v>0.08</v>
      </c>
      <c r="AI39" s="110">
        <v>0.06</v>
      </c>
      <c r="AJ39" s="110">
        <f>AI39</f>
        <v>0.06</v>
      </c>
      <c r="AK39" s="110">
        <f>AJ39</f>
        <v>0.06</v>
      </c>
      <c r="AL39" s="110">
        <f t="shared" ref="AL39:BG39" si="52">AK39</f>
        <v>0.06</v>
      </c>
      <c r="AM39" s="110">
        <f t="shared" si="52"/>
        <v>0.06</v>
      </c>
      <c r="AN39" s="110">
        <f t="shared" si="52"/>
        <v>0.06</v>
      </c>
      <c r="AO39" s="110">
        <f t="shared" si="52"/>
        <v>0.06</v>
      </c>
      <c r="AP39" s="110">
        <f t="shared" si="52"/>
        <v>0.06</v>
      </c>
      <c r="AQ39" s="110">
        <f t="shared" si="52"/>
        <v>0.06</v>
      </c>
      <c r="AR39" s="110">
        <f t="shared" si="52"/>
        <v>0.06</v>
      </c>
      <c r="AS39" s="110">
        <f t="shared" si="52"/>
        <v>0.06</v>
      </c>
      <c r="AT39" s="110">
        <f t="shared" si="52"/>
        <v>0.06</v>
      </c>
      <c r="AU39" s="110">
        <f t="shared" si="52"/>
        <v>0.06</v>
      </c>
      <c r="AV39" s="110">
        <f t="shared" si="52"/>
        <v>0.06</v>
      </c>
      <c r="AW39" s="110">
        <f>AV39</f>
        <v>0.06</v>
      </c>
      <c r="AX39" s="110">
        <f t="shared" si="52"/>
        <v>0.06</v>
      </c>
      <c r="AY39" s="110">
        <f t="shared" si="52"/>
        <v>0.06</v>
      </c>
      <c r="AZ39" s="110">
        <f t="shared" si="52"/>
        <v>0.06</v>
      </c>
      <c r="BA39" s="110">
        <f t="shared" si="52"/>
        <v>0.06</v>
      </c>
      <c r="BB39" s="110">
        <f t="shared" si="52"/>
        <v>0.06</v>
      </c>
      <c r="BC39" s="110">
        <f t="shared" si="52"/>
        <v>0.06</v>
      </c>
      <c r="BD39" s="110">
        <f t="shared" si="52"/>
        <v>0.06</v>
      </c>
      <c r="BE39" s="110">
        <f t="shared" si="52"/>
        <v>0.06</v>
      </c>
      <c r="BF39" s="110">
        <f t="shared" si="52"/>
        <v>0.06</v>
      </c>
      <c r="BG39" s="110">
        <f t="shared" si="52"/>
        <v>0.06</v>
      </c>
    </row>
    <row r="40" spans="1:59" ht="13.75" customHeight="1">
      <c r="A40" s="141" t="s">
        <v>86</v>
      </c>
      <c r="B40" s="165"/>
      <c r="C40" s="165"/>
      <c r="D40" s="170" t="s">
        <v>98</v>
      </c>
      <c r="E40" s="167"/>
      <c r="F40" s="168" t="s">
        <v>152</v>
      </c>
      <c r="G40" s="168" t="s">
        <v>153</v>
      </c>
      <c r="H40" s="168"/>
      <c r="I40" s="168"/>
      <c r="J40" s="149">
        <v>1.6602999999999999</v>
      </c>
      <c r="K40" s="149">
        <v>1.3835999999999999</v>
      </c>
      <c r="L40" s="149">
        <v>1.2391000000000001</v>
      </c>
      <c r="M40" s="149">
        <v>1.1404000000000001</v>
      </c>
      <c r="N40" s="149">
        <v>1.3134000000000001</v>
      </c>
      <c r="O40" s="149">
        <v>1.2201</v>
      </c>
      <c r="P40" s="149">
        <v>1.1335</v>
      </c>
      <c r="Q40" s="149">
        <v>1.0687</v>
      </c>
      <c r="R40" s="149">
        <v>1.0351999999999999</v>
      </c>
      <c r="S40" s="149">
        <v>0.93520000000000003</v>
      </c>
      <c r="T40" s="149">
        <v>0.93810000000000004</v>
      </c>
      <c r="X40" s="111">
        <v>1.01</v>
      </c>
      <c r="Y40" s="111">
        <v>1.016</v>
      </c>
      <c r="Z40" s="111">
        <v>0.97399999999999998</v>
      </c>
      <c r="AA40" s="111">
        <v>0.98299999999999998</v>
      </c>
      <c r="AB40" s="111">
        <v>0.96760000000000002</v>
      </c>
      <c r="AC40" s="111">
        <v>0.88519999999999999</v>
      </c>
      <c r="AD40" s="111">
        <v>0.91290000000000004</v>
      </c>
      <c r="AE40" s="111">
        <v>0.91025641025641024</v>
      </c>
      <c r="AF40" s="111">
        <v>0.89830508474576276</v>
      </c>
      <c r="AG40" s="111">
        <v>0.88655462184873945</v>
      </c>
      <c r="AH40" s="111">
        <f>AI41</f>
        <v>0.88865546218487412</v>
      </c>
      <c r="AI40" s="111">
        <f t="shared" ref="AI40:AK40" si="53">AJ41</f>
        <v>0.88865546218487412</v>
      </c>
      <c r="AJ40" s="111">
        <f t="shared" si="53"/>
        <v>0.88865546218487412</v>
      </c>
      <c r="AK40" s="111">
        <f t="shared" si="53"/>
        <v>0.88865546218487412</v>
      </c>
      <c r="AL40" s="111">
        <f>AM41</f>
        <v>0.88865546218487412</v>
      </c>
      <c r="AM40" s="111">
        <f>AM41</f>
        <v>0.88865546218487412</v>
      </c>
      <c r="AN40" s="111">
        <f t="shared" ref="AN40:BA40" si="54">AO41</f>
        <v>0.88865546218487412</v>
      </c>
      <c r="AO40" s="111">
        <f t="shared" si="54"/>
        <v>0.88865546218487412</v>
      </c>
      <c r="AP40" s="111">
        <f t="shared" si="54"/>
        <v>0.88865546218487412</v>
      </c>
      <c r="AQ40" s="111">
        <f t="shared" si="54"/>
        <v>0.88865546218487412</v>
      </c>
      <c r="AR40" s="111">
        <f t="shared" si="54"/>
        <v>0.88865546218487412</v>
      </c>
      <c r="AS40" s="111">
        <f>AT41</f>
        <v>0.88865546218487412</v>
      </c>
      <c r="AT40" s="111">
        <f>AU41</f>
        <v>0.88865546218487412</v>
      </c>
      <c r="AU40" s="111">
        <f t="shared" si="54"/>
        <v>0.88865546218487412</v>
      </c>
      <c r="AV40" s="111">
        <f t="shared" si="54"/>
        <v>0.88865546218487412</v>
      </c>
      <c r="AW40" s="111">
        <f t="shared" si="54"/>
        <v>0.88865546218487412</v>
      </c>
      <c r="AX40" s="111">
        <f t="shared" si="54"/>
        <v>0.88865546218487412</v>
      </c>
      <c r="AY40" s="111">
        <f t="shared" si="54"/>
        <v>0.88865546218487412</v>
      </c>
      <c r="AZ40" s="111">
        <f t="shared" si="54"/>
        <v>0.88865546218487412</v>
      </c>
      <c r="BA40" s="111">
        <f t="shared" si="54"/>
        <v>0.88865546218487412</v>
      </c>
      <c r="BB40" s="111">
        <f>BB41</f>
        <v>0.88865546218487412</v>
      </c>
      <c r="BC40" s="111">
        <f t="shared" ref="BC40:BG40" si="55">BC41</f>
        <v>0.88865546218487412</v>
      </c>
      <c r="BD40" s="111">
        <f t="shared" si="55"/>
        <v>0.88865546218487412</v>
      </c>
      <c r="BE40" s="111">
        <f t="shared" si="55"/>
        <v>0.88865546218487412</v>
      </c>
      <c r="BF40" s="111">
        <f t="shared" si="55"/>
        <v>0.88865546218487412</v>
      </c>
      <c r="BG40" s="111">
        <f t="shared" si="55"/>
        <v>0.88865546218487412</v>
      </c>
    </row>
    <row r="41" spans="1:59" ht="13.75" customHeight="1">
      <c r="A41" s="141" t="s">
        <v>86</v>
      </c>
      <c r="B41" s="165"/>
      <c r="C41" s="165"/>
      <c r="D41" s="170" t="s">
        <v>87</v>
      </c>
      <c r="E41" s="167"/>
      <c r="F41" s="168" t="s">
        <v>154</v>
      </c>
      <c r="G41" s="168" t="s">
        <v>153</v>
      </c>
      <c r="H41" s="168"/>
      <c r="I41" s="168" t="s">
        <v>116</v>
      </c>
      <c r="J41" s="147">
        <v>1.6871386973180078</v>
      </c>
      <c r="K41" s="147">
        <v>1.5552532567049817</v>
      </c>
      <c r="L41" s="147">
        <v>1.3443716475095775</v>
      </c>
      <c r="M41" s="147">
        <v>1.2421034351145044</v>
      </c>
      <c r="N41" s="147">
        <v>1.2463265384615383</v>
      </c>
      <c r="O41" s="147">
        <v>1.2528880769230768</v>
      </c>
      <c r="P41" s="147">
        <v>1.2000164750957858</v>
      </c>
      <c r="Q41" s="147">
        <v>1.0823534351145039</v>
      </c>
      <c r="R41" s="147">
        <v>1.0849888888888892</v>
      </c>
      <c r="S41" s="147">
        <v>1.0423498084291187</v>
      </c>
      <c r="T41" s="147">
        <v>0.88658192307692352</v>
      </c>
      <c r="X41" s="111"/>
      <c r="Y41" s="113">
        <v>0.98173704755070879</v>
      </c>
      <c r="Z41" s="111">
        <v>0.98499999999999999</v>
      </c>
      <c r="AA41" s="111">
        <v>0.98499999999999999</v>
      </c>
      <c r="AB41" s="111">
        <v>0.99382499999999996</v>
      </c>
      <c r="AC41" s="111">
        <v>0.93884999999999996</v>
      </c>
      <c r="AD41" s="111">
        <v>0.91415000000000002</v>
      </c>
      <c r="AE41" s="111">
        <v>0.91682541554086427</v>
      </c>
      <c r="AF41" s="111">
        <v>0.91239316239316237</v>
      </c>
      <c r="AG41" s="111">
        <v>0.90042372881355937</v>
      </c>
      <c r="AH41" s="111">
        <v>0.88865546218487412</v>
      </c>
      <c r="AI41" s="111">
        <f t="shared" ref="AI41:AM43" si="56">AH41</f>
        <v>0.88865546218487412</v>
      </c>
      <c r="AJ41" s="111">
        <f t="shared" si="56"/>
        <v>0.88865546218487412</v>
      </c>
      <c r="AK41" s="111">
        <f t="shared" si="56"/>
        <v>0.88865546218487412</v>
      </c>
      <c r="AL41" s="111">
        <f t="shared" si="56"/>
        <v>0.88865546218487412</v>
      </c>
      <c r="AM41" s="111">
        <f>AL41</f>
        <v>0.88865546218487412</v>
      </c>
      <c r="AN41" s="111">
        <f t="shared" ref="AN41:BC43" si="57">AM41</f>
        <v>0.88865546218487412</v>
      </c>
      <c r="AO41" s="111">
        <f t="shared" si="57"/>
        <v>0.88865546218487412</v>
      </c>
      <c r="AP41" s="111">
        <f t="shared" si="57"/>
        <v>0.88865546218487412</v>
      </c>
      <c r="AQ41" s="111">
        <f t="shared" si="57"/>
        <v>0.88865546218487412</v>
      </c>
      <c r="AR41" s="111">
        <f t="shared" si="57"/>
        <v>0.88865546218487412</v>
      </c>
      <c r="AS41" s="111">
        <f t="shared" si="57"/>
        <v>0.88865546218487412</v>
      </c>
      <c r="AT41" s="111">
        <f>AS41</f>
        <v>0.88865546218487412</v>
      </c>
      <c r="AU41" s="111">
        <f t="shared" si="57"/>
        <v>0.88865546218487412</v>
      </c>
      <c r="AV41" s="111">
        <f t="shared" si="57"/>
        <v>0.88865546218487412</v>
      </c>
      <c r="AW41" s="111">
        <f t="shared" si="57"/>
        <v>0.88865546218487412</v>
      </c>
      <c r="AX41" s="111">
        <f t="shared" si="57"/>
        <v>0.88865546218487412</v>
      </c>
      <c r="AY41" s="111">
        <f t="shared" si="57"/>
        <v>0.88865546218487412</v>
      </c>
      <c r="AZ41" s="111">
        <f t="shared" si="57"/>
        <v>0.88865546218487412</v>
      </c>
      <c r="BA41" s="111">
        <f t="shared" si="57"/>
        <v>0.88865546218487412</v>
      </c>
      <c r="BB41" s="111">
        <f t="shared" si="57"/>
        <v>0.88865546218487412</v>
      </c>
      <c r="BC41" s="111">
        <f t="shared" si="57"/>
        <v>0.88865546218487412</v>
      </c>
      <c r="BD41" s="111">
        <f t="shared" ref="BB41:BG43" si="58">BC41</f>
        <v>0.88865546218487412</v>
      </c>
      <c r="BE41" s="111">
        <f t="shared" si="58"/>
        <v>0.88865546218487412</v>
      </c>
      <c r="BF41" s="111">
        <f t="shared" si="58"/>
        <v>0.88865546218487412</v>
      </c>
      <c r="BG41" s="111">
        <f t="shared" si="58"/>
        <v>0.88865546218487412</v>
      </c>
    </row>
    <row r="42" spans="1:59" ht="13.75" customHeight="1">
      <c r="A42" s="141" t="s">
        <v>86</v>
      </c>
      <c r="B42" s="165"/>
      <c r="C42" s="165"/>
      <c r="D42" s="170" t="s">
        <v>87</v>
      </c>
      <c r="E42" s="167"/>
      <c r="F42" s="168" t="s">
        <v>155</v>
      </c>
      <c r="G42" s="168" t="s">
        <v>3</v>
      </c>
      <c r="H42" s="168"/>
      <c r="I42" s="168" t="s">
        <v>116</v>
      </c>
      <c r="T42" s="114"/>
      <c r="W42" s="110">
        <v>8.4375000000000006E-2</v>
      </c>
      <c r="X42" s="110">
        <v>0.12625</v>
      </c>
      <c r="Y42" s="110">
        <v>0.10500000000000001</v>
      </c>
      <c r="Z42" s="110">
        <v>9.0312500000000004E-2</v>
      </c>
      <c r="AA42" s="110">
        <v>7.4374999999999997E-2</v>
      </c>
      <c r="AB42" s="110">
        <v>7.3124999999999996E-2</v>
      </c>
      <c r="AC42" s="110">
        <v>4.9999999999999996E-2</v>
      </c>
      <c r="AD42" s="110">
        <v>5.7812500000000003E-2</v>
      </c>
      <c r="AE42" s="110">
        <v>0.1125</v>
      </c>
      <c r="AF42" s="110">
        <v>9.6875000000000003E-2</v>
      </c>
      <c r="AG42" s="110">
        <v>0.13375000000000001</v>
      </c>
      <c r="AH42" s="110">
        <v>9.2499999999999999E-2</v>
      </c>
      <c r="AI42" s="110">
        <v>7.0000000000000007E-2</v>
      </c>
      <c r="AJ42" s="110">
        <f>AJ39</f>
        <v>0.06</v>
      </c>
      <c r="AK42" s="110">
        <f>AK39</f>
        <v>0.06</v>
      </c>
      <c r="AL42" s="110">
        <f t="shared" ref="AL42:BB42" si="59">AL39</f>
        <v>0.06</v>
      </c>
      <c r="AM42" s="110">
        <f t="shared" si="59"/>
        <v>0.06</v>
      </c>
      <c r="AN42" s="110">
        <f t="shared" si="59"/>
        <v>0.06</v>
      </c>
      <c r="AO42" s="110">
        <f t="shared" si="59"/>
        <v>0.06</v>
      </c>
      <c r="AP42" s="110">
        <f t="shared" si="59"/>
        <v>0.06</v>
      </c>
      <c r="AQ42" s="110">
        <f t="shared" si="59"/>
        <v>0.06</v>
      </c>
      <c r="AR42" s="110">
        <f t="shared" si="59"/>
        <v>0.06</v>
      </c>
      <c r="AS42" s="110">
        <f t="shared" si="59"/>
        <v>0.06</v>
      </c>
      <c r="AT42" s="110">
        <f t="shared" si="59"/>
        <v>0.06</v>
      </c>
      <c r="AU42" s="110">
        <f t="shared" si="59"/>
        <v>0.06</v>
      </c>
      <c r="AV42" s="110">
        <f t="shared" si="59"/>
        <v>0.06</v>
      </c>
      <c r="AW42" s="110">
        <f t="shared" si="59"/>
        <v>0.06</v>
      </c>
      <c r="AX42" s="110">
        <f t="shared" si="59"/>
        <v>0.06</v>
      </c>
      <c r="AY42" s="110">
        <f t="shared" si="59"/>
        <v>0.06</v>
      </c>
      <c r="AZ42" s="110">
        <f t="shared" si="59"/>
        <v>0.06</v>
      </c>
      <c r="BA42" s="110">
        <f t="shared" si="59"/>
        <v>0.06</v>
      </c>
      <c r="BB42" s="110">
        <f t="shared" si="59"/>
        <v>0.06</v>
      </c>
      <c r="BC42" s="110">
        <f>BC39</f>
        <v>0.06</v>
      </c>
      <c r="BD42" s="110">
        <f>BD39</f>
        <v>0.06</v>
      </c>
      <c r="BE42" s="110">
        <f>BE39</f>
        <v>0.06</v>
      </c>
      <c r="BF42" s="110">
        <f>BF39</f>
        <v>0.06</v>
      </c>
      <c r="BG42" s="110">
        <f>BG39</f>
        <v>0.06</v>
      </c>
    </row>
    <row r="43" spans="1:59" ht="13.75" customHeight="1">
      <c r="A43" s="141" t="s">
        <v>86</v>
      </c>
      <c r="B43" s="165"/>
      <c r="D43" s="166" t="s">
        <v>87</v>
      </c>
      <c r="E43" s="167"/>
      <c r="F43" s="168" t="s">
        <v>156</v>
      </c>
      <c r="G43" s="168" t="s">
        <v>157</v>
      </c>
      <c r="H43" s="168"/>
      <c r="I43" s="168"/>
      <c r="J43" s="147">
        <v>8.2770500000000009</v>
      </c>
      <c r="K43" s="147">
        <v>8.2769499999999994</v>
      </c>
      <c r="L43" s="147">
        <v>8.2770250000000001</v>
      </c>
      <c r="M43" s="147">
        <v>8.2767999999999997</v>
      </c>
      <c r="N43" s="147">
        <v>8.1930250000000004</v>
      </c>
      <c r="O43" s="147">
        <v>7.9728250000000003</v>
      </c>
      <c r="P43" s="147">
        <v>7.6060249999999998</v>
      </c>
      <c r="Q43" s="147">
        <v>6.9509249999999989</v>
      </c>
      <c r="R43" s="147">
        <v>6.8315000000000001</v>
      </c>
      <c r="S43" s="147">
        <v>6.7689500000000002</v>
      </c>
      <c r="T43" s="147">
        <v>6.4640249999999995</v>
      </c>
      <c r="U43" s="111">
        <v>6.3080499999999997</v>
      </c>
      <c r="V43" s="111">
        <v>6.1489750000000001</v>
      </c>
      <c r="W43" s="111">
        <v>6.1616</v>
      </c>
      <c r="X43" s="111">
        <v>6.284675</v>
      </c>
      <c r="Y43" s="111">
        <v>6.6475</v>
      </c>
      <c r="Z43" s="111">
        <v>6.757225</v>
      </c>
      <c r="AA43" s="111">
        <v>6.6168750000000003</v>
      </c>
      <c r="AB43" s="111">
        <v>6.9056250000000006</v>
      </c>
      <c r="AC43" s="111">
        <v>6.8985749999999992</v>
      </c>
      <c r="AD43" s="111">
        <v>6.5</v>
      </c>
      <c r="AE43" s="111">
        <v>6.7294999999999998</v>
      </c>
      <c r="AF43" s="111">
        <v>7.0978460763754168</v>
      </c>
      <c r="AG43" s="111">
        <v>7.1900000000000013</v>
      </c>
      <c r="AH43" s="111">
        <v>7.0150000000000041</v>
      </c>
      <c r="AI43" s="111">
        <v>6.9047500000000062</v>
      </c>
      <c r="AJ43" s="111">
        <f t="shared" si="56"/>
        <v>6.9047500000000062</v>
      </c>
      <c r="AK43" s="111">
        <f t="shared" si="56"/>
        <v>6.9047500000000062</v>
      </c>
      <c r="AL43" s="111">
        <f t="shared" si="56"/>
        <v>6.9047500000000062</v>
      </c>
      <c r="AM43" s="111">
        <f t="shared" si="56"/>
        <v>6.9047500000000062</v>
      </c>
      <c r="AN43" s="111">
        <f t="shared" si="57"/>
        <v>6.9047500000000062</v>
      </c>
      <c r="AO43" s="111">
        <f t="shared" si="57"/>
        <v>6.9047500000000062</v>
      </c>
      <c r="AP43" s="111">
        <f t="shared" si="57"/>
        <v>6.9047500000000062</v>
      </c>
      <c r="AQ43" s="111">
        <f t="shared" si="57"/>
        <v>6.9047500000000062</v>
      </c>
      <c r="AR43" s="111">
        <f t="shared" si="57"/>
        <v>6.9047500000000062</v>
      </c>
      <c r="AS43" s="111">
        <f>AR43</f>
        <v>6.9047500000000062</v>
      </c>
      <c r="AT43" s="111">
        <f>AS43</f>
        <v>6.9047500000000062</v>
      </c>
      <c r="AU43" s="111">
        <f t="shared" si="57"/>
        <v>6.9047500000000062</v>
      </c>
      <c r="AV43" s="111">
        <f t="shared" si="57"/>
        <v>6.9047500000000062</v>
      </c>
      <c r="AW43" s="111">
        <f t="shared" si="57"/>
        <v>6.9047500000000062</v>
      </c>
      <c r="AX43" s="111">
        <f t="shared" si="57"/>
        <v>6.9047500000000062</v>
      </c>
      <c r="AY43" s="111">
        <f t="shared" si="57"/>
        <v>6.9047500000000062</v>
      </c>
      <c r="AZ43" s="111">
        <f t="shared" si="57"/>
        <v>6.9047500000000062</v>
      </c>
      <c r="BA43" s="111">
        <f t="shared" si="57"/>
        <v>6.9047500000000062</v>
      </c>
      <c r="BB43" s="111">
        <f t="shared" si="58"/>
        <v>6.9047500000000062</v>
      </c>
      <c r="BC43" s="111">
        <f t="shared" si="58"/>
        <v>6.9047500000000062</v>
      </c>
      <c r="BD43" s="111">
        <f t="shared" si="58"/>
        <v>6.9047500000000062</v>
      </c>
      <c r="BE43" s="111">
        <f t="shared" si="58"/>
        <v>6.9047500000000062</v>
      </c>
      <c r="BF43" s="111">
        <f t="shared" si="58"/>
        <v>6.9047500000000062</v>
      </c>
      <c r="BG43" s="111">
        <f t="shared" si="58"/>
        <v>6.9047500000000062</v>
      </c>
    </row>
    <row r="44" spans="1:59" ht="13.75" customHeight="1">
      <c r="A44" s="141" t="s">
        <v>86</v>
      </c>
      <c r="B44" s="165"/>
      <c r="D44" s="166" t="s">
        <v>87</v>
      </c>
      <c r="E44" s="167"/>
      <c r="F44" s="168" t="s">
        <v>158</v>
      </c>
      <c r="G44" s="168" t="s">
        <v>157</v>
      </c>
      <c r="H44" s="168"/>
      <c r="I44" s="168"/>
      <c r="J44" s="147">
        <v>8.2765000000000004</v>
      </c>
      <c r="K44" s="147">
        <v>8.2769999999999992</v>
      </c>
      <c r="L44" s="147">
        <v>8.2766999999999999</v>
      </c>
      <c r="M44" s="147">
        <v>8.2765000000000004</v>
      </c>
      <c r="N44" s="147">
        <v>8.0701999999999998</v>
      </c>
      <c r="O44" s="147">
        <v>7.8045</v>
      </c>
      <c r="P44" s="147">
        <v>7.3037000000000001</v>
      </c>
      <c r="Q44" s="147">
        <v>6.8277000000000001</v>
      </c>
      <c r="R44" s="147">
        <v>6.8270999999999997</v>
      </c>
      <c r="S44" s="147">
        <v>6.6070000000000002</v>
      </c>
      <c r="T44" s="147">
        <v>6.2949999999999999</v>
      </c>
      <c r="U44" s="111">
        <v>6.2305999999999999</v>
      </c>
      <c r="V44" s="111">
        <v>6.0542999999999996</v>
      </c>
      <c r="W44" s="111">
        <v>6.2054999999999998</v>
      </c>
      <c r="X44" s="111">
        <v>6.4936999999999996</v>
      </c>
      <c r="Y44" s="111">
        <v>6.9450000000000003</v>
      </c>
      <c r="Z44" s="111">
        <v>6.5068000000000001</v>
      </c>
      <c r="AA44" s="111">
        <v>6.8784999999999998</v>
      </c>
      <c r="AB44" s="111">
        <v>6.9631999999999996</v>
      </c>
      <c r="AC44" s="111">
        <v>6.5271999999999997</v>
      </c>
      <c r="AD44" s="111">
        <v>6.3730000000000002</v>
      </c>
      <c r="AE44" s="111">
        <f t="shared" ref="AE44:BG44" si="60">AE43</f>
        <v>6.7294999999999998</v>
      </c>
      <c r="AF44" s="111">
        <f t="shared" si="60"/>
        <v>7.0978460763754168</v>
      </c>
      <c r="AG44" s="111">
        <f t="shared" si="60"/>
        <v>7.1900000000000013</v>
      </c>
      <c r="AH44" s="111">
        <f t="shared" si="60"/>
        <v>7.0150000000000041</v>
      </c>
      <c r="AI44" s="111">
        <f t="shared" si="60"/>
        <v>6.9047500000000062</v>
      </c>
      <c r="AJ44" s="111">
        <f t="shared" si="60"/>
        <v>6.9047500000000062</v>
      </c>
      <c r="AK44" s="111">
        <f t="shared" si="60"/>
        <v>6.9047500000000062</v>
      </c>
      <c r="AL44" s="111">
        <f t="shared" si="60"/>
        <v>6.9047500000000062</v>
      </c>
      <c r="AM44" s="111">
        <f t="shared" si="60"/>
        <v>6.9047500000000062</v>
      </c>
      <c r="AN44" s="111">
        <f t="shared" si="60"/>
        <v>6.9047500000000062</v>
      </c>
      <c r="AO44" s="111">
        <f t="shared" si="60"/>
        <v>6.9047500000000062</v>
      </c>
      <c r="AP44" s="111">
        <f t="shared" si="60"/>
        <v>6.9047500000000062</v>
      </c>
      <c r="AQ44" s="111">
        <f t="shared" si="60"/>
        <v>6.9047500000000062</v>
      </c>
      <c r="AR44" s="111">
        <f t="shared" si="60"/>
        <v>6.9047500000000062</v>
      </c>
      <c r="AS44" s="111">
        <f t="shared" si="60"/>
        <v>6.9047500000000062</v>
      </c>
      <c r="AT44" s="111">
        <f t="shared" si="60"/>
        <v>6.9047500000000062</v>
      </c>
      <c r="AU44" s="111">
        <f t="shared" si="60"/>
        <v>6.9047500000000062</v>
      </c>
      <c r="AV44" s="111">
        <f t="shared" si="60"/>
        <v>6.9047500000000062</v>
      </c>
      <c r="AW44" s="111">
        <f t="shared" si="60"/>
        <v>6.9047500000000062</v>
      </c>
      <c r="AX44" s="111">
        <f t="shared" si="60"/>
        <v>6.9047500000000062</v>
      </c>
      <c r="AY44" s="111">
        <f t="shared" si="60"/>
        <v>6.9047500000000062</v>
      </c>
      <c r="AZ44" s="111">
        <f t="shared" si="60"/>
        <v>6.9047500000000062</v>
      </c>
      <c r="BA44" s="111">
        <f t="shared" si="60"/>
        <v>6.9047500000000062</v>
      </c>
      <c r="BB44" s="111">
        <f t="shared" si="60"/>
        <v>6.9047500000000062</v>
      </c>
      <c r="BC44" s="111">
        <f t="shared" si="60"/>
        <v>6.9047500000000062</v>
      </c>
      <c r="BD44" s="111">
        <f t="shared" si="60"/>
        <v>6.9047500000000062</v>
      </c>
      <c r="BE44" s="111">
        <f t="shared" si="60"/>
        <v>6.9047500000000062</v>
      </c>
      <c r="BF44" s="111">
        <f t="shared" si="60"/>
        <v>6.9047500000000062</v>
      </c>
      <c r="BG44" s="111">
        <f t="shared" si="60"/>
        <v>6.9047500000000062</v>
      </c>
    </row>
    <row r="45" spans="1:59" ht="13.75" customHeight="1">
      <c r="A45" s="141" t="s">
        <v>86</v>
      </c>
      <c r="B45" s="165"/>
      <c r="D45" s="166" t="s">
        <v>87</v>
      </c>
      <c r="E45" s="167"/>
      <c r="F45" s="168" t="s">
        <v>159</v>
      </c>
      <c r="G45" s="168" t="s">
        <v>160</v>
      </c>
      <c r="H45" s="168"/>
      <c r="I45" s="168"/>
      <c r="J45" s="147">
        <v>3.5273250000000003</v>
      </c>
      <c r="K45" s="147">
        <v>3.7911750000000004</v>
      </c>
      <c r="L45" s="147">
        <v>3.7073</v>
      </c>
      <c r="M45" s="147">
        <v>3.4797500000000001</v>
      </c>
      <c r="N45" s="147">
        <v>3.4539500000000003</v>
      </c>
      <c r="O45" s="147">
        <v>3.4082249999999998</v>
      </c>
      <c r="P45" s="147">
        <v>3.3614999999999999</v>
      </c>
      <c r="Q45" s="147">
        <v>3.5812499999999998</v>
      </c>
      <c r="R45" s="147">
        <v>4.6491249999999997</v>
      </c>
      <c r="S45" s="147">
        <v>4.4869749999999993</v>
      </c>
      <c r="T45" s="147">
        <v>4.5507249999999999</v>
      </c>
      <c r="U45" s="111">
        <v>4.9221250000000003</v>
      </c>
      <c r="V45" s="111">
        <v>5.1818249999999999</v>
      </c>
      <c r="W45" s="111">
        <v>6.2628500000000003</v>
      </c>
      <c r="X45" s="111">
        <v>9.7380750000000003</v>
      </c>
      <c r="Y45" s="111">
        <v>10.094624999999999</v>
      </c>
      <c r="Z45" s="111">
        <v>8.6359999999999992</v>
      </c>
      <c r="AA45" s="111">
        <v>9.4852249999999998</v>
      </c>
      <c r="AB45" s="111">
        <v>9.3735749999999989</v>
      </c>
      <c r="AC45" s="111">
        <v>10.491275</v>
      </c>
      <c r="AD45" s="111">
        <v>11.331438461538461</v>
      </c>
      <c r="AE45" s="111">
        <f t="shared" ref="AE45" si="61">AE14/AE43</f>
        <v>10.176866780592912</v>
      </c>
      <c r="AF45" s="111">
        <f>AF14/AF43</f>
        <v>11.982038741265089</v>
      </c>
      <c r="AG45" s="111">
        <f>AG14/AG43</f>
        <v>12.719749652294846</v>
      </c>
      <c r="AH45" s="111">
        <f>AH14/AH43</f>
        <v>13.1846044191019</v>
      </c>
      <c r="AI45" s="111">
        <f>AI14/AI43</f>
        <v>13.568919946413661</v>
      </c>
      <c r="AJ45" s="111">
        <f t="shared" ref="AJ45:BF45" si="62">AJ14/AJ43</f>
        <v>13.840298345341935</v>
      </c>
      <c r="AK45" s="111">
        <f t="shared" si="62"/>
        <v>14.117104312248776</v>
      </c>
      <c r="AL45" s="111">
        <f t="shared" si="62"/>
        <v>14.399446398493751</v>
      </c>
      <c r="AM45" s="111">
        <f t="shared" si="62"/>
        <v>14.687435326463627</v>
      </c>
      <c r="AN45" s="111">
        <f t="shared" si="62"/>
        <v>14.9811840329929</v>
      </c>
      <c r="AO45" s="111">
        <f t="shared" si="62"/>
        <v>15.280807713652759</v>
      </c>
      <c r="AP45" s="111">
        <f t="shared" si="62"/>
        <v>15.586423867925815</v>
      </c>
      <c r="AQ45" s="111">
        <f t="shared" si="62"/>
        <v>15.898152345284332</v>
      </c>
      <c r="AR45" s="111">
        <f t="shared" si="62"/>
        <v>16.216115392190019</v>
      </c>
      <c r="AS45" s="111">
        <f t="shared" si="62"/>
        <v>16.54043770003382</v>
      </c>
      <c r="AT45" s="111">
        <f t="shared" si="62"/>
        <v>16.871246454034495</v>
      </c>
      <c r="AU45" s="111">
        <f t="shared" si="62"/>
        <v>17.208671383115185</v>
      </c>
      <c r="AV45" s="111">
        <f t="shared" si="62"/>
        <v>17.55284481077749</v>
      </c>
      <c r="AW45" s="111">
        <f t="shared" si="62"/>
        <v>17.903901706993043</v>
      </c>
      <c r="AX45" s="111">
        <f t="shared" si="62"/>
        <v>18.261979741132901</v>
      </c>
      <c r="AY45" s="111">
        <f t="shared" si="62"/>
        <v>18.627219335955562</v>
      </c>
      <c r="AZ45" s="111">
        <f t="shared" si="62"/>
        <v>18.999763722674672</v>
      </c>
      <c r="BA45" s="111">
        <f t="shared" si="62"/>
        <v>19.379758997128167</v>
      </c>
      <c r="BB45" s="111">
        <f t="shared" si="62"/>
        <v>19.767354177070732</v>
      </c>
      <c r="BC45" s="111">
        <f t="shared" si="62"/>
        <v>20.162701260612145</v>
      </c>
      <c r="BD45" s="111">
        <f t="shared" si="62"/>
        <v>20.565955285824391</v>
      </c>
      <c r="BE45" s="111">
        <f t="shared" si="62"/>
        <v>20.977274391540881</v>
      </c>
      <c r="BF45" s="111">
        <f t="shared" si="62"/>
        <v>21.396819879371694</v>
      </c>
      <c r="BG45" s="111">
        <f>BG14/BG43</f>
        <v>21.824756276959128</v>
      </c>
    </row>
    <row r="46" spans="1:59" ht="13.75" customHeight="1">
      <c r="A46" s="141" t="s">
        <v>86</v>
      </c>
      <c r="B46" s="165"/>
      <c r="D46" s="166" t="s">
        <v>87</v>
      </c>
      <c r="E46" s="167"/>
      <c r="F46" s="168" t="s">
        <v>161</v>
      </c>
      <c r="G46" s="168" t="s">
        <v>160</v>
      </c>
      <c r="H46" s="168"/>
      <c r="I46" s="168"/>
      <c r="J46" s="147">
        <v>3.6857000000000002</v>
      </c>
      <c r="K46" s="147">
        <v>3.8607</v>
      </c>
      <c r="L46" s="147">
        <v>3.5331000000000001</v>
      </c>
      <c r="M46" s="147">
        <v>3.3492000000000002</v>
      </c>
      <c r="N46" s="147">
        <v>3.5613999999999999</v>
      </c>
      <c r="O46" s="147">
        <v>3.3731</v>
      </c>
      <c r="P46" s="147">
        <v>3.3681999999999999</v>
      </c>
      <c r="Q46" s="147">
        <v>4.3064</v>
      </c>
      <c r="R46" s="147">
        <v>4.3994</v>
      </c>
      <c r="S46" s="147">
        <v>4.6219000000000001</v>
      </c>
      <c r="T46" s="147">
        <v>5.1024000000000003</v>
      </c>
      <c r="U46" s="111">
        <v>4.9036</v>
      </c>
      <c r="V46" s="111">
        <v>5.4329999999999998</v>
      </c>
      <c r="W46" s="111">
        <v>9.3539999999999992</v>
      </c>
      <c r="X46" s="111">
        <v>11.372</v>
      </c>
      <c r="Y46" s="111">
        <v>8.7827000000000002</v>
      </c>
      <c r="Z46" s="111">
        <v>8.85</v>
      </c>
      <c r="AA46" s="111">
        <v>10.0892</v>
      </c>
      <c r="AB46" s="111">
        <v>8.9053000000000004</v>
      </c>
      <c r="AC46" s="111">
        <v>11.3156</v>
      </c>
      <c r="AD46" s="111">
        <v>11.657398399497881</v>
      </c>
      <c r="AE46" s="111">
        <f>AE7/AE44</f>
        <v>10.45211382717884</v>
      </c>
      <c r="AF46" s="111">
        <f>AF7/AF44</f>
        <v>12.539015222692559</v>
      </c>
      <c r="AG46" s="111">
        <f>AG7/AG44</f>
        <v>12.495132127955481</v>
      </c>
      <c r="AH46" s="111">
        <f>AH7/AH44</f>
        <v>12.977904490377734</v>
      </c>
      <c r="AI46" s="111">
        <f>AI7/AI44</f>
        <v>13.358919584344067</v>
      </c>
      <c r="AJ46" s="111">
        <f t="shared" ref="AJ46:BA46" si="63">AJ7/AJ44</f>
        <v>13.840298345341935</v>
      </c>
      <c r="AK46" s="111">
        <f>AK7/AK44</f>
        <v>14.117104312248776</v>
      </c>
      <c r="AL46" s="111">
        <f>AL7/AL44</f>
        <v>14.399446398493751</v>
      </c>
      <c r="AM46" s="111">
        <f t="shared" si="63"/>
        <v>14.687435326463627</v>
      </c>
      <c r="AN46" s="111">
        <f t="shared" si="63"/>
        <v>14.9811840329929</v>
      </c>
      <c r="AO46" s="111">
        <f t="shared" si="63"/>
        <v>15.280807713652759</v>
      </c>
      <c r="AP46" s="111">
        <f t="shared" si="63"/>
        <v>15.586423867925815</v>
      </c>
      <c r="AQ46" s="111">
        <f t="shared" si="63"/>
        <v>15.898152345284332</v>
      </c>
      <c r="AR46" s="111">
        <f t="shared" si="63"/>
        <v>16.216115392190019</v>
      </c>
      <c r="AS46" s="111">
        <f t="shared" si="63"/>
        <v>16.54043770003382</v>
      </c>
      <c r="AT46" s="111">
        <f t="shared" si="63"/>
        <v>16.871246454034495</v>
      </c>
      <c r="AU46" s="111">
        <f t="shared" si="63"/>
        <v>17.208671383115185</v>
      </c>
      <c r="AV46" s="111">
        <f t="shared" si="63"/>
        <v>17.55284481077749</v>
      </c>
      <c r="AW46" s="111">
        <f t="shared" si="63"/>
        <v>17.903901706993043</v>
      </c>
      <c r="AX46" s="111">
        <f t="shared" si="63"/>
        <v>18.261979741132901</v>
      </c>
      <c r="AY46" s="111">
        <f t="shared" si="63"/>
        <v>18.627219335955562</v>
      </c>
      <c r="AZ46" s="111">
        <f t="shared" si="63"/>
        <v>18.999763722674672</v>
      </c>
      <c r="BA46" s="111">
        <f t="shared" si="63"/>
        <v>19.379758997128167</v>
      </c>
      <c r="BB46" s="111">
        <f>BB7/BB44</f>
        <v>19.767354177070732</v>
      </c>
      <c r="BC46" s="111">
        <f t="shared" ref="BC46:BG46" si="64">BC7/BC44</f>
        <v>20.162701260612145</v>
      </c>
      <c r="BD46" s="111">
        <f t="shared" si="64"/>
        <v>20.565955285824391</v>
      </c>
      <c r="BE46" s="111">
        <f t="shared" si="64"/>
        <v>20.977274391540881</v>
      </c>
      <c r="BF46" s="111">
        <f t="shared" si="64"/>
        <v>21.396819879371694</v>
      </c>
      <c r="BG46" s="111">
        <f t="shared" si="64"/>
        <v>21.824756276959128</v>
      </c>
    </row>
    <row r="47" spans="1:59" ht="13.75" customHeight="1">
      <c r="A47" s="141" t="s">
        <v>86</v>
      </c>
      <c r="B47" s="165"/>
      <c r="D47" s="166" t="s">
        <v>87</v>
      </c>
      <c r="E47" s="167"/>
      <c r="F47" s="168" t="s">
        <v>162</v>
      </c>
      <c r="G47" s="168" t="s">
        <v>163</v>
      </c>
      <c r="H47" s="168"/>
      <c r="I47" s="168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11"/>
      <c r="V47" s="111"/>
      <c r="W47" s="111">
        <v>61.02</v>
      </c>
      <c r="X47" s="111">
        <v>64.099999999999994</v>
      </c>
      <c r="Y47" s="111">
        <v>67.17</v>
      </c>
      <c r="Z47" s="111">
        <v>65.11</v>
      </c>
      <c r="AA47" s="111">
        <v>68.400000000000006</v>
      </c>
      <c r="AB47" s="111">
        <v>70.400000000000006</v>
      </c>
      <c r="AC47" s="111">
        <v>74.099999999999994</v>
      </c>
      <c r="AD47" s="111">
        <v>73.900000000000006</v>
      </c>
      <c r="AE47" s="111">
        <v>78.599999999999994</v>
      </c>
      <c r="AF47" s="111">
        <v>82.6</v>
      </c>
      <c r="AG47" s="111">
        <v>84</v>
      </c>
      <c r="AH47" s="111">
        <v>85.3</v>
      </c>
      <c r="AI47" s="111">
        <v>86.6</v>
      </c>
      <c r="AJ47" s="111">
        <f>AI47*(1+2%)</f>
        <v>88.331999999999994</v>
      </c>
      <c r="AK47" s="111">
        <f t="shared" ref="AK47:BG47" si="65">AJ47*(1+2%)</f>
        <v>90.098639999999989</v>
      </c>
      <c r="AL47" s="111">
        <f t="shared" si="65"/>
        <v>91.90061279999999</v>
      </c>
      <c r="AM47" s="111">
        <f t="shared" si="65"/>
        <v>93.738625055999989</v>
      </c>
      <c r="AN47" s="111">
        <f t="shared" si="65"/>
        <v>95.613397557119995</v>
      </c>
      <c r="AO47" s="111">
        <f t="shared" si="65"/>
        <v>97.525665508262392</v>
      </c>
      <c r="AP47" s="111">
        <f t="shared" si="65"/>
        <v>99.476178818427641</v>
      </c>
      <c r="AQ47" s="111">
        <f t="shared" si="65"/>
        <v>101.4657023947962</v>
      </c>
      <c r="AR47" s="111">
        <f t="shared" si="65"/>
        <v>103.49501644269212</v>
      </c>
      <c r="AS47" s="111">
        <f t="shared" si="65"/>
        <v>105.56491677154597</v>
      </c>
      <c r="AT47" s="111">
        <f t="shared" si="65"/>
        <v>107.67621510697688</v>
      </c>
      <c r="AU47" s="111">
        <f t="shared" si="65"/>
        <v>109.82973940911643</v>
      </c>
      <c r="AV47" s="111">
        <f t="shared" si="65"/>
        <v>112.02633419729875</v>
      </c>
      <c r="AW47" s="111">
        <f t="shared" si="65"/>
        <v>114.26686088124472</v>
      </c>
      <c r="AX47" s="111">
        <f t="shared" si="65"/>
        <v>116.55219809886962</v>
      </c>
      <c r="AY47" s="111">
        <f t="shared" si="65"/>
        <v>118.88324206084702</v>
      </c>
      <c r="AZ47" s="111">
        <f t="shared" si="65"/>
        <v>121.26090690206397</v>
      </c>
      <c r="BA47" s="111">
        <f t="shared" si="65"/>
        <v>123.68612504010525</v>
      </c>
      <c r="BB47" s="111">
        <f t="shared" si="65"/>
        <v>126.15984754090736</v>
      </c>
      <c r="BC47" s="111">
        <f t="shared" si="65"/>
        <v>128.68304449172552</v>
      </c>
      <c r="BD47" s="111">
        <f t="shared" si="65"/>
        <v>131.25670538156004</v>
      </c>
      <c r="BE47" s="111">
        <f t="shared" si="65"/>
        <v>133.88183948919124</v>
      </c>
      <c r="BF47" s="111">
        <f t="shared" si="65"/>
        <v>136.55947627897507</v>
      </c>
      <c r="BG47" s="111">
        <f t="shared" si="65"/>
        <v>139.29066580455458</v>
      </c>
    </row>
    <row r="48" spans="1:59" ht="13.75" customHeight="1">
      <c r="A48" s="141" t="s">
        <v>86</v>
      </c>
      <c r="B48" s="165"/>
      <c r="D48" s="166" t="s">
        <v>87</v>
      </c>
      <c r="E48" s="167"/>
      <c r="F48" s="168" t="s">
        <v>164</v>
      </c>
      <c r="G48" s="168" t="s">
        <v>163</v>
      </c>
      <c r="H48" s="168"/>
      <c r="I48" s="168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11"/>
      <c r="V48" s="111"/>
      <c r="W48" s="111">
        <v>63.034999999999997</v>
      </c>
      <c r="X48" s="111">
        <v>66.207999999999998</v>
      </c>
      <c r="Y48" s="111">
        <v>67.954999999999998</v>
      </c>
      <c r="Z48" s="111">
        <v>63.84</v>
      </c>
      <c r="AA48" s="111">
        <v>69.569999999999993</v>
      </c>
      <c r="AB48" s="111">
        <v>71.355000000000004</v>
      </c>
      <c r="AC48" s="111">
        <v>73.054000000000002</v>
      </c>
      <c r="AD48" s="111">
        <v>74.486000000000004</v>
      </c>
      <c r="AE48" s="111">
        <v>82.745000000000005</v>
      </c>
      <c r="AF48" s="111">
        <f>AF47</f>
        <v>82.6</v>
      </c>
      <c r="AG48" s="111">
        <f>AG47</f>
        <v>84</v>
      </c>
      <c r="AH48" s="111">
        <f t="shared" ref="AH48:AK48" si="66">AH47</f>
        <v>85.3</v>
      </c>
      <c r="AI48" s="111">
        <f t="shared" si="66"/>
        <v>86.6</v>
      </c>
      <c r="AJ48" s="111">
        <f t="shared" si="66"/>
        <v>88.331999999999994</v>
      </c>
      <c r="AK48" s="111">
        <f t="shared" si="66"/>
        <v>90.098639999999989</v>
      </c>
      <c r="AL48" s="111">
        <f>AL47</f>
        <v>91.90061279999999</v>
      </c>
      <c r="AM48" s="111">
        <f t="shared" ref="AM48:BG48" si="67">AM47</f>
        <v>93.738625055999989</v>
      </c>
      <c r="AN48" s="111">
        <f t="shared" si="67"/>
        <v>95.613397557119995</v>
      </c>
      <c r="AO48" s="111">
        <f t="shared" si="67"/>
        <v>97.525665508262392</v>
      </c>
      <c r="AP48" s="111">
        <f t="shared" si="67"/>
        <v>99.476178818427641</v>
      </c>
      <c r="AQ48" s="111">
        <f t="shared" si="67"/>
        <v>101.4657023947962</v>
      </c>
      <c r="AR48" s="111">
        <f t="shared" si="67"/>
        <v>103.49501644269212</v>
      </c>
      <c r="AS48" s="111">
        <f t="shared" si="67"/>
        <v>105.56491677154597</v>
      </c>
      <c r="AT48" s="111">
        <f t="shared" si="67"/>
        <v>107.67621510697688</v>
      </c>
      <c r="AU48" s="111">
        <f t="shared" si="67"/>
        <v>109.82973940911643</v>
      </c>
      <c r="AV48" s="111">
        <f t="shared" si="67"/>
        <v>112.02633419729875</v>
      </c>
      <c r="AW48" s="111">
        <f t="shared" si="67"/>
        <v>114.26686088124472</v>
      </c>
      <c r="AX48" s="111">
        <f t="shared" si="67"/>
        <v>116.55219809886962</v>
      </c>
      <c r="AY48" s="111">
        <f t="shared" si="67"/>
        <v>118.88324206084702</v>
      </c>
      <c r="AZ48" s="111">
        <f t="shared" si="67"/>
        <v>121.26090690206397</v>
      </c>
      <c r="BA48" s="111">
        <f t="shared" si="67"/>
        <v>123.68612504010525</v>
      </c>
      <c r="BB48" s="111">
        <f t="shared" si="67"/>
        <v>126.15984754090736</v>
      </c>
      <c r="BC48" s="111">
        <f t="shared" si="67"/>
        <v>128.68304449172552</v>
      </c>
      <c r="BD48" s="111">
        <f t="shared" si="67"/>
        <v>131.25670538156004</v>
      </c>
      <c r="BE48" s="111">
        <f t="shared" si="67"/>
        <v>133.88183948919124</v>
      </c>
      <c r="BF48" s="111">
        <f t="shared" si="67"/>
        <v>136.55947627897507</v>
      </c>
      <c r="BG48" s="111">
        <f t="shared" si="67"/>
        <v>139.29066580455458</v>
      </c>
    </row>
    <row r="49" spans="1:59" ht="13.75" customHeight="1" outlineLevel="1">
      <c r="A49" s="141" t="s">
        <v>86</v>
      </c>
      <c r="B49" s="165"/>
      <c r="D49" s="166" t="s">
        <v>87</v>
      </c>
      <c r="E49" s="167"/>
      <c r="F49" s="168" t="s">
        <v>165</v>
      </c>
      <c r="G49" s="168" t="s">
        <v>3</v>
      </c>
      <c r="H49" s="168"/>
      <c r="I49" s="168"/>
      <c r="W49" s="114">
        <v>0.21050000000000002</v>
      </c>
      <c r="X49" s="114">
        <v>0.10980000000000001</v>
      </c>
      <c r="Y49" s="114">
        <v>0.10050000000000001</v>
      </c>
      <c r="Z49" s="114">
        <v>7.5399999999999995E-2</v>
      </c>
      <c r="AA49" s="114">
        <v>7.7699999999999991E-2</v>
      </c>
      <c r="AB49" s="114">
        <v>6.1200000000000004E-2</v>
      </c>
      <c r="AC49" s="114">
        <v>4.2199999999999994E-2</v>
      </c>
      <c r="AD49" s="114">
        <v>8.6899999999999991E-2</v>
      </c>
      <c r="AE49" s="114">
        <v>7.6200000000000004E-2</v>
      </c>
      <c r="AF49" s="114">
        <v>0.14050000000000001</v>
      </c>
      <c r="AG49" s="114">
        <v>0.10800000000000001</v>
      </c>
      <c r="AH49" s="114">
        <v>7.9000000000000001E-2</v>
      </c>
      <c r="AI49" s="114">
        <v>6.0499999999999998E-2</v>
      </c>
      <c r="AJ49" s="114">
        <f>AI49+(AJ$39-AI$39)</f>
        <v>6.0499999999999998E-2</v>
      </c>
      <c r="AK49" s="114">
        <f t="shared" ref="AK49:BG49" si="68">AJ49+(AK$39-AJ$39)</f>
        <v>6.0499999999999998E-2</v>
      </c>
      <c r="AL49" s="114">
        <f t="shared" si="68"/>
        <v>6.0499999999999998E-2</v>
      </c>
      <c r="AM49" s="114">
        <f t="shared" si="68"/>
        <v>6.0499999999999998E-2</v>
      </c>
      <c r="AN49" s="114">
        <f t="shared" si="68"/>
        <v>6.0499999999999998E-2</v>
      </c>
      <c r="AO49" s="114">
        <f t="shared" si="68"/>
        <v>6.0499999999999998E-2</v>
      </c>
      <c r="AP49" s="114">
        <f t="shared" si="68"/>
        <v>6.0499999999999998E-2</v>
      </c>
      <c r="AQ49" s="114">
        <f t="shared" si="68"/>
        <v>6.0499999999999998E-2</v>
      </c>
      <c r="AR49" s="114">
        <f t="shared" si="68"/>
        <v>6.0499999999999998E-2</v>
      </c>
      <c r="AS49" s="114">
        <f t="shared" si="68"/>
        <v>6.0499999999999998E-2</v>
      </c>
      <c r="AT49" s="114">
        <f t="shared" si="68"/>
        <v>6.0499999999999998E-2</v>
      </c>
      <c r="AU49" s="114">
        <f t="shared" si="68"/>
        <v>6.0499999999999998E-2</v>
      </c>
      <c r="AV49" s="114">
        <f t="shared" si="68"/>
        <v>6.0499999999999998E-2</v>
      </c>
      <c r="AW49" s="114">
        <f t="shared" si="68"/>
        <v>6.0499999999999998E-2</v>
      </c>
      <c r="AX49" s="114">
        <f t="shared" si="68"/>
        <v>6.0499999999999998E-2</v>
      </c>
      <c r="AY49" s="114">
        <f t="shared" si="68"/>
        <v>6.0499999999999998E-2</v>
      </c>
      <c r="AZ49" s="114">
        <f t="shared" si="68"/>
        <v>6.0499999999999998E-2</v>
      </c>
      <c r="BA49" s="114">
        <f t="shared" si="68"/>
        <v>6.0499999999999998E-2</v>
      </c>
      <c r="BB49" s="114">
        <f t="shared" si="68"/>
        <v>6.0499999999999998E-2</v>
      </c>
      <c r="BC49" s="114">
        <f t="shared" si="68"/>
        <v>6.0499999999999998E-2</v>
      </c>
      <c r="BD49" s="114">
        <f t="shared" si="68"/>
        <v>6.0499999999999998E-2</v>
      </c>
      <c r="BE49" s="114">
        <f t="shared" si="68"/>
        <v>6.0499999999999998E-2</v>
      </c>
      <c r="BF49" s="114">
        <f t="shared" si="68"/>
        <v>6.0499999999999998E-2</v>
      </c>
      <c r="BG49" s="114">
        <f t="shared" si="68"/>
        <v>6.0499999999999998E-2</v>
      </c>
    </row>
    <row r="50" spans="1:59" ht="13.75" customHeight="1" outlineLevel="1">
      <c r="B50" s="165"/>
      <c r="C50" s="165"/>
      <c r="D50" s="165"/>
      <c r="E50" s="167"/>
      <c r="F50" s="168"/>
      <c r="G50" s="168"/>
      <c r="H50" s="168"/>
      <c r="I50" s="168"/>
      <c r="X50" s="115"/>
      <c r="Y50" s="115"/>
      <c r="Z50" s="115"/>
      <c r="AA50" s="115"/>
    </row>
    <row r="51" spans="1:59" ht="13.75" customHeight="1" outlineLevel="1">
      <c r="B51" s="165"/>
      <c r="C51" s="165"/>
      <c r="D51" s="165"/>
      <c r="E51" s="167"/>
      <c r="F51" s="168"/>
      <c r="G51" s="168"/>
      <c r="H51" s="168"/>
      <c r="I51" s="168"/>
      <c r="X51" s="115"/>
      <c r="Y51" s="115"/>
      <c r="Z51" s="115"/>
      <c r="AA51" s="115"/>
    </row>
    <row r="52" spans="1:59" ht="13.75" customHeight="1" outlineLevel="1">
      <c r="B52" s="165"/>
      <c r="C52" s="165"/>
      <c r="D52" s="165"/>
      <c r="E52" s="167"/>
      <c r="F52" s="168"/>
      <c r="G52" s="168"/>
      <c r="H52" s="168"/>
      <c r="I52" s="168"/>
      <c r="X52" s="115"/>
      <c r="Y52" s="115"/>
      <c r="Z52" s="115"/>
      <c r="AA52" s="115"/>
    </row>
    <row r="53" spans="1:59" ht="13.75" customHeight="1" outlineLevel="1">
      <c r="B53" s="165"/>
      <c r="C53" s="165"/>
      <c r="D53" s="165"/>
      <c r="E53" s="167"/>
      <c r="F53" s="168"/>
      <c r="G53" s="168"/>
      <c r="H53" s="168"/>
      <c r="I53" s="168"/>
      <c r="X53" s="115"/>
      <c r="Y53" s="115"/>
      <c r="Z53" s="115"/>
      <c r="AA53" s="115"/>
    </row>
    <row r="54" spans="1:59" ht="13.75" customHeight="1" outlineLevel="1">
      <c r="B54" s="165"/>
      <c r="C54" s="165"/>
      <c r="D54" s="165"/>
      <c r="E54" s="167"/>
      <c r="F54" s="168"/>
      <c r="G54" s="168"/>
      <c r="H54" s="168"/>
      <c r="I54" s="168"/>
      <c r="X54" s="115"/>
      <c r="Y54" s="115"/>
      <c r="Z54" s="115">
        <f>SUMIF('Inputs sber (2)'!$X$1:$AY$1,CL$1031-1,'Inputs sber (2)'!$X58:$AY58)+0.25*(SUMIF('Inputs sber (2)'!$X$1:$AY$1,CL$1031,'Inputs sber (2)'!$X58:$AY58)-SUMIF('Inputs sber (2)'!$X$1:$AY$1,CL$1031-1,'Inputs sber (2)'!$X58:$AY58))</f>
        <v>0</v>
      </c>
      <c r="AA54" s="115"/>
      <c r="AB54" s="115"/>
      <c r="AC54" s="115"/>
      <c r="AD54" s="115"/>
      <c r="AE54" s="115"/>
      <c r="AF54" s="115"/>
      <c r="AG54" s="115"/>
      <c r="AH54" s="115"/>
    </row>
    <row r="55" spans="1:59" ht="13.75" customHeight="1" outlineLevel="1">
      <c r="B55" s="165"/>
      <c r="C55" s="165"/>
      <c r="D55" s="165"/>
      <c r="E55" s="167"/>
      <c r="F55" s="168"/>
      <c r="G55" s="168"/>
      <c r="H55" s="168"/>
      <c r="I55" s="168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</row>
    <row r="56" spans="1:59" ht="13.75" customHeight="1" outlineLevel="1">
      <c r="B56" s="165"/>
      <c r="C56" s="165"/>
      <c r="D56" s="165"/>
      <c r="E56" s="167"/>
      <c r="F56" s="168"/>
      <c r="G56" s="168"/>
      <c r="H56" s="168"/>
      <c r="I56" s="168"/>
      <c r="X56" s="115"/>
      <c r="Y56" s="115"/>
      <c r="Z56" s="115"/>
      <c r="AA56" s="115"/>
    </row>
    <row r="57" spans="1:59" ht="13.75" customHeight="1" outlineLevel="1">
      <c r="B57" s="165"/>
      <c r="C57" s="165"/>
      <c r="D57" s="165"/>
      <c r="E57" s="167"/>
      <c r="F57" s="168"/>
      <c r="G57" s="168"/>
      <c r="H57" s="168"/>
      <c r="I57" s="168"/>
      <c r="X57" s="115"/>
      <c r="Y57" s="115"/>
      <c r="Z57" s="115"/>
      <c r="AA57" s="115"/>
      <c r="AB57" s="117"/>
    </row>
    <row r="58" spans="1:59" ht="13.75" customHeight="1">
      <c r="A58" s="171" t="s">
        <v>166</v>
      </c>
      <c r="B58" s="165" t="s">
        <v>167</v>
      </c>
      <c r="C58" s="165"/>
      <c r="D58" s="165" t="s">
        <v>168</v>
      </c>
      <c r="E58" s="167"/>
      <c r="F58" s="168" t="s">
        <v>169</v>
      </c>
      <c r="G58" s="168" t="s">
        <v>4</v>
      </c>
      <c r="H58" s="168"/>
      <c r="I58" s="168"/>
      <c r="U58" s="119">
        <v>192</v>
      </c>
      <c r="V58" s="119">
        <v>149</v>
      </c>
      <c r="W58" s="119">
        <v>117</v>
      </c>
      <c r="X58" s="118">
        <v>90</v>
      </c>
      <c r="Y58" s="118">
        <v>143.19999999999999</v>
      </c>
      <c r="Z58" s="118">
        <v>187</v>
      </c>
      <c r="AA58" s="118">
        <v>207</v>
      </c>
      <c r="AB58" s="117">
        <v>177</v>
      </c>
      <c r="AC58" s="119">
        <v>125</v>
      </c>
      <c r="AD58" s="119">
        <v>225</v>
      </c>
      <c r="AE58" s="117">
        <v>364.53099999999984</v>
      </c>
      <c r="AF58" s="117">
        <v>274.55400514251176</v>
      </c>
      <c r="AG58" s="117">
        <v>240</v>
      </c>
      <c r="AH58" s="117">
        <v>200</v>
      </c>
      <c r="AI58" s="117">
        <v>195</v>
      </c>
      <c r="AJ58" s="117">
        <v>197.73</v>
      </c>
      <c r="AK58" s="117">
        <v>200.49822</v>
      </c>
      <c r="AL58" s="117">
        <v>203.30519508</v>
      </c>
      <c r="AM58" s="117">
        <v>206.15146781112</v>
      </c>
      <c r="AN58" s="117">
        <v>209.0375883604757</v>
      </c>
      <c r="AO58" s="117">
        <v>211.96411459752235</v>
      </c>
      <c r="AP58" s="117">
        <v>214.93161220188767</v>
      </c>
      <c r="AQ58" s="117">
        <v>217.94065477271411</v>
      </c>
      <c r="AR58" s="117">
        <v>220.99182393953211</v>
      </c>
      <c r="AS58" s="117">
        <v>224.08570947468556</v>
      </c>
      <c r="AT58" s="117">
        <v>227.22290940733114</v>
      </c>
      <c r="AU58" s="117">
        <v>230.40403013903378</v>
      </c>
      <c r="AV58" s="117">
        <v>233.62968656098025</v>
      </c>
      <c r="AW58" s="117">
        <v>236.90050217283397</v>
      </c>
      <c r="AX58" s="117">
        <v>240.21710920325364</v>
      </c>
      <c r="AY58" s="117">
        <v>243.58014873209919</v>
      </c>
      <c r="AZ58" s="117">
        <v>246.99027081434858</v>
      </c>
      <c r="BA58" s="117">
        <v>250.44813460574946</v>
      </c>
      <c r="BB58" s="117">
        <v>253.95440849022995</v>
      </c>
      <c r="BC58" s="117">
        <v>257.50977020909318</v>
      </c>
      <c r="BD58" s="117">
        <v>261.11490699202051</v>
      </c>
      <c r="BE58" s="117">
        <v>264.77051568990879</v>
      </c>
      <c r="BF58" s="117">
        <v>268.47730290956753</v>
      </c>
      <c r="BG58" s="117">
        <v>272.23598515030147</v>
      </c>
    </row>
    <row r="59" spans="1:59" ht="13.75" customHeight="1">
      <c r="A59" s="171" t="s">
        <v>166</v>
      </c>
      <c r="B59" s="165" t="s">
        <v>167</v>
      </c>
      <c r="C59" s="165"/>
      <c r="D59" s="165" t="s">
        <v>168</v>
      </c>
      <c r="E59" s="167"/>
      <c r="F59" s="168" t="s">
        <v>170</v>
      </c>
      <c r="G59" s="168" t="s">
        <v>4</v>
      </c>
      <c r="H59" s="168"/>
      <c r="I59" s="168"/>
      <c r="U59" s="119">
        <v>169</v>
      </c>
      <c r="V59" s="119">
        <v>132</v>
      </c>
      <c r="W59" s="119">
        <v>108</v>
      </c>
      <c r="X59" s="118">
        <v>100</v>
      </c>
      <c r="Y59" s="118">
        <v>92</v>
      </c>
      <c r="Z59" s="118">
        <v>116</v>
      </c>
      <c r="AA59" s="117">
        <v>133.77083333333334</v>
      </c>
      <c r="AB59" s="119">
        <v>140.02083333333334</v>
      </c>
      <c r="AC59" s="119">
        <v>114.625</v>
      </c>
      <c r="AD59" s="119">
        <v>129.80500686569519</v>
      </c>
      <c r="AE59" s="119">
        <v>136.34877207438129</v>
      </c>
      <c r="AF59" s="119">
        <v>125.19967515376445</v>
      </c>
      <c r="AG59" s="119">
        <v>121.66928742269502</v>
      </c>
      <c r="AH59" s="119">
        <v>122.37387890644379</v>
      </c>
      <c r="AI59" s="119">
        <v>124.7652722945994</v>
      </c>
      <c r="AJ59" s="119">
        <v>127.12619747809744</v>
      </c>
      <c r="AK59" s="119">
        <v>129.52489746453148</v>
      </c>
      <c r="AL59" s="119">
        <v>131.96197665074843</v>
      </c>
      <c r="AM59" s="119">
        <v>134.43804910394485</v>
      </c>
      <c r="AN59" s="119">
        <v>136.63927751483646</v>
      </c>
      <c r="AO59" s="119">
        <v>138.87132312348058</v>
      </c>
      <c r="AP59" s="119">
        <v>141.13461737064569</v>
      </c>
      <c r="AQ59" s="119">
        <v>143.42959773727117</v>
      </c>
      <c r="AR59" s="119">
        <v>145.75670782902932</v>
      </c>
      <c r="AS59" s="119">
        <v>148.11639746207214</v>
      </c>
      <c r="AT59" s="119">
        <v>150.50912274997754</v>
      </c>
      <c r="AU59" s="119">
        <v>152.93534619191365</v>
      </c>
      <c r="AV59" s="119">
        <v>155.39553676203684</v>
      </c>
      <c r="AW59" s="119">
        <v>157.89017000014175</v>
      </c>
      <c r="AX59" s="119">
        <v>160.41972810358013</v>
      </c>
      <c r="AY59" s="119">
        <v>162.98470002046662</v>
      </c>
      <c r="AZ59" s="119">
        <v>165.58558154418955</v>
      </c>
      <c r="BA59" s="119">
        <v>168.22287540924461</v>
      </c>
      <c r="BB59" s="119">
        <v>170.89709138841042</v>
      </c>
      <c r="BC59" s="119">
        <v>173.60874639128457</v>
      </c>
      <c r="BD59" s="119">
        <v>176.35836456419892</v>
      </c>
      <c r="BE59" s="119">
        <v>179.14647739153412</v>
      </c>
      <c r="BF59" s="119">
        <v>181.97362379845197</v>
      </c>
      <c r="BG59" s="119">
        <v>184.84035025506674</v>
      </c>
    </row>
    <row r="60" spans="1:59" ht="13.75" customHeight="1">
      <c r="A60" s="171" t="s">
        <v>166</v>
      </c>
      <c r="B60" s="165" t="s">
        <v>167</v>
      </c>
      <c r="C60" s="165"/>
      <c r="D60" s="165" t="s">
        <v>168</v>
      </c>
      <c r="E60" s="167"/>
      <c r="F60" s="168" t="s">
        <v>171</v>
      </c>
      <c r="G60" s="168" t="s">
        <v>4</v>
      </c>
      <c r="H60" s="168"/>
      <c r="I60" s="168"/>
      <c r="U60" s="119">
        <v>93</v>
      </c>
      <c r="V60" s="119">
        <v>82</v>
      </c>
      <c r="W60" s="119">
        <v>76</v>
      </c>
      <c r="X60" s="118">
        <v>56.7</v>
      </c>
      <c r="Y60" s="117">
        <v>59.41</v>
      </c>
      <c r="Z60" s="117">
        <v>84.29</v>
      </c>
      <c r="AA60" s="117">
        <v>91.98</v>
      </c>
      <c r="AB60" s="117">
        <v>61.44087301587296</v>
      </c>
      <c r="AC60" s="119">
        <v>50.45316205533598</v>
      </c>
      <c r="AD60" s="119">
        <v>120.05</v>
      </c>
      <c r="AE60" s="117">
        <v>290.03916334661346</v>
      </c>
      <c r="AF60" s="117">
        <v>128.97192952508956</v>
      </c>
      <c r="AG60" s="117">
        <v>120</v>
      </c>
      <c r="AH60" s="117">
        <v>108</v>
      </c>
      <c r="AI60" s="117">
        <v>108</v>
      </c>
      <c r="AJ60" s="117">
        <v>109.72800000000001</v>
      </c>
      <c r="AK60" s="117">
        <v>111.48364800000002</v>
      </c>
      <c r="AL60" s="117">
        <v>113.26738636800002</v>
      </c>
      <c r="AM60" s="117">
        <v>115.07966454988802</v>
      </c>
      <c r="AN60" s="117">
        <v>116.46062052448669</v>
      </c>
      <c r="AO60" s="117">
        <v>117.85814797078052</v>
      </c>
      <c r="AP60" s="117">
        <v>119.2724457464299</v>
      </c>
      <c r="AQ60" s="117">
        <v>120.70371509538705</v>
      </c>
      <c r="AR60" s="117">
        <v>122.1521596765317</v>
      </c>
      <c r="AS60" s="117">
        <v>123.61798559265007</v>
      </c>
      <c r="AT60" s="117">
        <v>125.10140141976187</v>
      </c>
      <c r="AU60" s="117">
        <v>126.60261823679902</v>
      </c>
      <c r="AV60" s="117">
        <v>128.1218496556406</v>
      </c>
      <c r="AW60" s="117">
        <v>129.65931185150828</v>
      </c>
      <c r="AX60" s="117">
        <v>131.21522359372639</v>
      </c>
      <c r="AY60" s="117">
        <v>132.78980627685112</v>
      </c>
      <c r="AZ60" s="117">
        <v>134.38328395217334</v>
      </c>
      <c r="BA60" s="117">
        <v>135.99588335959942</v>
      </c>
      <c r="BB60" s="117">
        <v>137.62783395991462</v>
      </c>
      <c r="BC60" s="117">
        <v>139.27936796743361</v>
      </c>
      <c r="BD60" s="117">
        <v>140.95072038304281</v>
      </c>
      <c r="BE60" s="117">
        <v>142.64212902763933</v>
      </c>
      <c r="BF60" s="117">
        <v>144.35383457597101</v>
      </c>
      <c r="BG60" s="117">
        <v>146.08608059088266</v>
      </c>
    </row>
    <row r="61" spans="1:59" ht="13.75" customHeight="1">
      <c r="A61" s="171" t="s">
        <v>166</v>
      </c>
      <c r="B61" s="165" t="s">
        <v>167</v>
      </c>
      <c r="C61" s="165"/>
      <c r="D61" s="165" t="s">
        <v>168</v>
      </c>
      <c r="E61" s="167"/>
      <c r="F61" s="168" t="s">
        <v>172</v>
      </c>
      <c r="G61" s="168" t="s">
        <v>4</v>
      </c>
      <c r="H61" s="168"/>
      <c r="I61" s="168"/>
      <c r="U61" s="119">
        <v>95</v>
      </c>
      <c r="V61" s="119">
        <v>84</v>
      </c>
      <c r="W61" s="119">
        <v>71</v>
      </c>
      <c r="X61" s="118">
        <v>57.73</v>
      </c>
      <c r="Y61" s="117">
        <v>65.42</v>
      </c>
      <c r="Z61" s="117">
        <v>87.53</v>
      </c>
      <c r="AA61" s="117">
        <v>105.78</v>
      </c>
      <c r="AB61" s="117">
        <v>78.498653846153886</v>
      </c>
      <c r="AC61" s="119">
        <v>61.196551724137912</v>
      </c>
      <c r="AD61" s="119">
        <v>132.98158914728685</v>
      </c>
      <c r="AE61" s="117">
        <v>344.61073359073356</v>
      </c>
      <c r="AF61" s="117">
        <v>179.6332692307692</v>
      </c>
      <c r="AG61" s="117">
        <v>160</v>
      </c>
      <c r="AH61" s="117">
        <v>140</v>
      </c>
      <c r="AI61" s="117">
        <v>130</v>
      </c>
      <c r="AJ61" s="117">
        <v>132.08000000000001</v>
      </c>
      <c r="AK61" s="117">
        <v>134.19328000000002</v>
      </c>
      <c r="AL61" s="117">
        <v>136.34037248000001</v>
      </c>
      <c r="AM61" s="117">
        <v>138.52181843968</v>
      </c>
      <c r="AN61" s="117">
        <v>140.18408026095616</v>
      </c>
      <c r="AO61" s="117">
        <v>141.86628922408764</v>
      </c>
      <c r="AP61" s="117">
        <v>143.56868469477669</v>
      </c>
      <c r="AQ61" s="117">
        <v>145.29150891111402</v>
      </c>
      <c r="AR61" s="117">
        <v>147.03500701804739</v>
      </c>
      <c r="AS61" s="117">
        <v>148.79942710226396</v>
      </c>
      <c r="AT61" s="117">
        <v>150.58502022749113</v>
      </c>
      <c r="AU61" s="117">
        <v>152.39204047022102</v>
      </c>
      <c r="AV61" s="117">
        <v>154.22074495586367</v>
      </c>
      <c r="AW61" s="117">
        <v>156.07139389533404</v>
      </c>
      <c r="AX61" s="117">
        <v>157.94425062207804</v>
      </c>
      <c r="AY61" s="117">
        <v>159.83958162954298</v>
      </c>
      <c r="AZ61" s="117">
        <v>161.75765660909749</v>
      </c>
      <c r="BA61" s="117">
        <v>163.69874848840666</v>
      </c>
      <c r="BB61" s="117">
        <v>165.66313347026755</v>
      </c>
      <c r="BC61" s="117">
        <v>167.65109107191077</v>
      </c>
      <c r="BD61" s="117">
        <v>169.66290416477369</v>
      </c>
      <c r="BE61" s="117">
        <v>171.69885901475098</v>
      </c>
      <c r="BF61" s="117">
        <v>173.759245322928</v>
      </c>
      <c r="BG61" s="117">
        <v>175.84435626680315</v>
      </c>
    </row>
    <row r="62" spans="1:59" ht="13.75" customHeight="1" outlineLevel="1">
      <c r="A62" s="171"/>
      <c r="B62" s="165"/>
      <c r="C62" s="165"/>
      <c r="D62" s="165"/>
      <c r="E62" s="167"/>
      <c r="F62" s="168"/>
      <c r="G62" s="168"/>
      <c r="H62" s="168"/>
      <c r="I62" s="168"/>
      <c r="U62" s="119"/>
      <c r="V62" s="119"/>
      <c r="W62" s="119"/>
      <c r="X62" s="120"/>
      <c r="Y62" s="120"/>
      <c r="Z62" s="120"/>
      <c r="AA62" s="120"/>
      <c r="AB62" s="119"/>
      <c r="AC62" s="119"/>
      <c r="AD62" s="119"/>
      <c r="AE62" s="119"/>
      <c r="AF62" s="119"/>
      <c r="AG62" s="119"/>
      <c r="AH62" s="119"/>
    </row>
    <row r="63" spans="1:59" ht="13.75" customHeight="1">
      <c r="A63" s="171" t="s">
        <v>166</v>
      </c>
      <c r="B63" s="165" t="s">
        <v>173</v>
      </c>
      <c r="C63" s="165" t="s">
        <v>174</v>
      </c>
      <c r="D63" s="165" t="s">
        <v>168</v>
      </c>
      <c r="E63" s="167"/>
      <c r="F63" s="168" t="s">
        <v>175</v>
      </c>
      <c r="G63" s="168" t="s">
        <v>4</v>
      </c>
      <c r="H63" s="168"/>
      <c r="I63" s="168"/>
      <c r="U63" s="119">
        <v>2052</v>
      </c>
      <c r="V63" s="119">
        <v>1888</v>
      </c>
      <c r="W63" s="119">
        <v>1895</v>
      </c>
      <c r="X63" s="118">
        <v>1681</v>
      </c>
      <c r="Y63" s="118">
        <v>1611</v>
      </c>
      <c r="Z63" s="118">
        <v>2111</v>
      </c>
      <c r="AA63" s="118">
        <v>2114</v>
      </c>
      <c r="AB63" s="119">
        <v>1794</v>
      </c>
      <c r="AC63" s="119">
        <v>1706</v>
      </c>
      <c r="AD63" s="119">
        <v>2477</v>
      </c>
      <c r="AE63" s="119">
        <v>2701</v>
      </c>
      <c r="AF63" s="119">
        <v>2252.6109072597792</v>
      </c>
      <c r="AG63" s="119">
        <v>2360</v>
      </c>
      <c r="AH63" s="119">
        <v>2550</v>
      </c>
      <c r="AI63" s="119">
        <v>2693.6546690117821</v>
      </c>
      <c r="AJ63" s="119">
        <v>2736.7531437159705</v>
      </c>
      <c r="AK63" s="119">
        <v>2780.5411940154263</v>
      </c>
      <c r="AL63" s="119">
        <v>2825.0298531196731</v>
      </c>
      <c r="AM63" s="119">
        <v>2870.2303307695879</v>
      </c>
      <c r="AN63" s="119">
        <v>2904.6730947388228</v>
      </c>
      <c r="AO63" s="119">
        <v>2939.5291718756885</v>
      </c>
      <c r="AP63" s="119">
        <v>2974.8035219381968</v>
      </c>
      <c r="AQ63" s="119">
        <v>3010.5011642014551</v>
      </c>
      <c r="AR63" s="119">
        <v>3046.6271781718729</v>
      </c>
      <c r="AS63" s="119">
        <v>3083.1867043099355</v>
      </c>
      <c r="AT63" s="119">
        <v>3120.1849447616546</v>
      </c>
      <c r="AU63" s="119">
        <v>3157.6271640987943</v>
      </c>
      <c r="AV63" s="119">
        <v>3195.5186900679801</v>
      </c>
      <c r="AW63" s="119">
        <v>3233.864914348796</v>
      </c>
      <c r="AX63" s="119">
        <v>3272.6712933209815</v>
      </c>
      <c r="AY63" s="119">
        <v>3311.9433488408331</v>
      </c>
      <c r="AZ63" s="119">
        <v>3351.686669026923</v>
      </c>
      <c r="BA63" s="119">
        <v>3391.9069090552462</v>
      </c>
      <c r="BB63" s="119">
        <v>3432.6097919639092</v>
      </c>
      <c r="BC63" s="119">
        <v>3473.8011094674762</v>
      </c>
      <c r="BD63" s="119">
        <v>3515.486722781086</v>
      </c>
      <c r="BE63" s="119">
        <v>3557.6725634544591</v>
      </c>
      <c r="BF63" s="119">
        <v>3600.3646342159127</v>
      </c>
      <c r="BG63" s="119">
        <v>3643.5690098265036</v>
      </c>
    </row>
    <row r="64" spans="1:59" ht="13.75" customHeight="1">
      <c r="A64" s="171" t="s">
        <v>166</v>
      </c>
      <c r="B64" s="165" t="s">
        <v>173</v>
      </c>
      <c r="C64" s="165" t="s">
        <v>176</v>
      </c>
      <c r="D64" s="165" t="s">
        <v>168</v>
      </c>
      <c r="E64" s="167"/>
      <c r="F64" s="168" t="s">
        <v>177</v>
      </c>
      <c r="G64" s="168" t="s">
        <v>4</v>
      </c>
      <c r="H64" s="168"/>
      <c r="I64" s="168"/>
      <c r="U64" s="119">
        <v>634</v>
      </c>
      <c r="V64" s="119">
        <v>543</v>
      </c>
      <c r="W64" s="119">
        <v>489</v>
      </c>
      <c r="X64" s="118">
        <v>332.18515662994662</v>
      </c>
      <c r="Y64" s="118">
        <v>363.50507929756145</v>
      </c>
      <c r="Z64" s="118">
        <v>451.97061747756311</v>
      </c>
      <c r="AA64" s="118">
        <v>501.82639263071042</v>
      </c>
      <c r="AB64" s="119">
        <v>493.82920670833295</v>
      </c>
      <c r="AC64" s="119">
        <v>423.67847260472058</v>
      </c>
      <c r="AD64" s="119">
        <v>718.47756102481583</v>
      </c>
      <c r="AE64" s="119">
        <v>644.36337077487042</v>
      </c>
      <c r="AF64" s="119">
        <v>525.88468019517268</v>
      </c>
      <c r="AG64" s="119">
        <v>533.77865431643818</v>
      </c>
      <c r="AH64" s="119">
        <v>534.0464218012678</v>
      </c>
      <c r="AI64" s="119">
        <v>538.27765858978307</v>
      </c>
      <c r="AJ64" s="119">
        <v>536.12777277792168</v>
      </c>
      <c r="AK64" s="119">
        <v>544.09393619618038</v>
      </c>
      <c r="AL64" s="119">
        <v>552.17787189588466</v>
      </c>
      <c r="AM64" s="119">
        <v>560.38132862487214</v>
      </c>
      <c r="AN64" s="119">
        <v>568.70608121242435</v>
      </c>
      <c r="AO64" s="119">
        <v>577.15393095999127</v>
      </c>
      <c r="AP64" s="119">
        <v>585.72670603779363</v>
      </c>
      <c r="AQ64" s="119">
        <v>594.42626188739507</v>
      </c>
      <c r="AR64" s="119">
        <v>603.25448163033207</v>
      </c>
      <c r="AS64" s="119">
        <v>612.21327648289434</v>
      </c>
      <c r="AT64" s="119">
        <v>621.30458617714839</v>
      </c>
      <c r="AU64" s="119">
        <v>630.53037938829766</v>
      </c>
      <c r="AV64" s="119">
        <v>639.89265416847797</v>
      </c>
      <c r="AW64" s="119">
        <v>649.39343838708055</v>
      </c>
      <c r="AX64" s="119">
        <v>659.03479017770758</v>
      </c>
      <c r="AY64" s="119">
        <v>668.81879839185467</v>
      </c>
      <c r="AZ64" s="119">
        <v>678.74758305942646</v>
      </c>
      <c r="BA64" s="119">
        <v>688.8232958561855</v>
      </c>
      <c r="BB64" s="119">
        <v>699.04812057824199</v>
      </c>
      <c r="BC64" s="119">
        <v>709.42427362368835</v>
      </c>
      <c r="BD64" s="119">
        <v>719.95400448148871</v>
      </c>
      <c r="BE64" s="119">
        <v>730.63959622773132</v>
      </c>
      <c r="BF64" s="119">
        <v>741.4833660293574</v>
      </c>
      <c r="BG64" s="119">
        <v>752.48766565547726</v>
      </c>
    </row>
    <row r="65" spans="1:59" ht="13.75" customHeight="1">
      <c r="A65" s="171" t="s">
        <v>166</v>
      </c>
      <c r="B65" s="165" t="s">
        <v>173</v>
      </c>
      <c r="C65" s="165" t="s">
        <v>176</v>
      </c>
      <c r="D65" s="165" t="s">
        <v>168</v>
      </c>
      <c r="E65" s="167"/>
      <c r="F65" s="168" t="s">
        <v>178</v>
      </c>
      <c r="G65" s="168" t="s">
        <v>4</v>
      </c>
      <c r="H65" s="168"/>
      <c r="I65" s="168"/>
      <c r="U65" s="119">
        <v>619</v>
      </c>
      <c r="V65" s="119">
        <v>586</v>
      </c>
      <c r="W65" s="119">
        <v>527</v>
      </c>
      <c r="X65" s="118">
        <v>361.41666666666669</v>
      </c>
      <c r="Y65" s="118">
        <v>372.83333333333331</v>
      </c>
      <c r="Z65" s="118">
        <v>465.5</v>
      </c>
      <c r="AA65" s="118">
        <v>530.41666666666663</v>
      </c>
      <c r="AB65" s="119">
        <v>449</v>
      </c>
      <c r="AC65" s="119">
        <v>445.08333333333331</v>
      </c>
      <c r="AD65" s="119">
        <v>705.41666666666663</v>
      </c>
      <c r="AE65" s="119">
        <v>642.41666666666663</v>
      </c>
      <c r="AF65" s="119">
        <v>536.91666666666674</v>
      </c>
      <c r="AG65" s="119">
        <v>543.77865431643818</v>
      </c>
      <c r="AH65" s="119">
        <v>539.0464218012678</v>
      </c>
      <c r="AI65" s="119">
        <v>543.27765858978307</v>
      </c>
      <c r="AJ65" s="119">
        <v>541.12777277792168</v>
      </c>
      <c r="AK65" s="119">
        <v>549.09393619618038</v>
      </c>
      <c r="AL65" s="119">
        <v>557.17787189588466</v>
      </c>
      <c r="AM65" s="119">
        <v>565.38132862487214</v>
      </c>
      <c r="AN65" s="119">
        <v>573.70608121242435</v>
      </c>
      <c r="AO65" s="119">
        <v>582.15393095999127</v>
      </c>
      <c r="AP65" s="119">
        <v>590.72670603779363</v>
      </c>
      <c r="AQ65" s="119">
        <v>599.42626188739507</v>
      </c>
      <c r="AR65" s="119">
        <v>608.25448163033207</v>
      </c>
      <c r="AS65" s="119">
        <v>617.21327648289434</v>
      </c>
      <c r="AT65" s="119">
        <v>626.30458617714839</v>
      </c>
      <c r="AU65" s="119">
        <v>635.53037938829766</v>
      </c>
      <c r="AV65" s="119">
        <v>644.89265416847797</v>
      </c>
      <c r="AW65" s="119">
        <v>654.39343838708055</v>
      </c>
      <c r="AX65" s="119">
        <v>664.03479017770758</v>
      </c>
      <c r="AY65" s="119">
        <v>673.81879839185467</v>
      </c>
      <c r="AZ65" s="119">
        <v>683.74758305942646</v>
      </c>
      <c r="BA65" s="119">
        <v>693.8232958561855</v>
      </c>
      <c r="BB65" s="119">
        <v>704.04812057824199</v>
      </c>
      <c r="BC65" s="119">
        <v>714.42427362368835</v>
      </c>
      <c r="BD65" s="119">
        <v>724.95400448148871</v>
      </c>
      <c r="BE65" s="119">
        <v>735.63959622773132</v>
      </c>
      <c r="BF65" s="119">
        <v>746.4833660293574</v>
      </c>
      <c r="BG65" s="119">
        <v>757.48766565547726</v>
      </c>
    </row>
    <row r="66" spans="1:59" ht="13.75" customHeight="1">
      <c r="A66" s="171" t="s">
        <v>166</v>
      </c>
      <c r="B66" s="165" t="s">
        <v>173</v>
      </c>
      <c r="C66" s="165" t="s">
        <v>179</v>
      </c>
      <c r="D66" s="165" t="s">
        <v>168</v>
      </c>
      <c r="E66" s="167"/>
      <c r="F66" s="168" t="s">
        <v>180</v>
      </c>
      <c r="G66" s="168" t="s">
        <v>4</v>
      </c>
      <c r="H66" s="168"/>
      <c r="I66" s="168" t="s">
        <v>181</v>
      </c>
      <c r="U66" s="119">
        <v>1288.809462504023</v>
      </c>
      <c r="V66" s="119">
        <v>1218.3526084223759</v>
      </c>
      <c r="W66" s="119">
        <v>1040.3367875647668</v>
      </c>
      <c r="X66" s="118">
        <v>1078</v>
      </c>
      <c r="Y66" s="118">
        <v>970</v>
      </c>
      <c r="Z66" s="118">
        <v>1152</v>
      </c>
      <c r="AA66" s="118">
        <v>1294</v>
      </c>
      <c r="AB66" s="118">
        <v>1300</v>
      </c>
      <c r="AC66" s="118">
        <v>1166</v>
      </c>
      <c r="AD66" s="118">
        <v>1149</v>
      </c>
      <c r="AE66" s="118">
        <v>1241.1373005604119</v>
      </c>
      <c r="AF66" s="118">
        <v>1182.7746891243269</v>
      </c>
      <c r="AG66" s="118">
        <v>1137.0669169651774</v>
      </c>
      <c r="AH66" s="118">
        <v>1128.9183693535613</v>
      </c>
      <c r="AI66" s="118">
        <v>1133.3054984479713</v>
      </c>
      <c r="AJ66" s="118">
        <v>1133.5707720568689</v>
      </c>
      <c r="AK66" s="118">
        <v>1140.3023547418761</v>
      </c>
      <c r="AL66" s="118">
        <v>1167.1124650076981</v>
      </c>
      <c r="AM66" s="118">
        <v>1174.0022266782553</v>
      </c>
      <c r="AN66" s="118">
        <v>1180.9727802537493</v>
      </c>
      <c r="AO66" s="118">
        <v>1188.0252831603198</v>
      </c>
      <c r="AP66" s="118">
        <v>1195.1609100034543</v>
      </c>
      <c r="AQ66" s="118">
        <v>1202.3808528252139</v>
      </c>
      <c r="AR66" s="118">
        <v>1209.6863213653289</v>
      </c>
      <c r="AS66" s="118">
        <v>1217.0785433262245</v>
      </c>
      <c r="AT66" s="118">
        <v>1224.5587646420331</v>
      </c>
      <c r="AU66" s="118">
        <v>1232.1282497516586</v>
      </c>
      <c r="AV66" s="118">
        <v>1239.7882818759476</v>
      </c>
      <c r="AW66" s="118">
        <v>1247.5401632990361</v>
      </c>
      <c r="AX66" s="118">
        <v>1255.3852156539288</v>
      </c>
      <c r="AY66" s="118">
        <v>1263.3247802123815</v>
      </c>
      <c r="AZ66" s="118">
        <v>1271.360218179143</v>
      </c>
      <c r="BA66" s="118">
        <v>1279.4929109906325</v>
      </c>
      <c r="BB66" s="118">
        <v>1287.7242606181114</v>
      </c>
      <c r="BC66" s="118">
        <v>1296.0556898754216</v>
      </c>
      <c r="BD66" s="118">
        <v>1304.4886427313593</v>
      </c>
      <c r="BE66" s="118">
        <v>1313.0245846267505</v>
      </c>
      <c r="BF66" s="118">
        <v>1321.6650027963074</v>
      </c>
      <c r="BG66" s="118">
        <v>1330.4114065953281</v>
      </c>
    </row>
    <row r="67" spans="1:59" ht="13.75" customHeight="1">
      <c r="A67" s="171" t="s">
        <v>166</v>
      </c>
      <c r="B67" s="165" t="s">
        <v>173</v>
      </c>
      <c r="C67" s="165" t="s">
        <v>176</v>
      </c>
      <c r="D67" s="165" t="s">
        <v>168</v>
      </c>
      <c r="E67" s="167"/>
      <c r="F67" s="168" t="s">
        <v>182</v>
      </c>
      <c r="G67" s="168" t="s">
        <v>4</v>
      </c>
      <c r="H67" s="168"/>
      <c r="I67" s="168" t="s">
        <v>181</v>
      </c>
      <c r="U67" s="119">
        <v>395</v>
      </c>
      <c r="V67" s="119">
        <v>369</v>
      </c>
      <c r="W67" s="119">
        <v>370</v>
      </c>
      <c r="X67" s="118">
        <v>262</v>
      </c>
      <c r="Y67" s="118">
        <v>216.90683358824506</v>
      </c>
      <c r="Z67" s="118">
        <v>219.89667083788646</v>
      </c>
      <c r="AA67" s="118">
        <v>272.25247867111841</v>
      </c>
      <c r="AB67" s="119">
        <v>242</v>
      </c>
      <c r="AC67" s="119">
        <v>217</v>
      </c>
      <c r="AD67" s="119">
        <v>414</v>
      </c>
      <c r="AE67" s="119">
        <v>326</v>
      </c>
      <c r="AF67" s="119">
        <v>246.36336816394464</v>
      </c>
      <c r="AG67" s="119">
        <v>244.49895076506598</v>
      </c>
      <c r="AH67" s="119">
        <v>249.18787978059004</v>
      </c>
      <c r="AI67" s="119">
        <v>251.66233016356585</v>
      </c>
      <c r="AJ67" s="119">
        <v>250.40404656332049</v>
      </c>
      <c r="AK67" s="119">
        <v>255.06331580758706</v>
      </c>
      <c r="AL67" s="119">
        <v>259.79147257954583</v>
      </c>
      <c r="AM67" s="119">
        <v>264.58953979626745</v>
      </c>
      <c r="AN67" s="119">
        <v>269.45890182025829</v>
      </c>
      <c r="AO67" s="119">
        <v>274.4002702753188</v>
      </c>
      <c r="AP67" s="119">
        <v>279.41471457574488</v>
      </c>
      <c r="AQ67" s="119">
        <v>284.50332008865485</v>
      </c>
      <c r="AR67" s="119">
        <v>289.66718837302409</v>
      </c>
      <c r="AS67" s="119">
        <v>294.90743742231837</v>
      </c>
      <c r="AT67" s="119">
        <v>300.22520191077831</v>
      </c>
      <c r="AU67" s="119">
        <v>305.62163344341172</v>
      </c>
      <c r="AV67" s="119">
        <v>311.09790080974875</v>
      </c>
      <c r="AW67" s="119">
        <v>316.6551902414169</v>
      </c>
      <c r="AX67" s="119">
        <v>322.29470567359573</v>
      </c>
      <c r="AY67" s="119">
        <v>328.01766901040526</v>
      </c>
      <c r="AZ67" s="119">
        <v>333.82532039429299</v>
      </c>
      <c r="BA67" s="119">
        <v>339.71891847947626</v>
      </c>
      <c r="BB67" s="119">
        <v>345.69974070950263</v>
      </c>
      <c r="BC67" s="119">
        <v>351.76945115111999</v>
      </c>
      <c r="BD67" s="119">
        <v>357.92899959408157</v>
      </c>
      <c r="BE67" s="119">
        <v>364.17972156328887</v>
      </c>
      <c r="BF67" s="119">
        <v>370.52297252567797</v>
      </c>
      <c r="BG67" s="119">
        <v>376.96012818932331</v>
      </c>
    </row>
    <row r="68" spans="1:59" ht="13.75" customHeight="1">
      <c r="A68" s="171" t="s">
        <v>166</v>
      </c>
      <c r="B68" s="165" t="s">
        <v>173</v>
      </c>
      <c r="C68" s="165" t="s">
        <v>176</v>
      </c>
      <c r="D68" s="165" t="s">
        <v>168</v>
      </c>
      <c r="E68" s="167"/>
      <c r="F68" s="168" t="s">
        <v>183</v>
      </c>
      <c r="G68" s="168" t="s">
        <v>4</v>
      </c>
      <c r="H68" s="168"/>
      <c r="I68" s="168" t="s">
        <v>181</v>
      </c>
      <c r="U68" s="119">
        <v>371</v>
      </c>
      <c r="V68" s="119">
        <v>350</v>
      </c>
      <c r="W68" s="119">
        <v>363</v>
      </c>
      <c r="X68" s="118">
        <v>257</v>
      </c>
      <c r="Y68" s="118">
        <v>236</v>
      </c>
      <c r="Z68" s="118">
        <v>240</v>
      </c>
      <c r="AA68" s="118">
        <v>297</v>
      </c>
      <c r="AB68" s="119">
        <v>262</v>
      </c>
      <c r="AC68" s="119">
        <v>256</v>
      </c>
      <c r="AD68" s="119">
        <v>435</v>
      </c>
      <c r="AE68" s="119">
        <v>363</v>
      </c>
      <c r="AF68" s="119">
        <v>281.16666666666669</v>
      </c>
      <c r="AG68" s="119">
        <v>288.86979665672834</v>
      </c>
      <c r="AH68" s="119">
        <v>291.086130471334</v>
      </c>
      <c r="AI68" s="119">
        <v>293.57509328810772</v>
      </c>
      <c r="AJ68" s="119">
        <v>292.31045457524806</v>
      </c>
      <c r="AK68" s="119">
        <v>296.99643305657668</v>
      </c>
      <c r="AL68" s="119">
        <v>301.75168935052039</v>
      </c>
      <c r="AM68" s="119">
        <v>306.57725213227775</v>
      </c>
      <c r="AN68" s="119">
        <v>311.47416541907313</v>
      </c>
      <c r="AO68" s="119">
        <v>316.4434887999949</v>
      </c>
      <c r="AP68" s="119">
        <v>321.48629766929037</v>
      </c>
      <c r="AQ68" s="119">
        <v>326.60368346317358</v>
      </c>
      <c r="AR68" s="119">
        <v>331.79675390019537</v>
      </c>
      <c r="AS68" s="119">
        <v>337.06663322523195</v>
      </c>
      <c r="AT68" s="119">
        <v>342.4144624571461</v>
      </c>
      <c r="AU68" s="119">
        <v>347.8413996401751</v>
      </c>
      <c r="AV68" s="119">
        <v>353.34862009910472</v>
      </c>
      <c r="AW68" s="119">
        <v>358.9373166982827</v>
      </c>
      <c r="AX68" s="119">
        <v>364.60870010453385</v>
      </c>
      <c r="AY68" s="119">
        <v>370.36399905403215</v>
      </c>
      <c r="AZ68" s="119">
        <v>376.20446062319206</v>
      </c>
      <c r="BA68" s="119">
        <v>382.13135050363854</v>
      </c>
      <c r="BB68" s="119">
        <v>388.14595328131884</v>
      </c>
      <c r="BC68" s="119">
        <v>394.24957271981668</v>
      </c>
      <c r="BD68" s="119">
        <v>400.44353204793453</v>
      </c>
      <c r="BE68" s="119">
        <v>406.72917425160665</v>
      </c>
      <c r="BF68" s="119">
        <v>413.10786237021023</v>
      </c>
      <c r="BG68" s="119">
        <v>419.58097979733958</v>
      </c>
    </row>
    <row r="69" spans="1:59" ht="13.75" customHeight="1">
      <c r="A69" s="171" t="s">
        <v>166</v>
      </c>
      <c r="B69" s="165" t="s">
        <v>173</v>
      </c>
      <c r="C69" s="165" t="s">
        <v>176</v>
      </c>
      <c r="D69" s="165" t="s">
        <v>168</v>
      </c>
      <c r="E69" s="167"/>
      <c r="F69" s="168" t="s">
        <v>184</v>
      </c>
      <c r="G69" s="168" t="s">
        <v>4</v>
      </c>
      <c r="H69" s="168"/>
      <c r="I69" s="168"/>
      <c r="U69" s="119">
        <v>561</v>
      </c>
      <c r="V69" s="119">
        <v>509</v>
      </c>
      <c r="W69" s="119">
        <v>477</v>
      </c>
      <c r="X69" s="118">
        <v>0</v>
      </c>
      <c r="Y69" s="118">
        <v>424</v>
      </c>
      <c r="Z69" s="118">
        <v>534</v>
      </c>
      <c r="AA69" s="118">
        <v>549.21675752137571</v>
      </c>
      <c r="AB69" s="119">
        <v>527</v>
      </c>
      <c r="AC69" s="119">
        <v>478</v>
      </c>
      <c r="AD69" s="119">
        <v>895</v>
      </c>
      <c r="AE69" s="119">
        <v>787.25497291335125</v>
      </c>
      <c r="AF69" s="119">
        <v>658.98539599572189</v>
      </c>
      <c r="AG69" s="119">
        <v>664.48629494939667</v>
      </c>
      <c r="AH69" s="119">
        <v>657.02548470702618</v>
      </c>
      <c r="AI69" s="119">
        <v>673.38323719090715</v>
      </c>
      <c r="AJ69" s="119">
        <v>682.47699893711331</v>
      </c>
      <c r="AK69" s="119">
        <v>692.32905051410421</v>
      </c>
      <c r="AL69" s="119">
        <v>702.32378879064299</v>
      </c>
      <c r="AM69" s="119">
        <v>712.46328750816269</v>
      </c>
      <c r="AN69" s="119">
        <v>722.74965065851893</v>
      </c>
      <c r="AO69" s="119">
        <v>733.18501292698397</v>
      </c>
      <c r="AP69" s="119">
        <v>743.77154014175562</v>
      </c>
      <c r="AQ69" s="119">
        <v>754.51142973007472</v>
      </c>
      <c r="AR69" s="119">
        <v>765.40691118105156</v>
      </c>
      <c r="AS69" s="119">
        <v>776.46024651529819</v>
      </c>
      <c r="AT69" s="119">
        <v>787.67373076146771</v>
      </c>
      <c r="AU69" s="119">
        <v>799.04969243980281</v>
      </c>
      <c r="AV69" s="119">
        <v>810.59049405279734</v>
      </c>
      <c r="AW69" s="119">
        <v>822.29853258307548</v>
      </c>
      <c r="AX69" s="119">
        <v>834.17623999859393</v>
      </c>
      <c r="AY69" s="119">
        <v>846.22608376527933</v>
      </c>
      <c r="AZ69" s="119">
        <v>858.45056736720551</v>
      </c>
      <c r="BA69" s="119">
        <v>870.85223083442611</v>
      </c>
      <c r="BB69" s="119">
        <v>883.43365127857317</v>
      </c>
      <c r="BC69" s="119">
        <v>896.19744343633761</v>
      </c>
      <c r="BD69" s="119">
        <v>909.14626022094876</v>
      </c>
      <c r="BE69" s="119">
        <v>922.28279328176848</v>
      </c>
      <c r="BF69" s="119">
        <v>935.60977357212323</v>
      </c>
      <c r="BG69" s="119">
        <v>949.12997192549346</v>
      </c>
    </row>
    <row r="70" spans="1:59" ht="13.75" customHeight="1">
      <c r="A70" s="171" t="s">
        <v>166</v>
      </c>
      <c r="B70" s="165" t="s">
        <v>173</v>
      </c>
      <c r="C70" s="165" t="s">
        <v>176</v>
      </c>
      <c r="D70" s="165" t="s">
        <v>168</v>
      </c>
      <c r="E70" s="167"/>
      <c r="F70" s="168" t="s">
        <v>185</v>
      </c>
      <c r="G70" s="168" t="s">
        <v>4</v>
      </c>
      <c r="H70" s="168"/>
      <c r="I70" s="168"/>
      <c r="U70" s="119">
        <v>581</v>
      </c>
      <c r="V70" s="119">
        <v>543</v>
      </c>
      <c r="W70" s="119">
        <v>522</v>
      </c>
      <c r="X70" s="118">
        <v>349.83333333333331</v>
      </c>
      <c r="Y70" s="118">
        <v>388.83333333333331</v>
      </c>
      <c r="Z70" s="118">
        <v>503.75</v>
      </c>
      <c r="AA70" s="118">
        <v>555.16666666666663</v>
      </c>
      <c r="AB70" s="118">
        <v>464</v>
      </c>
      <c r="AC70" s="118">
        <v>471</v>
      </c>
      <c r="AD70" s="118">
        <v>860</v>
      </c>
      <c r="AE70" s="118">
        <v>705.91666666666663</v>
      </c>
      <c r="AF70" s="118">
        <v>584.08333333333337</v>
      </c>
      <c r="AG70" s="118">
        <v>611.61688459923653</v>
      </c>
      <c r="AH70" s="118">
        <v>607.01518789116244</v>
      </c>
      <c r="AI70" s="118">
        <v>606.38072977965192</v>
      </c>
      <c r="AJ70" s="118">
        <v>604.73214542530604</v>
      </c>
      <c r="AK70" s="118">
        <v>614.1095354333296</v>
      </c>
      <c r="AL70" s="118">
        <v>623.63278714101864</v>
      </c>
      <c r="AM70" s="118">
        <v>633.30417586400131</v>
      </c>
      <c r="AN70" s="118">
        <v>663.12601250435387</v>
      </c>
      <c r="AO70" s="118">
        <v>673.1006441085234</v>
      </c>
      <c r="AP70" s="118">
        <v>683.23045443401713</v>
      </c>
      <c r="AQ70" s="118">
        <v>693.51786452499528</v>
      </c>
      <c r="AR70" s="118">
        <v>703.96533329690965</v>
      </c>
      <c r="AS70" s="118">
        <v>714.57535813032769</v>
      </c>
      <c r="AT70" s="118">
        <v>725.35047547408999</v>
      </c>
      <c r="AU70" s="118">
        <v>736.2932614579438</v>
      </c>
      <c r="AV70" s="118">
        <v>747.40633251480699</v>
      </c>
      <c r="AW70" s="118">
        <v>758.69234601280959</v>
      </c>
      <c r="AX70" s="118">
        <v>770.15400089726904</v>
      </c>
      <c r="AY70" s="118">
        <v>781.79403834275536</v>
      </c>
      <c r="AZ70" s="118">
        <v>793.61524241540519</v>
      </c>
      <c r="BA70" s="118">
        <v>805.62044074564574</v>
      </c>
      <c r="BB70" s="118">
        <v>817.81250521149241</v>
      </c>
      <c r="BC70" s="118">
        <v>830.19435263258765</v>
      </c>
      <c r="BD70" s="118">
        <v>842.76894547514826</v>
      </c>
      <c r="BE70" s="118">
        <v>855.53929256799597</v>
      </c>
      <c r="BF70" s="118">
        <v>868.50844982984268</v>
      </c>
      <c r="BG70" s="118">
        <v>881.67952100800971</v>
      </c>
    </row>
    <row r="71" spans="1:59" ht="13.75" customHeight="1">
      <c r="A71" s="171" t="s">
        <v>166</v>
      </c>
      <c r="B71" s="165" t="s">
        <v>173</v>
      </c>
      <c r="C71" s="165" t="s">
        <v>176</v>
      </c>
      <c r="D71" s="165" t="s">
        <v>168</v>
      </c>
      <c r="E71" s="167"/>
      <c r="F71" s="168" t="s">
        <v>186</v>
      </c>
      <c r="G71" s="168" t="s">
        <v>4</v>
      </c>
      <c r="H71" s="168"/>
      <c r="I71" s="168"/>
      <c r="U71" s="119">
        <v>957</v>
      </c>
      <c r="V71" s="119">
        <v>815</v>
      </c>
      <c r="W71" s="119">
        <v>716</v>
      </c>
      <c r="X71" s="118">
        <v>562</v>
      </c>
      <c r="Y71" s="118">
        <v>647</v>
      </c>
      <c r="Z71" s="118">
        <v>700</v>
      </c>
      <c r="AA71" s="118">
        <v>769</v>
      </c>
      <c r="AB71" s="119">
        <v>732</v>
      </c>
      <c r="AC71" s="119">
        <v>714</v>
      </c>
      <c r="AD71" s="119">
        <v>1161</v>
      </c>
      <c r="AE71" s="119">
        <v>999.39553675450816</v>
      </c>
      <c r="AF71" s="119">
        <v>824.13168534793385</v>
      </c>
      <c r="AG71" s="119">
        <v>874.01286116320273</v>
      </c>
      <c r="AH71" s="119">
        <v>870.00367842922424</v>
      </c>
      <c r="AI71" s="119">
        <v>889.86991866920698</v>
      </c>
      <c r="AJ71" s="119">
        <v>902.42746731906595</v>
      </c>
      <c r="AK71" s="119">
        <v>915.79872639016821</v>
      </c>
      <c r="AL71" s="119">
        <v>929.36897948072397</v>
      </c>
      <c r="AM71" s="119">
        <v>943.1412012492849</v>
      </c>
      <c r="AN71" s="119">
        <v>957.11841101949915</v>
      </c>
      <c r="AO71" s="119">
        <v>971.30367345373986</v>
      </c>
      <c r="AP71" s="119">
        <v>985.70009923693965</v>
      </c>
      <c r="AQ71" s="119">
        <v>1000.3108457707817</v>
      </c>
      <c r="AR71" s="119">
        <v>1015.1391178784098</v>
      </c>
      <c r="AS71" s="119">
        <v>1030.1881685198141</v>
      </c>
      <c r="AT71" s="119">
        <v>1045.461299518056</v>
      </c>
      <c r="AU71" s="119">
        <v>1060.9618622964965</v>
      </c>
      <c r="AV71" s="119">
        <v>1076.6932586271982</v>
      </c>
      <c r="AW71" s="119">
        <v>1092.6589413906668</v>
      </c>
      <c r="AX71" s="119">
        <v>1108.8624153471064</v>
      </c>
      <c r="AY71" s="119">
        <v>1125.3072379193682</v>
      </c>
      <c r="AZ71" s="119">
        <v>1141.9970199877598</v>
      </c>
      <c r="BA71" s="119">
        <v>1158.9354266969092</v>
      </c>
      <c r="BB71" s="119">
        <v>1176.1261782748559</v>
      </c>
      <c r="BC71" s="119">
        <v>1193.5730508645611</v>
      </c>
      <c r="BD71" s="119">
        <v>1211.2798773680238</v>
      </c>
      <c r="BE71" s="119">
        <v>1229.2505483031966</v>
      </c>
      <c r="BF71" s="119">
        <v>1247.4890126738944</v>
      </c>
      <c r="BG71" s="119">
        <v>1265.9992788528928</v>
      </c>
    </row>
    <row r="72" spans="1:59" ht="13.75" customHeight="1">
      <c r="A72" s="171" t="s">
        <v>166</v>
      </c>
      <c r="B72" s="165" t="s">
        <v>173</v>
      </c>
      <c r="C72" s="165" t="s">
        <v>176</v>
      </c>
      <c r="D72" s="165" t="s">
        <v>168</v>
      </c>
      <c r="E72" s="167"/>
      <c r="F72" s="168" t="s">
        <v>187</v>
      </c>
      <c r="G72" s="168" t="s">
        <v>4</v>
      </c>
      <c r="H72" s="168"/>
      <c r="I72" s="168"/>
      <c r="U72" s="119">
        <v>737.64407700208335</v>
      </c>
      <c r="V72" s="119">
        <v>692.30197291666661</v>
      </c>
      <c r="W72" s="119">
        <v>649.52198020833328</v>
      </c>
      <c r="X72" s="118">
        <v>613</v>
      </c>
      <c r="Y72" s="118">
        <v>657</v>
      </c>
      <c r="Z72" s="118">
        <v>735</v>
      </c>
      <c r="AA72" s="118">
        <v>760.125</v>
      </c>
      <c r="AB72" s="119">
        <v>647</v>
      </c>
      <c r="AC72" s="119">
        <v>663</v>
      </c>
      <c r="AD72" s="119">
        <v>1164</v>
      </c>
      <c r="AE72" s="119">
        <v>1023.3417330969603</v>
      </c>
      <c r="AF72" s="119">
        <v>816.80216142193763</v>
      </c>
      <c r="AG72" s="119">
        <v>878.63106849014127</v>
      </c>
      <c r="AH72" s="119">
        <v>870.96790795869686</v>
      </c>
      <c r="AI72" s="119">
        <v>907.01840036625345</v>
      </c>
      <c r="AJ72" s="119">
        <v>929.52063070523707</v>
      </c>
      <c r="AK72" s="119">
        <v>942.55612430329654</v>
      </c>
      <c r="AL72" s="119">
        <v>955.77447008801971</v>
      </c>
      <c r="AM72" s="119">
        <v>969.17823367444043</v>
      </c>
      <c r="AN72" s="119">
        <v>962.77001668715423</v>
      </c>
      <c r="AO72" s="119">
        <v>976.55245726590624</v>
      </c>
      <c r="AP72" s="119">
        <v>990.52823057828323</v>
      </c>
      <c r="AQ72" s="119">
        <v>1004.700049339604</v>
      </c>
      <c r="AR72" s="119">
        <v>1019.0706643401144</v>
      </c>
      <c r="AS72" s="119">
        <v>1033.6428649795882</v>
      </c>
      <c r="AT72" s="119">
        <v>1048.4194798094343</v>
      </c>
      <c r="AU72" s="119">
        <v>1063.4033770824201</v>
      </c>
      <c r="AV72" s="119">
        <v>1078.5974653101182</v>
      </c>
      <c r="AW72" s="119">
        <v>1094.0046938281812</v>
      </c>
      <c r="AX72" s="119">
        <v>1109.6280533695558</v>
      </c>
      <c r="AY72" s="119">
        <v>1125.4705766457546</v>
      </c>
      <c r="AZ72" s="119">
        <v>1141.5353389362842</v>
      </c>
      <c r="BA72" s="119">
        <v>1157.8254586863613</v>
      </c>
      <c r="BB72" s="119">
        <v>1174.3440981130191</v>
      </c>
      <c r="BC72" s="119">
        <v>1191.0944638197309</v>
      </c>
      <c r="BD72" s="119">
        <v>1208.0798074196668</v>
      </c>
      <c r="BE72" s="119">
        <v>1225.3034261677051</v>
      </c>
      <c r="BF72" s="119">
        <v>1242.7686636013229</v>
      </c>
      <c r="BG72" s="119">
        <v>1260.4789101904867</v>
      </c>
    </row>
    <row r="73" spans="1:59" s="118" customFormat="1" ht="13.75" customHeight="1">
      <c r="A73" s="171" t="s">
        <v>166</v>
      </c>
      <c r="B73" s="165" t="s">
        <v>173</v>
      </c>
      <c r="C73" s="165" t="s">
        <v>176</v>
      </c>
      <c r="D73" s="165" t="s">
        <v>168</v>
      </c>
      <c r="E73" s="167"/>
      <c r="F73" s="168" t="s">
        <v>188</v>
      </c>
      <c r="G73" s="168" t="s">
        <v>4</v>
      </c>
      <c r="U73" s="118">
        <v>129</v>
      </c>
      <c r="V73" s="118">
        <v>136</v>
      </c>
      <c r="W73" s="118">
        <v>97</v>
      </c>
      <c r="X73" s="118">
        <v>55</v>
      </c>
      <c r="Y73" s="118">
        <v>58</v>
      </c>
      <c r="Z73" s="118">
        <v>71</v>
      </c>
      <c r="AA73" s="118">
        <v>68.930000000000007</v>
      </c>
      <c r="AB73" s="118">
        <v>93</v>
      </c>
      <c r="AC73" s="119">
        <v>108</v>
      </c>
      <c r="AD73" s="118">
        <v>159</v>
      </c>
      <c r="AE73" s="118">
        <v>120.90780303030304</v>
      </c>
      <c r="AF73" s="118">
        <v>115.66546538461539</v>
      </c>
      <c r="AG73" s="118">
        <v>110</v>
      </c>
      <c r="AH73" s="118">
        <v>105</v>
      </c>
      <c r="AI73" s="118">
        <v>106.72971330046684</v>
      </c>
      <c r="AJ73" s="118">
        <v>108.43738871327432</v>
      </c>
      <c r="AK73" s="118">
        <v>110.17238693268671</v>
      </c>
      <c r="AL73" s="118">
        <v>111.9351451236097</v>
      </c>
      <c r="AM73" s="118">
        <v>113.72610744558746</v>
      </c>
      <c r="AN73" s="118">
        <v>115.54572516471686</v>
      </c>
      <c r="AO73" s="118">
        <v>117.39445676735232</v>
      </c>
      <c r="AP73" s="118">
        <v>119.27276807562997</v>
      </c>
      <c r="AQ73" s="118">
        <v>121.18113236484005</v>
      </c>
      <c r="AR73" s="118">
        <v>123.12003048267749</v>
      </c>
      <c r="AS73" s="118">
        <v>125.08995097040034</v>
      </c>
      <c r="AT73" s="118">
        <v>127.09139018592674</v>
      </c>
      <c r="AU73" s="118">
        <v>129.12485242890156</v>
      </c>
      <c r="AV73" s="118">
        <v>131.19085006776399</v>
      </c>
      <c r="AW73" s="118">
        <v>133.28990366884821</v>
      </c>
      <c r="AX73" s="118">
        <v>135.42254212754978</v>
      </c>
      <c r="AY73" s="118">
        <v>137.58930280159058</v>
      </c>
      <c r="AZ73" s="118">
        <v>139.79073164641602</v>
      </c>
      <c r="BA73" s="118">
        <v>142.02738335275868</v>
      </c>
      <c r="BB73" s="118">
        <v>144.29982148640281</v>
      </c>
      <c r="BC73" s="118">
        <v>146.60861863018525</v>
      </c>
      <c r="BD73" s="118">
        <v>148.95435652826822</v>
      </c>
      <c r="BE73" s="118">
        <v>151.33762623272051</v>
      </c>
      <c r="BF73" s="118">
        <v>153.75902825244404</v>
      </c>
      <c r="BG73" s="118">
        <v>156.21917270448316</v>
      </c>
    </row>
    <row r="74" spans="1:59" ht="13.75" customHeight="1">
      <c r="A74" s="171" t="s">
        <v>166</v>
      </c>
      <c r="B74" s="165" t="s">
        <v>173</v>
      </c>
      <c r="C74" s="165" t="s">
        <v>176</v>
      </c>
      <c r="D74" s="165" t="s">
        <v>168</v>
      </c>
      <c r="E74" s="167"/>
      <c r="F74" s="168" t="s">
        <v>189</v>
      </c>
      <c r="G74" s="168" t="s">
        <v>4</v>
      </c>
      <c r="H74" s="168"/>
      <c r="I74" s="168"/>
      <c r="U74" s="119">
        <v>574.97961911591722</v>
      </c>
      <c r="V74" s="119">
        <v>467.93014601299592</v>
      </c>
      <c r="W74" s="119">
        <v>445.59876825650304</v>
      </c>
      <c r="X74" s="118">
        <v>300.76848996327993</v>
      </c>
      <c r="Y74" s="118">
        <v>274.67174596422814</v>
      </c>
      <c r="Z74" s="118">
        <v>452.47061747756311</v>
      </c>
      <c r="AA74" s="118">
        <v>460.30972596404376</v>
      </c>
      <c r="AB74" s="119">
        <v>413</v>
      </c>
      <c r="AC74" s="119">
        <v>367</v>
      </c>
      <c r="AD74" s="119">
        <v>623</v>
      </c>
      <c r="AE74" s="119">
        <v>599.49572371604688</v>
      </c>
      <c r="AF74" s="119">
        <v>499.05134686183925</v>
      </c>
      <c r="AG74" s="119">
        <v>501.074307085741</v>
      </c>
      <c r="AH74" s="119">
        <v>494.18602317436682</v>
      </c>
      <c r="AI74" s="119">
        <v>496.72866053153246</v>
      </c>
      <c r="AJ74" s="119">
        <v>503.27628524402172</v>
      </c>
      <c r="AK74" s="119">
        <v>510.81697265439709</v>
      </c>
      <c r="AL74" s="119">
        <v>518.4700267991891</v>
      </c>
      <c r="AM74" s="119">
        <v>526.23712956645022</v>
      </c>
      <c r="AN74" s="119">
        <v>534.11998813072614</v>
      </c>
      <c r="AO74" s="119">
        <v>542.1203353349074</v>
      </c>
      <c r="AP74" s="119">
        <v>550.23993007787305</v>
      </c>
      <c r="AQ74" s="119">
        <v>558.4805577080125</v>
      </c>
      <c r="AR74" s="119">
        <v>566.84403042271867</v>
      </c>
      <c r="AS74" s="119">
        <v>575.33218767393942</v>
      </c>
      <c r="AT74" s="119">
        <v>583.94689657988226</v>
      </c>
      <c r="AU74" s="119">
        <v>592.69005234296424</v>
      </c>
      <c r="AV74" s="119">
        <v>601.56357867410486</v>
      </c>
      <c r="AW74" s="119">
        <v>610.56942822345491</v>
      </c>
      <c r="AX74" s="119">
        <v>619.70958301766234</v>
      </c>
      <c r="AY74" s="119">
        <v>628.98605490377406</v>
      </c>
      <c r="AZ74" s="119">
        <v>638.40088599987314</v>
      </c>
      <c r="BA74" s="119">
        <v>647.95614915255669</v>
      </c>
      <c r="BB74" s="119">
        <v>657.65394840135684</v>
      </c>
      <c r="BC74" s="119">
        <v>667.49641945021085</v>
      </c>
      <c r="BD74" s="119">
        <v>677.48573014608849</v>
      </c>
      <c r="BE74" s="119">
        <v>687.62408096488571</v>
      </c>
      <c r="BF74" s="119">
        <v>697.91370550469412</v>
      </c>
      <c r="BG74" s="119">
        <v>708.35687098656058</v>
      </c>
    </row>
    <row r="75" spans="1:59" ht="13.75" customHeight="1">
      <c r="A75" s="171" t="s">
        <v>166</v>
      </c>
      <c r="B75" s="165" t="s">
        <v>173</v>
      </c>
      <c r="C75" s="165" t="s">
        <v>176</v>
      </c>
      <c r="D75" s="165" t="s">
        <v>168</v>
      </c>
      <c r="E75" s="167"/>
      <c r="F75" s="168" t="s">
        <v>190</v>
      </c>
      <c r="G75" s="168" t="s">
        <v>4</v>
      </c>
      <c r="H75" s="168"/>
      <c r="I75" s="168"/>
      <c r="U75" s="119">
        <v>560</v>
      </c>
      <c r="V75" s="119">
        <v>511</v>
      </c>
      <c r="W75" s="119">
        <v>483</v>
      </c>
      <c r="X75" s="118">
        <v>330</v>
      </c>
      <c r="Y75" s="118">
        <v>284</v>
      </c>
      <c r="Z75" s="118">
        <v>466</v>
      </c>
      <c r="AA75" s="118">
        <v>488.9</v>
      </c>
      <c r="AB75" s="119">
        <v>411.1320754716981</v>
      </c>
      <c r="AC75" s="119">
        <v>402.5980392156863</v>
      </c>
      <c r="AD75" s="119">
        <v>615.18867924528297</v>
      </c>
      <c r="AE75" s="119">
        <v>597.54901960784309</v>
      </c>
      <c r="AF75" s="119">
        <v>510.08333333333331</v>
      </c>
      <c r="AG75" s="119">
        <v>506.074307085741</v>
      </c>
      <c r="AH75" s="119">
        <v>499.18602317436682</v>
      </c>
      <c r="AI75" s="119">
        <v>501.72866053153246</v>
      </c>
      <c r="AJ75" s="119">
        <v>508.27628524402172</v>
      </c>
      <c r="AK75" s="119">
        <v>515.81697265439709</v>
      </c>
      <c r="AL75" s="119">
        <v>523.4700267991891</v>
      </c>
      <c r="AM75" s="119">
        <v>531.23712956645022</v>
      </c>
      <c r="AN75" s="119">
        <v>539.11998813072614</v>
      </c>
      <c r="AO75" s="119">
        <v>547.1203353349074</v>
      </c>
      <c r="AP75" s="119">
        <v>555.23993007787305</v>
      </c>
      <c r="AQ75" s="119">
        <v>563.4805577080125</v>
      </c>
      <c r="AR75" s="119">
        <v>571.84403042271867</v>
      </c>
      <c r="AS75" s="119">
        <v>580.33218767393942</v>
      </c>
      <c r="AT75" s="119">
        <v>588.94689657988226</v>
      </c>
      <c r="AU75" s="119">
        <v>597.69005234296424</v>
      </c>
      <c r="AV75" s="119">
        <v>606.56357867410486</v>
      </c>
      <c r="AW75" s="119">
        <v>615.56942822345491</v>
      </c>
      <c r="AX75" s="119">
        <v>624.70958301766234</v>
      </c>
      <c r="AY75" s="119">
        <v>633.98605490377406</v>
      </c>
      <c r="AZ75" s="119">
        <v>643.40088599987314</v>
      </c>
      <c r="BA75" s="119">
        <v>652.95614915255669</v>
      </c>
      <c r="BB75" s="119">
        <v>662.65394840135684</v>
      </c>
      <c r="BC75" s="119">
        <v>672.49641945021085</v>
      </c>
      <c r="BD75" s="119">
        <v>682.48573014608849</v>
      </c>
      <c r="BE75" s="119">
        <v>692.62408096488571</v>
      </c>
      <c r="BF75" s="119">
        <v>702.91370550469412</v>
      </c>
      <c r="BG75" s="119">
        <v>713.35687098656058</v>
      </c>
    </row>
    <row r="76" spans="1:59" ht="13.75" customHeight="1">
      <c r="A76" s="171" t="s">
        <v>166</v>
      </c>
      <c r="B76" s="165" t="s">
        <v>173</v>
      </c>
      <c r="C76" s="165" t="s">
        <v>176</v>
      </c>
      <c r="D76" s="165" t="s">
        <v>168</v>
      </c>
      <c r="E76" s="167"/>
      <c r="F76" s="168" t="s">
        <v>191</v>
      </c>
      <c r="G76" s="168" t="s">
        <v>4</v>
      </c>
      <c r="H76" s="168"/>
      <c r="I76" s="168" t="s">
        <v>181</v>
      </c>
      <c r="U76" s="119">
        <v>529.97961911591722</v>
      </c>
      <c r="V76" s="119">
        <v>439.93014601299592</v>
      </c>
      <c r="W76" s="119">
        <v>451.59876825650304</v>
      </c>
      <c r="X76" s="118">
        <v>477.07302208901859</v>
      </c>
      <c r="Y76" s="118">
        <v>451.94479907155807</v>
      </c>
      <c r="Z76" s="118">
        <v>586.3576641434978</v>
      </c>
      <c r="AA76" s="118">
        <v>677.09416467778328</v>
      </c>
      <c r="AB76" s="119">
        <v>471</v>
      </c>
      <c r="AC76" s="119">
        <v>421</v>
      </c>
      <c r="AD76" s="119">
        <v>779</v>
      </c>
      <c r="AE76" s="119">
        <v>590.90163934426232</v>
      </c>
      <c r="AF76" s="119">
        <v>525.33333333333326</v>
      </c>
      <c r="AG76" s="119">
        <v>561.52336757684077</v>
      </c>
      <c r="AH76" s="119">
        <v>540.43848127015531</v>
      </c>
      <c r="AI76" s="119">
        <v>523.29640991900931</v>
      </c>
      <c r="AJ76" s="119">
        <v>520.1593863411066</v>
      </c>
      <c r="AK76" s="119">
        <v>528.02453119693848</v>
      </c>
      <c r="AL76" s="119">
        <v>536.01135101993259</v>
      </c>
      <c r="AM76" s="119">
        <v>544.12173422989576</v>
      </c>
      <c r="AN76" s="119">
        <v>552.35759864366992</v>
      </c>
      <c r="AO76" s="119">
        <v>560.72089193403144</v>
      </c>
      <c r="AP76" s="119">
        <v>569.21359209577577</v>
      </c>
      <c r="AQ76" s="119">
        <v>577.83770791909501</v>
      </c>
      <c r="AR76" s="119">
        <v>586.59527947036531</v>
      </c>
      <c r="AS76" s="119">
        <v>595.48837858045988</v>
      </c>
      <c r="AT76" s="119">
        <v>604.51910934070406</v>
      </c>
      <c r="AU76" s="119">
        <v>613.68960860659661</v>
      </c>
      <c r="AV76" s="119">
        <v>623.00204650941282</v>
      </c>
      <c r="AW76" s="119">
        <v>632.45862697581924</v>
      </c>
      <c r="AX76" s="119">
        <v>642.06158825562181</v>
      </c>
      <c r="AY76" s="119">
        <v>651.81320345777635</v>
      </c>
      <c r="AZ76" s="119">
        <v>661.71578109479026</v>
      </c>
      <c r="BA76" s="119">
        <v>671.77166563565038</v>
      </c>
      <c r="BB76" s="119">
        <v>681.98323806740359</v>
      </c>
      <c r="BC76" s="119">
        <v>692.29496294839214</v>
      </c>
      <c r="BD76" s="119">
        <v>702.76631129020438</v>
      </c>
      <c r="BE76" s="119">
        <v>713.39976197029182</v>
      </c>
      <c r="BF76" s="119">
        <v>724.19783247677412</v>
      </c>
      <c r="BG76" s="119">
        <v>735.16307951149076</v>
      </c>
    </row>
    <row r="77" spans="1:59" ht="13.75" customHeight="1">
      <c r="A77" s="171" t="s">
        <v>166</v>
      </c>
      <c r="B77" s="165" t="s">
        <v>173</v>
      </c>
      <c r="C77" s="165" t="s">
        <v>176</v>
      </c>
      <c r="D77" s="165" t="s">
        <v>168</v>
      </c>
      <c r="E77" s="167"/>
      <c r="F77" s="168" t="s">
        <v>192</v>
      </c>
      <c r="G77" s="168" t="s">
        <v>4</v>
      </c>
      <c r="H77" s="168"/>
      <c r="I77" s="168"/>
      <c r="U77" s="119">
        <v>515</v>
      </c>
      <c r="V77" s="119">
        <v>483</v>
      </c>
      <c r="W77" s="119">
        <v>489</v>
      </c>
      <c r="X77" s="118">
        <v>295.75</v>
      </c>
      <c r="Y77" s="118">
        <v>330</v>
      </c>
      <c r="Z77" s="118">
        <v>440.5</v>
      </c>
      <c r="AA77" s="118">
        <v>507.16666666666669</v>
      </c>
      <c r="AB77" s="119">
        <v>409</v>
      </c>
      <c r="AC77" s="119">
        <v>414</v>
      </c>
      <c r="AD77" s="119">
        <v>749</v>
      </c>
      <c r="AE77" s="119">
        <v>560.90163934426232</v>
      </c>
      <c r="AF77" s="119">
        <v>495.33333333333331</v>
      </c>
      <c r="AG77" s="119">
        <v>531.52336757684077</v>
      </c>
      <c r="AH77" s="119">
        <v>520.43848127015531</v>
      </c>
      <c r="AI77" s="119">
        <v>513.29640991900931</v>
      </c>
      <c r="AJ77" s="119">
        <v>520.1593863411066</v>
      </c>
      <c r="AK77" s="119">
        <v>528.02453119693848</v>
      </c>
      <c r="AL77" s="119">
        <v>536.01135101993259</v>
      </c>
      <c r="AM77" s="119">
        <v>544.12173422989576</v>
      </c>
      <c r="AN77" s="119">
        <v>552.35759864366992</v>
      </c>
      <c r="AO77" s="119">
        <v>560.72089193403144</v>
      </c>
      <c r="AP77" s="119">
        <v>569.21359209577577</v>
      </c>
      <c r="AQ77" s="119">
        <v>577.83770791909501</v>
      </c>
      <c r="AR77" s="119">
        <v>586.59527947036531</v>
      </c>
      <c r="AS77" s="119">
        <v>595.48837858045988</v>
      </c>
      <c r="AT77" s="119">
        <v>604.51910934070406</v>
      </c>
      <c r="AU77" s="119">
        <v>613.68960860659661</v>
      </c>
      <c r="AV77" s="119">
        <v>623.00204650941282</v>
      </c>
      <c r="AW77" s="119">
        <v>632.45862697581924</v>
      </c>
      <c r="AX77" s="119">
        <v>642.06158825562181</v>
      </c>
      <c r="AY77" s="119">
        <v>651.81320345777635</v>
      </c>
      <c r="AZ77" s="119">
        <v>661.71578109479026</v>
      </c>
      <c r="BA77" s="119">
        <v>671.77166563565038</v>
      </c>
      <c r="BB77" s="119">
        <v>681.98323806740359</v>
      </c>
      <c r="BC77" s="119">
        <v>692.29496294839214</v>
      </c>
      <c r="BD77" s="119">
        <v>702.76631129020438</v>
      </c>
      <c r="BE77" s="119">
        <v>713.39976197029182</v>
      </c>
      <c r="BF77" s="119">
        <v>724.19783247677412</v>
      </c>
      <c r="BG77" s="119">
        <v>735.16307951149076</v>
      </c>
    </row>
    <row r="78" spans="1:59" ht="13.75" customHeight="1">
      <c r="A78" s="171" t="s">
        <v>166</v>
      </c>
      <c r="B78" s="165" t="s">
        <v>173</v>
      </c>
      <c r="C78" s="165" t="s">
        <v>174</v>
      </c>
      <c r="D78" s="165" t="s">
        <v>168</v>
      </c>
      <c r="E78" s="167"/>
      <c r="F78" s="168" t="s">
        <v>193</v>
      </c>
      <c r="G78" s="168" t="s">
        <v>194</v>
      </c>
      <c r="H78" s="168"/>
      <c r="I78" s="168"/>
      <c r="U78" s="119">
        <v>1669</v>
      </c>
      <c r="V78" s="119">
        <v>1412</v>
      </c>
      <c r="W78" s="119">
        <v>1266</v>
      </c>
      <c r="X78" s="118">
        <v>1160</v>
      </c>
      <c r="Y78" s="118">
        <v>1249</v>
      </c>
      <c r="Z78" s="118">
        <v>1258.75</v>
      </c>
      <c r="AA78" s="118">
        <v>1269.21</v>
      </c>
      <c r="AB78" s="119">
        <v>1393</v>
      </c>
      <c r="AC78" s="119">
        <v>1772</v>
      </c>
      <c r="AD78" s="119">
        <v>1799</v>
      </c>
      <c r="AE78" s="119">
        <v>1802</v>
      </c>
      <c r="AF78" s="119">
        <v>1933.5741250589176</v>
      </c>
      <c r="AG78" s="119">
        <v>1900</v>
      </c>
      <c r="AH78" s="119">
        <v>1820</v>
      </c>
      <c r="AI78" s="119">
        <v>1750</v>
      </c>
      <c r="AJ78" s="119">
        <v>1750</v>
      </c>
      <c r="AK78" s="119">
        <v>1771</v>
      </c>
      <c r="AL78" s="119">
        <v>1792.252</v>
      </c>
      <c r="AM78" s="119">
        <v>1813.759024</v>
      </c>
      <c r="AN78" s="119">
        <v>1821.0140600959999</v>
      </c>
      <c r="AO78" s="119">
        <v>1828.2981163363838</v>
      </c>
      <c r="AP78" s="119">
        <v>1835.6113088017294</v>
      </c>
      <c r="AQ78" s="119">
        <v>1842.9537540369363</v>
      </c>
      <c r="AR78" s="119">
        <v>1850.3255690530841</v>
      </c>
      <c r="AS78" s="119">
        <v>1857.7268713292965</v>
      </c>
      <c r="AT78" s="119">
        <v>1865.1577788146137</v>
      </c>
      <c r="AU78" s="119">
        <v>1872.6184099298721</v>
      </c>
      <c r="AV78" s="119">
        <v>1880.1088835695916</v>
      </c>
      <c r="AW78" s="119">
        <v>1887.6293191038701</v>
      </c>
      <c r="AX78" s="119">
        <v>1895.1798363802857</v>
      </c>
      <c r="AY78" s="119">
        <v>1902.7605557258069</v>
      </c>
      <c r="AZ78" s="119">
        <v>1910.3715979487101</v>
      </c>
      <c r="BA78" s="119">
        <v>1918.013084340505</v>
      </c>
      <c r="BB78" s="119">
        <v>1925.6851366778669</v>
      </c>
      <c r="BC78" s="119">
        <v>1933.3878772245785</v>
      </c>
      <c r="BD78" s="119">
        <v>1941.1214287334767</v>
      </c>
      <c r="BE78" s="119">
        <v>1948.8859144484106</v>
      </c>
      <c r="BF78" s="119">
        <v>1956.6814581062042</v>
      </c>
      <c r="BG78" s="119">
        <v>1964.5081839386291</v>
      </c>
    </row>
    <row r="79" spans="1:59" ht="13.75" customHeight="1">
      <c r="A79" s="171" t="s">
        <v>166</v>
      </c>
      <c r="B79" s="165" t="s">
        <v>173</v>
      </c>
      <c r="C79" s="165" t="s">
        <v>174</v>
      </c>
      <c r="D79" s="165" t="s">
        <v>168</v>
      </c>
      <c r="E79" s="167"/>
      <c r="F79" s="168" t="s">
        <v>195</v>
      </c>
      <c r="G79" s="168" t="s">
        <v>4</v>
      </c>
      <c r="H79" s="168"/>
      <c r="I79" s="168"/>
      <c r="U79" s="119">
        <v>7953</v>
      </c>
      <c r="V79" s="119">
        <v>7349</v>
      </c>
      <c r="W79" s="119">
        <v>6827</v>
      </c>
      <c r="X79" s="118">
        <v>5493</v>
      </c>
      <c r="Y79" s="118">
        <v>4871</v>
      </c>
      <c r="Z79" s="118">
        <v>6173</v>
      </c>
      <c r="AA79" s="118">
        <v>6544</v>
      </c>
      <c r="AB79" s="118">
        <v>6005</v>
      </c>
      <c r="AC79" s="119">
        <v>6186</v>
      </c>
      <c r="AD79" s="119">
        <v>9320</v>
      </c>
      <c r="AE79" s="118">
        <v>8805</v>
      </c>
      <c r="AF79" s="118">
        <v>8650</v>
      </c>
      <c r="AG79" s="118">
        <v>8450</v>
      </c>
      <c r="AH79" s="118">
        <v>8600</v>
      </c>
      <c r="AI79" s="118">
        <v>8700</v>
      </c>
      <c r="AJ79" s="118">
        <v>8800</v>
      </c>
      <c r="AK79" s="118">
        <v>8940.7999999999993</v>
      </c>
      <c r="AL79" s="118">
        <v>9083.8527999999988</v>
      </c>
      <c r="AM79" s="118">
        <v>9229.1944447999995</v>
      </c>
      <c r="AN79" s="118">
        <v>9321.4863892479989</v>
      </c>
      <c r="AO79" s="118">
        <v>9414.7012531404798</v>
      </c>
      <c r="AP79" s="118">
        <v>9508.8482656718843</v>
      </c>
      <c r="AQ79" s="118">
        <v>9603.9367483286023</v>
      </c>
      <c r="AR79" s="118">
        <v>9699.976115811889</v>
      </c>
      <c r="AS79" s="118">
        <v>9796.9758769700074</v>
      </c>
      <c r="AT79" s="118">
        <v>9894.9456357397085</v>
      </c>
      <c r="AU79" s="118">
        <v>9993.8950920971056</v>
      </c>
      <c r="AV79" s="118">
        <v>10093.834043018076</v>
      </c>
      <c r="AW79" s="118">
        <v>10194.772383448257</v>
      </c>
      <c r="AX79" s="118">
        <v>10296.720107282739</v>
      </c>
      <c r="AY79" s="118">
        <v>10399.687308355567</v>
      </c>
      <c r="AZ79" s="118">
        <v>10503.684181439123</v>
      </c>
      <c r="BA79" s="118">
        <v>10608.721023253514</v>
      </c>
      <c r="BB79" s="118">
        <v>10714.80823348605</v>
      </c>
      <c r="BC79" s="118">
        <v>10821.956315820911</v>
      </c>
      <c r="BD79" s="118">
        <v>10930.17587897912</v>
      </c>
      <c r="BE79" s="118">
        <v>11039.477637768912</v>
      </c>
      <c r="BF79" s="118">
        <v>11149.872414146601</v>
      </c>
      <c r="BG79" s="118">
        <v>11261.371138288067</v>
      </c>
    </row>
    <row r="80" spans="1:59" ht="13.75" customHeight="1">
      <c r="A80" s="171" t="s">
        <v>166</v>
      </c>
      <c r="B80" s="165" t="s">
        <v>173</v>
      </c>
      <c r="C80" s="165" t="s">
        <v>176</v>
      </c>
      <c r="D80" s="165" t="s">
        <v>168</v>
      </c>
      <c r="E80" s="167"/>
      <c r="F80" s="168" t="s">
        <v>196</v>
      </c>
      <c r="G80" s="168" t="s">
        <v>4</v>
      </c>
      <c r="H80" s="168"/>
      <c r="I80" s="168"/>
      <c r="U80" s="119">
        <v>318</v>
      </c>
      <c r="V80" s="119">
        <v>296</v>
      </c>
      <c r="W80" s="119">
        <v>273</v>
      </c>
      <c r="X80" s="118">
        <v>179.99403380856606</v>
      </c>
      <c r="Y80" s="118">
        <v>176.84500683424548</v>
      </c>
      <c r="Z80" s="118">
        <v>250.7955832171543</v>
      </c>
      <c r="AA80" s="118">
        <v>279.41005419985783</v>
      </c>
      <c r="AB80" s="118">
        <v>254.41696276790017</v>
      </c>
      <c r="AC80" s="118">
        <v>236.89839513417959</v>
      </c>
      <c r="AD80" s="118">
        <v>373.06568275027195</v>
      </c>
      <c r="AE80" s="118">
        <v>373.06568275027195</v>
      </c>
      <c r="AF80" s="118">
        <v>322.5160407418071</v>
      </c>
      <c r="AG80" s="118">
        <v>296.54369684246564</v>
      </c>
      <c r="AH80" s="118">
        <v>296.69245655625986</v>
      </c>
      <c r="AI80" s="118">
        <v>299.04314366099061</v>
      </c>
      <c r="AJ80" s="118">
        <v>297.8487626544009</v>
      </c>
      <c r="AK80" s="118">
        <v>302.27440899787797</v>
      </c>
      <c r="AL80" s="118">
        <v>306.76548438660257</v>
      </c>
      <c r="AM80" s="118">
        <v>311.3229603471512</v>
      </c>
      <c r="AN80" s="118">
        <v>315.94782289579132</v>
      </c>
      <c r="AO80" s="118">
        <v>320.64107275555068</v>
      </c>
      <c r="AP80" s="118">
        <v>325.40372557655201</v>
      </c>
      <c r="AQ80" s="118">
        <v>330.23681215966394</v>
      </c>
      <c r="AR80" s="118">
        <v>335.14137868351781</v>
      </c>
      <c r="AS80" s="118">
        <v>340.1184869349413</v>
      </c>
      <c r="AT80" s="118">
        <v>345.16921454286023</v>
      </c>
      <c r="AU80" s="118">
        <v>350.29465521572092</v>
      </c>
      <c r="AV80" s="118">
        <v>355.49591898248775</v>
      </c>
      <c r="AW80" s="118">
        <v>360.77413243726699</v>
      </c>
      <c r="AX80" s="118">
        <v>366.13043898761532</v>
      </c>
      <c r="AY80" s="118">
        <v>371.56599910658593</v>
      </c>
      <c r="AZ80" s="118">
        <v>377.08199058857025</v>
      </c>
      <c r="BA80" s="118">
        <v>382.67960880899193</v>
      </c>
      <c r="BB80" s="118">
        <v>388.36006698791221</v>
      </c>
      <c r="BC80" s="118">
        <v>394.12459645760464</v>
      </c>
      <c r="BD80" s="118">
        <v>399.97444693416037</v>
      </c>
      <c r="BE80" s="118">
        <v>405.91088679318403</v>
      </c>
      <c r="BF80" s="118">
        <v>411.93520334964296</v>
      </c>
      <c r="BG80" s="118">
        <v>418.04870314193181</v>
      </c>
    </row>
    <row r="81" spans="1:59" ht="13.75" customHeight="1">
      <c r="A81" s="171" t="s">
        <v>166</v>
      </c>
      <c r="B81" s="165" t="s">
        <v>173</v>
      </c>
      <c r="C81" s="165" t="s">
        <v>176</v>
      </c>
      <c r="D81" s="165" t="s">
        <v>168</v>
      </c>
      <c r="E81" s="167"/>
      <c r="F81" s="168" t="s">
        <v>197</v>
      </c>
      <c r="G81" s="168" t="s">
        <v>4</v>
      </c>
      <c r="H81" s="168"/>
      <c r="I81" s="168"/>
      <c r="U81" s="119"/>
      <c r="V81" s="119"/>
      <c r="W81" s="119"/>
      <c r="X81" s="118">
        <v>210.33333333333334</v>
      </c>
      <c r="Y81" s="118">
        <v>204.33333333333334</v>
      </c>
      <c r="Z81" s="118">
        <v>268.91666666666669</v>
      </c>
      <c r="AA81" s="118">
        <v>301.5</v>
      </c>
      <c r="AB81" s="118">
        <v>255</v>
      </c>
      <c r="AC81" s="118">
        <v>262</v>
      </c>
      <c r="AD81" s="118">
        <v>421</v>
      </c>
      <c r="AE81" s="118">
        <v>387.08333333333331</v>
      </c>
      <c r="AF81" s="118">
        <v>327.16666666666669</v>
      </c>
      <c r="AG81" s="118">
        <v>319.86979665672834</v>
      </c>
      <c r="AH81" s="118">
        <v>317.086130471334</v>
      </c>
      <c r="AI81" s="118">
        <v>319.57509328810772</v>
      </c>
      <c r="AJ81" s="118">
        <v>318.31045457524806</v>
      </c>
      <c r="AK81" s="118">
        <v>322.99643305657668</v>
      </c>
      <c r="AL81" s="118">
        <v>327.75168935052039</v>
      </c>
      <c r="AM81" s="118">
        <v>332.57725213227775</v>
      </c>
      <c r="AN81" s="118">
        <v>337.47416541907313</v>
      </c>
      <c r="AO81" s="118">
        <v>342.4434887999949</v>
      </c>
      <c r="AP81" s="118">
        <v>347.48629766929037</v>
      </c>
      <c r="AQ81" s="118">
        <v>352.60368346317358</v>
      </c>
      <c r="AR81" s="118">
        <v>357.79675390019537</v>
      </c>
      <c r="AS81" s="118">
        <v>363.06663322523195</v>
      </c>
      <c r="AT81" s="118">
        <v>368.4144624571461</v>
      </c>
      <c r="AU81" s="118">
        <v>373.8413996401751</v>
      </c>
      <c r="AV81" s="118">
        <v>379.34862009910472</v>
      </c>
      <c r="AW81" s="118">
        <v>384.9373166982827</v>
      </c>
      <c r="AX81" s="118">
        <v>390.60870010453385</v>
      </c>
      <c r="AY81" s="118">
        <v>396.36399905403215</v>
      </c>
      <c r="AZ81" s="118">
        <v>402.20446062319206</v>
      </c>
      <c r="BA81" s="118">
        <v>408.13135050363854</v>
      </c>
      <c r="BB81" s="118">
        <v>414.14595328131884</v>
      </c>
      <c r="BC81" s="118">
        <v>420.24957271981668</v>
      </c>
      <c r="BD81" s="118">
        <v>426.44353204793453</v>
      </c>
      <c r="BE81" s="118">
        <v>432.72917425160665</v>
      </c>
      <c r="BF81" s="118">
        <v>439.10786237021023</v>
      </c>
      <c r="BG81" s="118">
        <v>445.58097979733958</v>
      </c>
    </row>
    <row r="82" spans="1:59" ht="13.75" customHeight="1">
      <c r="A82" s="171" t="s">
        <v>166</v>
      </c>
      <c r="B82" s="165" t="s">
        <v>173</v>
      </c>
      <c r="C82" s="165" t="s">
        <v>174</v>
      </c>
      <c r="D82" s="165" t="s">
        <v>168</v>
      </c>
      <c r="E82" s="167"/>
      <c r="F82" s="168" t="s">
        <v>198</v>
      </c>
      <c r="G82" s="168" t="s">
        <v>4</v>
      </c>
      <c r="H82" s="168"/>
      <c r="I82" s="168"/>
      <c r="U82" s="119">
        <v>17519</v>
      </c>
      <c r="V82" s="119">
        <v>15089</v>
      </c>
      <c r="W82" s="119">
        <v>16960</v>
      </c>
      <c r="X82" s="118">
        <v>11877</v>
      </c>
      <c r="Y82" s="118">
        <v>9645</v>
      </c>
      <c r="Z82" s="118">
        <v>10471</v>
      </c>
      <c r="AA82" s="118">
        <v>13186</v>
      </c>
      <c r="AB82" s="119">
        <v>13944</v>
      </c>
      <c r="AC82" s="119">
        <v>13803</v>
      </c>
      <c r="AD82" s="119">
        <v>18474</v>
      </c>
      <c r="AE82" s="119">
        <v>25623</v>
      </c>
      <c r="AF82" s="119">
        <v>22369.225097204508</v>
      </c>
      <c r="AG82" s="119">
        <v>19700</v>
      </c>
      <c r="AH82" s="119">
        <v>19800</v>
      </c>
      <c r="AI82" s="119">
        <v>20000</v>
      </c>
      <c r="AJ82" s="119">
        <v>20320</v>
      </c>
      <c r="AK82" s="119">
        <v>20645.12</v>
      </c>
      <c r="AL82" s="119">
        <v>20975.441919999997</v>
      </c>
      <c r="AM82" s="119">
        <v>21311.048990719999</v>
      </c>
      <c r="AN82" s="119">
        <v>21609.403676590078</v>
      </c>
      <c r="AO82" s="119">
        <v>21911.93532806234</v>
      </c>
      <c r="AP82" s="119">
        <v>22218.702422655213</v>
      </c>
      <c r="AQ82" s="119">
        <v>22529.764256572387</v>
      </c>
      <c r="AR82" s="119">
        <v>22845.1809561644</v>
      </c>
      <c r="AS82" s="119">
        <v>23165.013489550704</v>
      </c>
      <c r="AT82" s="119">
        <v>23489.323678404413</v>
      </c>
      <c r="AU82" s="119">
        <v>23818.174209902074</v>
      </c>
      <c r="AV82" s="119">
        <v>24151.628648840702</v>
      </c>
      <c r="AW82" s="119">
        <v>24489.751449924472</v>
      </c>
      <c r="AX82" s="119">
        <v>24832.607970223413</v>
      </c>
      <c r="AY82" s="119">
        <v>25180.264481806542</v>
      </c>
      <c r="AZ82" s="119">
        <v>25532.788184551835</v>
      </c>
      <c r="BA82" s="119">
        <v>25890.247219135563</v>
      </c>
      <c r="BB82" s="119">
        <v>26252.710680203461</v>
      </c>
      <c r="BC82" s="119">
        <v>26620.248629726309</v>
      </c>
      <c r="BD82" s="119">
        <v>26992.932110542479</v>
      </c>
      <c r="BE82" s="119">
        <v>27370.833160090075</v>
      </c>
      <c r="BF82" s="119">
        <v>27754.024824331336</v>
      </c>
      <c r="BG82" s="119">
        <v>28142.581171871974</v>
      </c>
    </row>
    <row r="83" spans="1:59" ht="13.75" customHeight="1">
      <c r="A83" s="171" t="s">
        <v>166</v>
      </c>
      <c r="B83" s="165" t="s">
        <v>173</v>
      </c>
      <c r="C83" s="165" t="s">
        <v>176</v>
      </c>
      <c r="D83" s="165" t="s">
        <v>168</v>
      </c>
      <c r="E83" s="167"/>
      <c r="F83" s="168" t="s">
        <v>199</v>
      </c>
      <c r="G83" s="168" t="s">
        <v>4</v>
      </c>
      <c r="H83" s="168"/>
      <c r="I83" s="168" t="s">
        <v>181</v>
      </c>
      <c r="U83" s="119">
        <v>113</v>
      </c>
      <c r="V83" s="119">
        <v>102</v>
      </c>
      <c r="W83" s="119">
        <v>73</v>
      </c>
      <c r="X83" s="118">
        <v>51.846830279905781</v>
      </c>
      <c r="Y83" s="118">
        <v>48.906833588245064</v>
      </c>
      <c r="Z83" s="118">
        <v>75.438337504553118</v>
      </c>
      <c r="AA83" s="118">
        <v>81.127478671118411</v>
      </c>
      <c r="AB83" s="119">
        <v>105</v>
      </c>
      <c r="AC83" s="119">
        <v>87</v>
      </c>
      <c r="AD83" s="119">
        <v>157</v>
      </c>
      <c r="AE83" s="119">
        <v>107.25225838659343</v>
      </c>
      <c r="AF83" s="119">
        <v>87.982582353451846</v>
      </c>
      <c r="AG83" s="119">
        <v>94.721315818365582</v>
      </c>
      <c r="AH83" s="119">
        <v>99.349259073922596</v>
      </c>
      <c r="AI83" s="119">
        <v>100.56771181815925</v>
      </c>
      <c r="AJ83" s="119">
        <v>101.76089290840243</v>
      </c>
      <c r="AK83" s="119">
        <v>102.96361944736752</v>
      </c>
      <c r="AL83" s="119">
        <v>104.17596779864438</v>
      </c>
      <c r="AM83" s="119">
        <v>105.39801493673134</v>
      </c>
      <c r="AN83" s="119">
        <v>106.63059237461037</v>
      </c>
      <c r="AO83" s="119">
        <v>107.87303344768317</v>
      </c>
      <c r="AP83" s="119">
        <v>109.12541707709407</v>
      </c>
      <c r="AQ83" s="119">
        <v>110.38782281540479</v>
      </c>
      <c r="AR83" s="119">
        <v>111.66033085164595</v>
      </c>
      <c r="AS83" s="119">
        <v>112.9430220164091</v>
      </c>
      <c r="AT83" s="119">
        <v>114.23597778697935</v>
      </c>
      <c r="AU83" s="119">
        <v>115.53928029250922</v>
      </c>
      <c r="AV83" s="119">
        <v>116.85301231923343</v>
      </c>
      <c r="AW83" s="119">
        <v>118.17725731572612</v>
      </c>
      <c r="AX83" s="119">
        <v>119.51209939819977</v>
      </c>
      <c r="AY83" s="119">
        <v>120.85762335584626</v>
      </c>
      <c r="AZ83" s="119">
        <v>122.21391465622084</v>
      </c>
      <c r="BA83" s="119">
        <v>123.58105945066988</v>
      </c>
      <c r="BB83" s="119">
        <v>124.95914457980048</v>
      </c>
      <c r="BC83" s="119">
        <v>126.34905802585403</v>
      </c>
      <c r="BD83" s="119">
        <v>127.750090779476</v>
      </c>
      <c r="BE83" s="119">
        <v>129.16233179512693</v>
      </c>
      <c r="BF83" s="119">
        <v>130.58587073890311</v>
      </c>
      <c r="BG83" s="119">
        <v>132.02079799422944</v>
      </c>
    </row>
    <row r="84" spans="1:59" ht="13.75" customHeight="1">
      <c r="A84" s="171" t="s">
        <v>166</v>
      </c>
      <c r="B84" s="165" t="s">
        <v>173</v>
      </c>
      <c r="C84" s="165" t="s">
        <v>176</v>
      </c>
      <c r="D84" s="165" t="s">
        <v>168</v>
      </c>
      <c r="E84" s="167"/>
      <c r="F84" s="168" t="s">
        <v>200</v>
      </c>
      <c r="G84" s="168" t="s">
        <v>4</v>
      </c>
      <c r="H84" s="168"/>
      <c r="I84" s="168" t="s">
        <v>181</v>
      </c>
      <c r="U84" s="119">
        <v>112</v>
      </c>
      <c r="V84" s="119">
        <v>107</v>
      </c>
      <c r="W84" s="119">
        <v>101</v>
      </c>
      <c r="X84" s="118">
        <v>66.916666666666671</v>
      </c>
      <c r="Y84" s="118">
        <v>68</v>
      </c>
      <c r="Z84" s="118">
        <v>95.541666666666671</v>
      </c>
      <c r="AA84" s="118">
        <v>105.875</v>
      </c>
      <c r="AB84" s="119">
        <v>125</v>
      </c>
      <c r="AC84" s="119">
        <v>126</v>
      </c>
      <c r="AD84" s="119">
        <v>178</v>
      </c>
      <c r="AE84" s="119">
        <v>159.00162133568847</v>
      </c>
      <c r="AF84" s="119">
        <v>132.41595126013354</v>
      </c>
      <c r="AG84" s="119">
        <v>137.15468472504728</v>
      </c>
      <c r="AH84" s="119">
        <v>138.80556952393815</v>
      </c>
      <c r="AI84" s="119">
        <v>140.0247832266121</v>
      </c>
      <c r="AJ84" s="119">
        <v>141.21870949242501</v>
      </c>
      <c r="AK84" s="119">
        <v>142.42218716836439</v>
      </c>
      <c r="AL84" s="119">
        <v>143.63529266571132</v>
      </c>
      <c r="AM84" s="119">
        <v>144.85810300703696</v>
      </c>
      <c r="AN84" s="119">
        <v>146.09106509934824</v>
      </c>
      <c r="AO84" s="119">
        <v>147.33389236547106</v>
      </c>
      <c r="AP84" s="119">
        <v>148.58666373270415</v>
      </c>
      <c r="AQ84" s="119">
        <v>149.84945875978835</v>
      </c>
      <c r="AR84" s="119">
        <v>151.1223576419581</v>
      </c>
      <c r="AS84" s="119">
        <v>152.40544121603355</v>
      </c>
      <c r="AT84" s="119">
        <v>153.69879096555337</v>
      </c>
      <c r="AU84" s="119">
        <v>155.00248902594856</v>
      </c>
      <c r="AV84" s="119">
        <v>156.31661818975758</v>
      </c>
      <c r="AW84" s="119">
        <v>157.64126191188345</v>
      </c>
      <c r="AX84" s="119">
        <v>158.97650431489276</v>
      </c>
      <c r="AY84" s="119">
        <v>160.32243019435705</v>
      </c>
      <c r="AZ84" s="119">
        <v>161.67912502423675</v>
      </c>
      <c r="BA84" s="119">
        <v>163.04667496230888</v>
      </c>
      <c r="BB84" s="119">
        <v>164.42516685563709</v>
      </c>
      <c r="BC84" s="119">
        <v>165.81508030169064</v>
      </c>
      <c r="BD84" s="119">
        <v>167.2161130553126</v>
      </c>
      <c r="BE84" s="119">
        <v>168.62835407096352</v>
      </c>
      <c r="BF84" s="119">
        <v>170.0518930147397</v>
      </c>
      <c r="BG84" s="119">
        <v>171.48682027006606</v>
      </c>
    </row>
    <row r="85" spans="1:59" ht="13.75" customHeight="1">
      <c r="A85" s="171" t="s">
        <v>166</v>
      </c>
      <c r="B85" s="165" t="s">
        <v>173</v>
      </c>
      <c r="C85" s="165" t="s">
        <v>174</v>
      </c>
      <c r="D85" s="165" t="s">
        <v>168</v>
      </c>
      <c r="E85" s="167"/>
      <c r="F85" s="168" t="s">
        <v>201</v>
      </c>
      <c r="G85" s="168" t="s">
        <v>4</v>
      </c>
      <c r="H85" s="168"/>
      <c r="I85" s="168"/>
      <c r="U85" s="119">
        <v>2074</v>
      </c>
      <c r="V85" s="119">
        <v>2155</v>
      </c>
      <c r="W85" s="119">
        <v>2112</v>
      </c>
      <c r="X85" s="118">
        <v>1794</v>
      </c>
      <c r="Y85" s="118">
        <v>1875</v>
      </c>
      <c r="Z85" s="118">
        <v>2250</v>
      </c>
      <c r="AA85" s="118">
        <v>2248</v>
      </c>
      <c r="AB85" s="119">
        <v>1999</v>
      </c>
      <c r="AC85" s="119">
        <v>1826</v>
      </c>
      <c r="AD85" s="119">
        <v>2202</v>
      </c>
      <c r="AE85" s="119">
        <v>2147</v>
      </c>
      <c r="AF85" s="119">
        <v>2151.1357648809521</v>
      </c>
      <c r="AG85" s="119">
        <v>2100</v>
      </c>
      <c r="AH85" s="119">
        <v>2100</v>
      </c>
      <c r="AI85" s="119">
        <v>2134.5942660093365</v>
      </c>
      <c r="AJ85" s="119">
        <v>2168.747774265486</v>
      </c>
      <c r="AK85" s="119">
        <v>2203.4477386537337</v>
      </c>
      <c r="AL85" s="119">
        <v>2238.7029024721933</v>
      </c>
      <c r="AM85" s="119">
        <v>2274.5221489117484</v>
      </c>
      <c r="AN85" s="119">
        <v>2274.5221489117484</v>
      </c>
      <c r="AO85" s="119">
        <v>2274.5221489117484</v>
      </c>
      <c r="AP85" s="119">
        <v>2274.5221489117484</v>
      </c>
      <c r="AQ85" s="119">
        <v>2274.5221489117484</v>
      </c>
      <c r="AR85" s="119">
        <v>2274.5221489117484</v>
      </c>
      <c r="AS85" s="119">
        <v>2274.5221489117484</v>
      </c>
      <c r="AT85" s="119">
        <v>2274.5221489117484</v>
      </c>
      <c r="AU85" s="119">
        <v>2274.5221489117484</v>
      </c>
      <c r="AV85" s="119">
        <v>2274.5221489117484</v>
      </c>
      <c r="AW85" s="119">
        <v>2274.5221489117484</v>
      </c>
      <c r="AX85" s="119">
        <v>2274.5221489117484</v>
      </c>
      <c r="AY85" s="119">
        <v>2274.5221489117484</v>
      </c>
      <c r="AZ85" s="119">
        <v>2274.5221489117484</v>
      </c>
      <c r="BA85" s="119">
        <v>2274.5221489117484</v>
      </c>
      <c r="BB85" s="119">
        <v>2274.5221489117484</v>
      </c>
      <c r="BC85" s="119">
        <v>2274.5221489117484</v>
      </c>
      <c r="BD85" s="119">
        <v>2274.5221489117484</v>
      </c>
      <c r="BE85" s="119">
        <v>2274.5221489117484</v>
      </c>
      <c r="BF85" s="119">
        <v>2274.5221489117484</v>
      </c>
      <c r="BG85" s="119">
        <v>2274.5221489117484</v>
      </c>
    </row>
    <row r="86" spans="1:59" ht="13.75" customHeight="1">
      <c r="A86" s="171" t="s">
        <v>166</v>
      </c>
      <c r="B86" s="165" t="s">
        <v>173</v>
      </c>
      <c r="C86" s="165" t="s">
        <v>174</v>
      </c>
      <c r="D86" s="165" t="s">
        <v>168</v>
      </c>
      <c r="E86" s="167"/>
      <c r="F86" s="168" t="s">
        <v>202</v>
      </c>
      <c r="G86" s="168" t="s">
        <v>194</v>
      </c>
      <c r="H86" s="168"/>
      <c r="I86" s="168"/>
      <c r="U86" s="119">
        <v>31.2</v>
      </c>
      <c r="V86" s="119">
        <v>23.9</v>
      </c>
      <c r="W86" s="119">
        <v>19.100000000000001</v>
      </c>
      <c r="X86" s="121">
        <v>15.7</v>
      </c>
      <c r="Y86" s="121">
        <v>17.116700000000002</v>
      </c>
      <c r="Z86" s="121">
        <v>17.074200000000001</v>
      </c>
      <c r="AA86" s="118">
        <v>15.71</v>
      </c>
      <c r="AB86" s="119">
        <v>16</v>
      </c>
      <c r="AC86" s="119">
        <v>21</v>
      </c>
      <c r="AD86" s="119">
        <v>25</v>
      </c>
      <c r="AE86" s="119">
        <v>22</v>
      </c>
      <c r="AF86" s="119">
        <v>23.551874600183826</v>
      </c>
      <c r="AG86" s="119">
        <v>23.7</v>
      </c>
      <c r="AH86" s="119">
        <v>23.5</v>
      </c>
      <c r="AI86" s="119">
        <v>23.3</v>
      </c>
      <c r="AJ86" s="119">
        <v>23.626200000000001</v>
      </c>
      <c r="AK86" s="119">
        <v>23.9569668</v>
      </c>
      <c r="AL86" s="119">
        <v>24.292364335200002</v>
      </c>
      <c r="AM86" s="119">
        <v>24.632457435892803</v>
      </c>
      <c r="AN86" s="119">
        <v>24.878782010251733</v>
      </c>
      <c r="AO86" s="119">
        <v>25.127569830354251</v>
      </c>
      <c r="AP86" s="119">
        <v>25.378845528657795</v>
      </c>
      <c r="AQ86" s="119">
        <v>25.632633983944373</v>
      </c>
      <c r="AR86" s="119">
        <v>25.888960323783817</v>
      </c>
      <c r="AS86" s="119">
        <v>26.147849927021657</v>
      </c>
      <c r="AT86" s="119">
        <v>26.409328426291875</v>
      </c>
      <c r="AU86" s="119">
        <v>26.673421710554795</v>
      </c>
      <c r="AV86" s="119">
        <v>26.940155927660342</v>
      </c>
      <c r="AW86" s="119">
        <v>27.209557486936944</v>
      </c>
      <c r="AX86" s="119">
        <v>27.481653061806313</v>
      </c>
      <c r="AY86" s="119">
        <v>27.756469592424377</v>
      </c>
      <c r="AZ86" s="119">
        <v>28.034034288348622</v>
      </c>
      <c r="BA86" s="119">
        <v>28.314374631232109</v>
      </c>
      <c r="BB86" s="119">
        <v>28.597518377544432</v>
      </c>
      <c r="BC86" s="119">
        <v>28.883493561319877</v>
      </c>
      <c r="BD86" s="119">
        <v>29.172328496933076</v>
      </c>
      <c r="BE86" s="119">
        <v>29.464051781902409</v>
      </c>
      <c r="BF86" s="119">
        <v>29.758692299721435</v>
      </c>
      <c r="BG86" s="119">
        <v>30.056279222718651</v>
      </c>
    </row>
    <row r="87" spans="1:59" ht="13.75" customHeight="1">
      <c r="A87" s="171" t="s">
        <v>166</v>
      </c>
      <c r="B87" s="165" t="s">
        <v>173</v>
      </c>
      <c r="C87" s="165" t="s">
        <v>179</v>
      </c>
      <c r="D87" s="165" t="s">
        <v>168</v>
      </c>
      <c r="E87" s="167"/>
      <c r="F87" s="168" t="s">
        <v>203</v>
      </c>
      <c r="G87" s="168" t="s">
        <v>4</v>
      </c>
      <c r="H87" s="168"/>
      <c r="I87" s="168" t="s">
        <v>181</v>
      </c>
      <c r="U87" s="119">
        <v>1777.5638861281996</v>
      </c>
      <c r="V87" s="119">
        <v>1777.5638861281996</v>
      </c>
      <c r="W87" s="119">
        <v>1813.1151638507636</v>
      </c>
      <c r="X87" s="118">
        <v>1272</v>
      </c>
      <c r="Y87" s="118">
        <v>1179</v>
      </c>
      <c r="Z87" s="118">
        <v>1373</v>
      </c>
      <c r="AA87" s="118">
        <v>1083</v>
      </c>
      <c r="AB87" s="118">
        <v>979</v>
      </c>
      <c r="AC87" s="118">
        <v>840</v>
      </c>
      <c r="AD87" s="118">
        <v>923</v>
      </c>
      <c r="AE87" s="118">
        <v>995.50235037700008</v>
      </c>
      <c r="AF87" s="118">
        <v>971.23676477967842</v>
      </c>
      <c r="AG87" s="118">
        <v>981.39901872480289</v>
      </c>
      <c r="AH87" s="118">
        <v>982.44302951785733</v>
      </c>
      <c r="AI87" s="118">
        <v>992.42564381993191</v>
      </c>
      <c r="AJ87" s="118">
        <v>997.3038349781433</v>
      </c>
      <c r="AK87" s="118">
        <v>1006.9532122591692</v>
      </c>
      <c r="AL87" s="118">
        <v>1016.7177678174758</v>
      </c>
      <c r="AM87" s="118">
        <v>1026.5990313901402</v>
      </c>
      <c r="AN87" s="118">
        <v>1036.5985542654066</v>
      </c>
      <c r="AO87" s="118">
        <v>1046.7179095956653</v>
      </c>
      <c r="AP87" s="118">
        <v>1056.9586927150524</v>
      </c>
      <c r="AQ87" s="118">
        <v>1067.3225214617351</v>
      </c>
      <c r="AR87" s="118">
        <v>1077.8110365049567</v>
      </c>
      <c r="AS87" s="118">
        <v>1088.4259016769111</v>
      </c>
      <c r="AT87" s="118">
        <v>1099.1688043095164</v>
      </c>
      <c r="AU87" s="118">
        <v>1110.0414555761638</v>
      </c>
      <c r="AV87" s="118">
        <v>1121.0455908385156</v>
      </c>
      <c r="AW87" s="118">
        <v>1132.1829699984232</v>
      </c>
      <c r="AX87" s="118">
        <v>1143.4553778550501</v>
      </c>
      <c r="AY87" s="118">
        <v>1154.8646244672684</v>
      </c>
      <c r="AZ87" s="118">
        <v>1166.4125455214107</v>
      </c>
      <c r="BA87" s="118">
        <v>1178.101002704464</v>
      </c>
      <c r="BB87" s="118">
        <v>1189.9318840827741</v>
      </c>
      <c r="BC87" s="118">
        <v>1201.9428959448749</v>
      </c>
      <c r="BD87" s="118">
        <v>1214.1004762210794</v>
      </c>
      <c r="BE87" s="118">
        <v>1226.4065967466315</v>
      </c>
      <c r="BF87" s="118">
        <v>1238.8632573261991</v>
      </c>
      <c r="BG87" s="118">
        <v>1251.4724861415732</v>
      </c>
    </row>
    <row r="88" spans="1:59" ht="13.75" customHeight="1">
      <c r="A88" s="171" t="s">
        <v>166</v>
      </c>
      <c r="B88" s="165" t="s">
        <v>173</v>
      </c>
      <c r="C88" s="165" t="s">
        <v>174</v>
      </c>
      <c r="D88" s="165" t="s">
        <v>168</v>
      </c>
      <c r="E88" s="167"/>
      <c r="F88" s="168" t="s">
        <v>204</v>
      </c>
      <c r="G88" s="168" t="s">
        <v>4</v>
      </c>
      <c r="H88" s="168"/>
      <c r="I88" s="168"/>
      <c r="U88" s="119"/>
      <c r="V88" s="119"/>
      <c r="W88" s="119"/>
      <c r="X88" s="118">
        <v>0</v>
      </c>
      <c r="Y88" s="118">
        <v>845</v>
      </c>
      <c r="Z88" s="118">
        <v>1217</v>
      </c>
      <c r="AA88" s="118">
        <v>1179.3308679237093</v>
      </c>
      <c r="AB88" s="118">
        <v>1069.6653497942382</v>
      </c>
      <c r="AC88" s="118">
        <v>1014.6449180327866</v>
      </c>
      <c r="AD88" s="118">
        <v>1704.231833333333</v>
      </c>
      <c r="AE88" s="118">
        <v>1615.663729508198</v>
      </c>
      <c r="AF88" s="118">
        <v>1173.0888362628582</v>
      </c>
      <c r="AG88" s="118">
        <v>1173.0888362628582</v>
      </c>
      <c r="AH88" s="118">
        <v>1173.0888362628582</v>
      </c>
      <c r="AI88" s="118">
        <v>1185.1668562790073</v>
      </c>
      <c r="AJ88" s="118">
        <v>1197.0185248417974</v>
      </c>
      <c r="AK88" s="118">
        <v>1208.9887100902154</v>
      </c>
      <c r="AL88" s="118">
        <v>1221.0785971911175</v>
      </c>
      <c r="AM88" s="118">
        <v>1233.2893831630288</v>
      </c>
      <c r="AN88" s="118">
        <v>1245.6222769946592</v>
      </c>
      <c r="AO88" s="118">
        <v>1258.0784997646058</v>
      </c>
      <c r="AP88" s="118">
        <v>1270.6592847622519</v>
      </c>
      <c r="AQ88" s="118">
        <v>1283.3658776098744</v>
      </c>
      <c r="AR88" s="118">
        <v>1296.199536385973</v>
      </c>
      <c r="AS88" s="118">
        <v>1309.1615317498329</v>
      </c>
      <c r="AT88" s="118">
        <v>1322.2531470673312</v>
      </c>
      <c r="AU88" s="118">
        <v>1335.4756785380046</v>
      </c>
      <c r="AV88" s="118">
        <v>1348.8304353233846</v>
      </c>
      <c r="AW88" s="118">
        <v>1362.3187396766184</v>
      </c>
      <c r="AX88" s="118">
        <v>1375.9419270733847</v>
      </c>
      <c r="AY88" s="118">
        <v>1389.7013463441185</v>
      </c>
      <c r="AZ88" s="118">
        <v>1403.5983598075597</v>
      </c>
      <c r="BA88" s="118">
        <v>1417.6343434056353</v>
      </c>
      <c r="BB88" s="118">
        <v>1431.8106868396917</v>
      </c>
      <c r="BC88" s="118">
        <v>1446.1287937080886</v>
      </c>
      <c r="BD88" s="118">
        <v>1460.5900816451694</v>
      </c>
      <c r="BE88" s="118">
        <v>1475.195982461621</v>
      </c>
      <c r="BF88" s="118">
        <v>1489.9479422862373</v>
      </c>
      <c r="BG88" s="118">
        <v>1504.8474217090998</v>
      </c>
    </row>
    <row r="89" spans="1:59" ht="13.75" customHeight="1">
      <c r="A89" s="171" t="s">
        <v>166</v>
      </c>
      <c r="B89" s="165" t="s">
        <v>173</v>
      </c>
      <c r="C89" s="165" t="s">
        <v>174</v>
      </c>
      <c r="D89" s="165" t="s">
        <v>168</v>
      </c>
      <c r="E89" s="167"/>
      <c r="F89" s="168" t="s">
        <v>205</v>
      </c>
      <c r="G89" s="168" t="s">
        <v>4</v>
      </c>
      <c r="H89" s="168"/>
      <c r="I89" s="168"/>
      <c r="U89" s="119"/>
      <c r="V89" s="119"/>
      <c r="W89" s="119"/>
      <c r="X89" s="118">
        <v>0</v>
      </c>
      <c r="Y89" s="118">
        <v>1028</v>
      </c>
      <c r="Z89" s="118">
        <v>1461</v>
      </c>
      <c r="AA89" s="118">
        <v>1386.4785956062919</v>
      </c>
      <c r="AB89" s="118">
        <v>1126.7142857142858</v>
      </c>
      <c r="AC89" s="118">
        <v>1079.1803278688524</v>
      </c>
      <c r="AD89" s="118">
        <v>1983.3541666666667</v>
      </c>
      <c r="AE89" s="118">
        <v>1850.983606557377</v>
      </c>
      <c r="AF89" s="118">
        <v>1460.8257598455341</v>
      </c>
      <c r="AG89" s="118">
        <v>1460.8257598455341</v>
      </c>
      <c r="AH89" s="118">
        <v>1369.3993361381499</v>
      </c>
      <c r="AI89" s="118">
        <v>1373.216061484585</v>
      </c>
      <c r="AJ89" s="118">
        <v>1386.9482220994307</v>
      </c>
      <c r="AK89" s="118">
        <v>1400.817704320425</v>
      </c>
      <c r="AL89" s="118">
        <v>1414.8258813636294</v>
      </c>
      <c r="AM89" s="118">
        <v>1428.9741401772658</v>
      </c>
      <c r="AN89" s="118">
        <v>1443.2638815790385</v>
      </c>
      <c r="AO89" s="118">
        <v>1457.6965203948289</v>
      </c>
      <c r="AP89" s="118">
        <v>1472.2734855987774</v>
      </c>
      <c r="AQ89" s="118">
        <v>1486.9962204547651</v>
      </c>
      <c r="AR89" s="118">
        <v>1501.8661826593125</v>
      </c>
      <c r="AS89" s="118">
        <v>1516.8848444859059</v>
      </c>
      <c r="AT89" s="118">
        <v>1532.0536929307648</v>
      </c>
      <c r="AU89" s="118">
        <v>1547.3742298600725</v>
      </c>
      <c r="AV89" s="118">
        <v>1562.8479721586732</v>
      </c>
      <c r="AW89" s="118">
        <v>1578.4764518802599</v>
      </c>
      <c r="AX89" s="118">
        <v>1594.2612163990627</v>
      </c>
      <c r="AY89" s="118">
        <v>1610.2038285630533</v>
      </c>
      <c r="AZ89" s="118">
        <v>1626.3058668486838</v>
      </c>
      <c r="BA89" s="118">
        <v>1642.5689255171706</v>
      </c>
      <c r="BB89" s="118">
        <v>1658.9946147723424</v>
      </c>
      <c r="BC89" s="118">
        <v>1675.5845609200658</v>
      </c>
      <c r="BD89" s="118">
        <v>1692.3404065292664</v>
      </c>
      <c r="BE89" s="118">
        <v>1709.2638105945589</v>
      </c>
      <c r="BF89" s="118">
        <v>1726.3564487005046</v>
      </c>
      <c r="BG89" s="118">
        <v>1743.6200131875098</v>
      </c>
    </row>
    <row r="90" spans="1:59" ht="13.75" customHeight="1">
      <c r="A90" s="171" t="s">
        <v>166</v>
      </c>
      <c r="B90" s="165" t="s">
        <v>173</v>
      </c>
      <c r="C90" s="165" t="s">
        <v>174</v>
      </c>
      <c r="D90" s="165" t="s">
        <v>168</v>
      </c>
      <c r="E90" s="167"/>
      <c r="F90" s="168" t="s">
        <v>206</v>
      </c>
      <c r="G90" s="168" t="s">
        <v>207</v>
      </c>
      <c r="H90" s="168"/>
      <c r="I90" s="168" t="s">
        <v>181</v>
      </c>
      <c r="U90" s="119">
        <v>107.9</v>
      </c>
      <c r="V90" s="119">
        <v>99.6</v>
      </c>
      <c r="W90" s="119">
        <v>108.1</v>
      </c>
      <c r="X90" s="118">
        <v>96.8</v>
      </c>
      <c r="Y90" s="118">
        <v>103</v>
      </c>
      <c r="Z90" s="118">
        <v>120</v>
      </c>
      <c r="AA90" s="118">
        <v>125</v>
      </c>
      <c r="AB90" s="119">
        <v>87.81224489795909</v>
      </c>
      <c r="AC90" s="119">
        <v>81.192622950819555</v>
      </c>
      <c r="AD90" s="119">
        <v>124.68749999999989</v>
      </c>
      <c r="AE90" s="119">
        <v>190</v>
      </c>
      <c r="AF90" s="119">
        <v>227.67318319517966</v>
      </c>
      <c r="AG90" s="119">
        <v>170</v>
      </c>
      <c r="AH90" s="119">
        <v>150</v>
      </c>
      <c r="AI90" s="119">
        <v>130</v>
      </c>
      <c r="AJ90" s="119">
        <v>134.5471529538838</v>
      </c>
      <c r="AK90" s="119">
        <v>135.92715295388379</v>
      </c>
      <c r="AL90" s="119">
        <v>137.32371295388378</v>
      </c>
      <c r="AM90" s="119">
        <v>138.73703167388379</v>
      </c>
      <c r="AN90" s="119">
        <v>139.56945386392709</v>
      </c>
      <c r="AO90" s="119">
        <v>140.40687058711066</v>
      </c>
      <c r="AP90" s="119">
        <v>141.24931181063332</v>
      </c>
      <c r="AQ90" s="119">
        <v>142.09680768149713</v>
      </c>
      <c r="AR90" s="119">
        <v>142.94938852758611</v>
      </c>
      <c r="AS90" s="119">
        <v>143.80708485875164</v>
      </c>
      <c r="AT90" s="119">
        <v>144.66992736790414</v>
      </c>
      <c r="AU90" s="119">
        <v>145.53794693211157</v>
      </c>
      <c r="AV90" s="119">
        <v>146.41117461370425</v>
      </c>
      <c r="AW90" s="119">
        <v>147.28964166138647</v>
      </c>
      <c r="AX90" s="119">
        <v>148.1733795113548</v>
      </c>
      <c r="AY90" s="119">
        <v>149.06241978842291</v>
      </c>
      <c r="AZ90" s="119">
        <v>149.95679430715344</v>
      </c>
      <c r="BA90" s="119">
        <v>150.85653507299637</v>
      </c>
      <c r="BB90" s="119">
        <v>151.76167428343433</v>
      </c>
      <c r="BC90" s="119">
        <v>152.67224432913494</v>
      </c>
      <c r="BD90" s="119">
        <v>153.58827779510975</v>
      </c>
      <c r="BE90" s="119">
        <v>154.5098074618804</v>
      </c>
      <c r="BF90" s="119">
        <v>155.43686630665169</v>
      </c>
      <c r="BG90" s="119">
        <v>156.36948750449162</v>
      </c>
    </row>
    <row r="91" spans="1:59" ht="13.75" customHeight="1">
      <c r="A91" s="171" t="s">
        <v>166</v>
      </c>
      <c r="B91" s="165" t="s">
        <v>173</v>
      </c>
      <c r="C91" s="165" t="s">
        <v>176</v>
      </c>
      <c r="D91" s="165" t="s">
        <v>168</v>
      </c>
      <c r="E91" s="167"/>
      <c r="F91" s="168" t="s">
        <v>208</v>
      </c>
      <c r="G91" s="168" t="s">
        <v>4</v>
      </c>
      <c r="H91" s="168"/>
      <c r="I91" s="168"/>
      <c r="U91" s="119">
        <v>679</v>
      </c>
      <c r="V91" s="119">
        <v>596</v>
      </c>
      <c r="W91" s="119">
        <v>538</v>
      </c>
      <c r="X91" s="118">
        <v>459</v>
      </c>
      <c r="Y91" s="118">
        <v>479</v>
      </c>
      <c r="Z91" s="118">
        <v>600</v>
      </c>
      <c r="AA91" s="118">
        <v>623.39733984283941</v>
      </c>
      <c r="AB91" s="119">
        <v>658.83925739491031</v>
      </c>
      <c r="AC91" s="119">
        <v>595.70838533157939</v>
      </c>
      <c r="AD91" s="119">
        <v>1040.4122306920442</v>
      </c>
      <c r="AE91" s="119">
        <v>855</v>
      </c>
      <c r="AF91" s="119">
        <v>704.08714274067052</v>
      </c>
      <c r="AG91" s="119">
        <v>751.99076958454657</v>
      </c>
      <c r="AH91" s="119">
        <v>745.9714608052883</v>
      </c>
      <c r="AI91" s="119">
        <v>763.7944612689804</v>
      </c>
      <c r="AJ91" s="119">
        <v>774.33480260043575</v>
      </c>
      <c r="AK91" s="119">
        <v>785.65657903603983</v>
      </c>
      <c r="AL91" s="119">
        <v>797.14455776892953</v>
      </c>
      <c r="AM91" s="119">
        <v>808.80118879010183</v>
      </c>
      <c r="AN91" s="119">
        <v>820.62895836096914</v>
      </c>
      <c r="AO91" s="119">
        <v>832.63038955267336</v>
      </c>
      <c r="AP91" s="119">
        <v>844.80804279345602</v>
      </c>
      <c r="AQ91" s="119">
        <v>857.16451642420236</v>
      </c>
      <c r="AR91" s="119">
        <v>869.7024472622852</v>
      </c>
      <c r="AS91" s="119">
        <v>882.42451117383155</v>
      </c>
      <c r="AT91" s="119">
        <v>895.33342365453768</v>
      </c>
      <c r="AU91" s="119">
        <v>908.43194041916183</v>
      </c>
      <c r="AV91" s="119">
        <v>921.72285799982615</v>
      </c>
      <c r="AW91" s="119">
        <v>935.20901435325675</v>
      </c>
      <c r="AX91" s="119">
        <v>948.89328947709805</v>
      </c>
      <c r="AY91" s="119">
        <v>962.77860603543957</v>
      </c>
      <c r="AZ91" s="119">
        <v>976.86792999368822</v>
      </c>
      <c r="BA91" s="119">
        <v>991.16427126293263</v>
      </c>
      <c r="BB91" s="119">
        <v>1005.6706843539357</v>
      </c>
      <c r="BC91" s="119">
        <v>1020.390269040906</v>
      </c>
      <c r="BD91" s="119">
        <v>1035.3261710351903</v>
      </c>
      <c r="BE91" s="119">
        <v>1050.4815826690378</v>
      </c>
      <c r="BF91" s="119">
        <v>1065.859743589589</v>
      </c>
      <c r="BG91" s="119">
        <v>1081.4639414632386</v>
      </c>
    </row>
    <row r="92" spans="1:59" ht="13.75" customHeight="1">
      <c r="A92" s="171" t="s">
        <v>166</v>
      </c>
      <c r="B92" s="165" t="s">
        <v>173</v>
      </c>
      <c r="C92" s="165" t="s">
        <v>176</v>
      </c>
      <c r="D92" s="165" t="s">
        <v>168</v>
      </c>
      <c r="E92" s="167"/>
      <c r="F92" s="168" t="s">
        <v>209</v>
      </c>
      <c r="G92" s="168" t="s">
        <v>4</v>
      </c>
      <c r="H92" s="168"/>
      <c r="I92" s="168"/>
      <c r="U92" s="119">
        <v>679</v>
      </c>
      <c r="V92" s="119">
        <v>622</v>
      </c>
      <c r="W92" s="119">
        <v>608</v>
      </c>
      <c r="X92" s="118">
        <v>427.75</v>
      </c>
      <c r="Y92" s="118">
        <v>442.25</v>
      </c>
      <c r="Z92" s="118">
        <v>554.08333333333337</v>
      </c>
      <c r="AA92" s="118">
        <v>616.25</v>
      </c>
      <c r="AB92" s="119">
        <v>527</v>
      </c>
      <c r="AC92" s="119">
        <v>499</v>
      </c>
      <c r="AD92" s="119">
        <v>1001</v>
      </c>
      <c r="AE92" s="119">
        <v>838.25</v>
      </c>
      <c r="AF92" s="119">
        <v>711.41666666666674</v>
      </c>
      <c r="AG92" s="119">
        <v>747.37256225760802</v>
      </c>
      <c r="AH92" s="119">
        <v>745.00723127581568</v>
      </c>
      <c r="AI92" s="119">
        <v>746.64597957193394</v>
      </c>
      <c r="AJ92" s="119">
        <v>747.24163921426464</v>
      </c>
      <c r="AK92" s="119">
        <v>758.8991811229115</v>
      </c>
      <c r="AL92" s="119">
        <v>770.73906716163378</v>
      </c>
      <c r="AM92" s="119">
        <v>782.7641563649463</v>
      </c>
      <c r="AN92" s="119">
        <v>814.97735269331406</v>
      </c>
      <c r="AO92" s="119">
        <v>827.38160574050698</v>
      </c>
      <c r="AP92" s="119">
        <v>839.97991145211245</v>
      </c>
      <c r="AQ92" s="119">
        <v>852.77531285538009</v>
      </c>
      <c r="AR92" s="119">
        <v>865.77090080058065</v>
      </c>
      <c r="AS92" s="119">
        <v>878.96981471405741</v>
      </c>
      <c r="AT92" s="119">
        <v>892.37524336315937</v>
      </c>
      <c r="AU92" s="119">
        <v>905.99042563323826</v>
      </c>
      <c r="AV92" s="119">
        <v>919.8186513169062</v>
      </c>
      <c r="AW92" s="119">
        <v>933.86326191574244</v>
      </c>
      <c r="AX92" s="119">
        <v>948.1276514546488</v>
      </c>
      <c r="AY92" s="119">
        <v>962.61526730905314</v>
      </c>
      <c r="AZ92" s="119">
        <v>977.3296110451638</v>
      </c>
      <c r="BA92" s="119">
        <v>992.27423927348048</v>
      </c>
      <c r="BB92" s="119">
        <v>1007.4527645157725</v>
      </c>
      <c r="BC92" s="119">
        <v>1022.8688560857362</v>
      </c>
      <c r="BD92" s="119">
        <v>1038.5262409835473</v>
      </c>
      <c r="BE92" s="119">
        <v>1054.4287048045294</v>
      </c>
      <c r="BF92" s="119">
        <v>1070.5800926621605</v>
      </c>
      <c r="BG92" s="119">
        <v>1086.9843101256447</v>
      </c>
    </row>
    <row r="93" spans="1:59" ht="13.75" customHeight="1">
      <c r="A93" s="171" t="s">
        <v>166</v>
      </c>
      <c r="B93" s="165" t="s">
        <v>173</v>
      </c>
      <c r="C93" s="165" t="s">
        <v>174</v>
      </c>
      <c r="D93" s="165" t="s">
        <v>168</v>
      </c>
      <c r="E93" s="167"/>
      <c r="F93" s="168" t="s">
        <v>210</v>
      </c>
      <c r="G93" s="168" t="s">
        <v>4</v>
      </c>
      <c r="H93" s="168"/>
      <c r="I93" s="168"/>
      <c r="U93" s="119">
        <v>1965</v>
      </c>
      <c r="V93" s="119">
        <v>1938</v>
      </c>
      <c r="W93" s="119">
        <v>2166</v>
      </c>
      <c r="X93" s="118">
        <v>1939</v>
      </c>
      <c r="Y93" s="118">
        <v>2101</v>
      </c>
      <c r="Z93" s="118">
        <v>2893</v>
      </c>
      <c r="AA93" s="118">
        <v>2892</v>
      </c>
      <c r="AB93" s="118">
        <v>2548</v>
      </c>
      <c r="AC93" s="119">
        <v>2269</v>
      </c>
      <c r="AD93" s="119">
        <v>3005</v>
      </c>
      <c r="AE93" s="118">
        <v>3475</v>
      </c>
      <c r="AF93" s="118">
        <v>2672.0724270833334</v>
      </c>
      <c r="AG93" s="118">
        <v>2700</v>
      </c>
      <c r="AH93" s="118">
        <v>2800</v>
      </c>
      <c r="AI93" s="118">
        <v>2900</v>
      </c>
      <c r="AJ93" s="118">
        <v>2946.4</v>
      </c>
      <c r="AK93" s="118">
        <v>2993.5424000000003</v>
      </c>
      <c r="AL93" s="118">
        <v>3041.4390784000002</v>
      </c>
      <c r="AM93" s="118">
        <v>3090.1021036544003</v>
      </c>
      <c r="AN93" s="118">
        <v>3121.0031246909443</v>
      </c>
      <c r="AO93" s="118">
        <v>3152.213155937854</v>
      </c>
      <c r="AP93" s="118">
        <v>3183.7352874972325</v>
      </c>
      <c r="AQ93" s="118">
        <v>3215.5726403722051</v>
      </c>
      <c r="AR93" s="118">
        <v>3247.728366775927</v>
      </c>
      <c r="AS93" s="118">
        <v>3280.2056504436864</v>
      </c>
      <c r="AT93" s="118">
        <v>3313.0077069481231</v>
      </c>
      <c r="AU93" s="118">
        <v>3346.1377840176042</v>
      </c>
      <c r="AV93" s="118">
        <v>3379.5991618577805</v>
      </c>
      <c r="AW93" s="118">
        <v>3413.3951534763582</v>
      </c>
      <c r="AX93" s="118">
        <v>3447.5291050111218</v>
      </c>
      <c r="AY93" s="118">
        <v>3482.0043960612329</v>
      </c>
      <c r="AZ93" s="118">
        <v>3516.8244400218455</v>
      </c>
      <c r="BA93" s="118">
        <v>3551.992684422064</v>
      </c>
      <c r="BB93" s="118">
        <v>3587.5126112662847</v>
      </c>
      <c r="BC93" s="118">
        <v>3623.3877373789473</v>
      </c>
      <c r="BD93" s="118">
        <v>3659.6216147527371</v>
      </c>
      <c r="BE93" s="118">
        <v>3696.2178309002643</v>
      </c>
      <c r="BF93" s="118">
        <v>3733.1800092092672</v>
      </c>
      <c r="BG93" s="118">
        <v>3770.5118093013598</v>
      </c>
    </row>
    <row r="94" spans="1:59" ht="13.75" customHeight="1">
      <c r="A94" s="171" t="s">
        <v>166</v>
      </c>
      <c r="B94" s="165" t="s">
        <v>173</v>
      </c>
      <c r="C94" s="165" t="s">
        <v>176</v>
      </c>
      <c r="D94" s="165" t="s">
        <v>168</v>
      </c>
      <c r="E94" s="167"/>
      <c r="F94" s="168" t="s">
        <v>211</v>
      </c>
      <c r="G94" s="168" t="s">
        <v>4</v>
      </c>
      <c r="H94" s="168"/>
      <c r="I94" s="168" t="s">
        <v>181</v>
      </c>
      <c r="U94" s="119">
        <v>430.17569754728976</v>
      </c>
      <c r="V94" s="119">
        <v>346.64168447453437</v>
      </c>
      <c r="W94" s="119">
        <v>339.48556070933324</v>
      </c>
      <c r="X94" s="118">
        <v>230.82832470180992</v>
      </c>
      <c r="Y94" s="118">
        <v>221.36704651439015</v>
      </c>
      <c r="Z94" s="118">
        <v>339.73178123258452</v>
      </c>
      <c r="AA94" s="118">
        <v>349.25363702448203</v>
      </c>
      <c r="AB94" s="119">
        <v>384</v>
      </c>
      <c r="AC94" s="119">
        <v>337</v>
      </c>
      <c r="AD94" s="119">
        <v>508</v>
      </c>
      <c r="AE94" s="119">
        <v>457.7185980528148</v>
      </c>
      <c r="AF94" s="119">
        <v>344.88100138422624</v>
      </c>
      <c r="AG94" s="119">
        <v>398.35314973768135</v>
      </c>
      <c r="AH94" s="119">
        <v>397.02609010130459</v>
      </c>
      <c r="AI94" s="119">
        <v>399.46611667533904</v>
      </c>
      <c r="AJ94" s="119">
        <v>384.7041013205702</v>
      </c>
      <c r="AK94" s="119">
        <v>390.65053991855245</v>
      </c>
      <c r="AL94" s="119">
        <v>396.6891979557783</v>
      </c>
      <c r="AM94" s="119">
        <v>402.82151001317925</v>
      </c>
      <c r="AN94" s="119">
        <v>409.04893305196003</v>
      </c>
      <c r="AO94" s="119">
        <v>415.37294676366133</v>
      </c>
      <c r="AP94" s="119">
        <v>421.79505392571008</v>
      </c>
      <c r="AQ94" s="119">
        <v>428.31678076254525</v>
      </c>
      <c r="AR94" s="119">
        <v>434.93967731240605</v>
      </c>
      <c r="AS94" s="119">
        <v>441.66531779987179</v>
      </c>
      <c r="AT94" s="119">
        <v>448.49530101424364</v>
      </c>
      <c r="AU94" s="119">
        <v>455.4312506938594</v>
      </c>
      <c r="AV94" s="119">
        <v>462.47481591643646</v>
      </c>
      <c r="AW94" s="119">
        <v>469.62767149553542</v>
      </c>
      <c r="AX94" s="119">
        <v>476.89151838324204</v>
      </c>
      <c r="AY94" s="119">
        <v>484.26808407916491</v>
      </c>
      <c r="AZ94" s="119">
        <v>491.75912304584756</v>
      </c>
      <c r="BA94" s="119">
        <v>499.36641713069707</v>
      </c>
      <c r="BB94" s="119">
        <v>507.09177599452966</v>
      </c>
      <c r="BC94" s="119">
        <v>514.93703754683997</v>
      </c>
      <c r="BD94" s="119">
        <v>522.90406838789693</v>
      </c>
      <c r="BE94" s="119">
        <v>530.99476425777505</v>
      </c>
      <c r="BF94" s="119">
        <v>539.21105049243056</v>
      </c>
      <c r="BG94" s="119">
        <v>547.55488248693212</v>
      </c>
    </row>
    <row r="95" spans="1:59" ht="13.75" customHeight="1">
      <c r="A95" s="171" t="s">
        <v>166</v>
      </c>
      <c r="B95" s="165" t="s">
        <v>173</v>
      </c>
      <c r="C95" s="165" t="s">
        <v>176</v>
      </c>
      <c r="D95" s="165" t="s">
        <v>168</v>
      </c>
      <c r="E95" s="167"/>
      <c r="F95" s="168" t="s">
        <v>212</v>
      </c>
      <c r="G95" s="168" t="s">
        <v>4</v>
      </c>
      <c r="H95" s="168"/>
      <c r="I95" s="168"/>
      <c r="U95" s="119">
        <v>415.19607843137254</v>
      </c>
      <c r="V95" s="119">
        <v>389.71153846153845</v>
      </c>
      <c r="W95" s="119">
        <v>376.88679245283021</v>
      </c>
      <c r="X95" s="118">
        <v>243.75</v>
      </c>
      <c r="Y95" s="118">
        <v>255.91666666666666</v>
      </c>
      <c r="Z95" s="118">
        <v>352.66666666666669</v>
      </c>
      <c r="AA95" s="118">
        <v>378.08333333333331</v>
      </c>
      <c r="AB95" s="119">
        <v>326</v>
      </c>
      <c r="AC95" s="119">
        <v>340</v>
      </c>
      <c r="AD95" s="119">
        <v>550</v>
      </c>
      <c r="AE95" s="119">
        <v>469</v>
      </c>
      <c r="AF95" s="119">
        <v>384.83333333333331</v>
      </c>
      <c r="AG95" s="119">
        <v>408.71272543242821</v>
      </c>
      <c r="AH95" s="119">
        <v>385.43902597349512</v>
      </c>
      <c r="AI95" s="119">
        <v>386.07207452067308</v>
      </c>
      <c r="AJ95" s="119">
        <v>391.05855168218352</v>
      </c>
      <c r="AK95" s="119">
        <v>397.01716419031715</v>
      </c>
      <c r="AL95" s="119">
        <v>403.06693795811799</v>
      </c>
      <c r="AM95" s="119">
        <v>409.20927309417419</v>
      </c>
      <c r="AN95" s="119">
        <v>415.44559129020956</v>
      </c>
      <c r="AO95" s="119">
        <v>421.77733615495276</v>
      </c>
      <c r="AP95" s="119">
        <v>428.20597355318938</v>
      </c>
      <c r="AQ95" s="119">
        <v>434.73299195007434</v>
      </c>
      <c r="AR95" s="119">
        <v>441.35990276078991</v>
      </c>
      <c r="AS95" s="119">
        <v>448.08824070563014</v>
      </c>
      <c r="AT95" s="119">
        <v>454.9195641705972</v>
      </c>
      <c r="AU95" s="119">
        <v>461.85545557359512</v>
      </c>
      <c r="AV95" s="119">
        <v>468.89752173630882</v>
      </c>
      <c r="AW95" s="119">
        <v>476.0473942618554</v>
      </c>
      <c r="AX95" s="119">
        <v>483.30672991829948</v>
      </c>
      <c r="AY95" s="119">
        <v>490.67721102812226</v>
      </c>
      <c r="AZ95" s="119">
        <v>498.16054586373798</v>
      </c>
      <c r="BA95" s="119">
        <v>505.75846904915187</v>
      </c>
      <c r="BB95" s="119">
        <v>513.47274196785474</v>
      </c>
      <c r="BC95" s="119">
        <v>521.30515317705158</v>
      </c>
      <c r="BD95" s="119">
        <v>529.25751882832367</v>
      </c>
      <c r="BE95" s="119">
        <v>537.33168309482221</v>
      </c>
      <c r="BF95" s="119">
        <v>545.52951860509813</v>
      </c>
      <c r="BG95" s="119">
        <v>553.85292688366917</v>
      </c>
    </row>
    <row r="96" spans="1:59" ht="13.75" customHeight="1">
      <c r="A96" s="171" t="s">
        <v>166</v>
      </c>
      <c r="B96" s="165" t="s">
        <v>173</v>
      </c>
      <c r="C96" s="165" t="s">
        <v>174</v>
      </c>
      <c r="D96" s="165" t="s">
        <v>168</v>
      </c>
      <c r="E96" s="167"/>
      <c r="F96" s="168" t="s">
        <v>213</v>
      </c>
      <c r="G96" s="168" t="s">
        <v>194</v>
      </c>
      <c r="H96" s="168"/>
      <c r="I96" s="168"/>
      <c r="X96" s="150">
        <v>1054</v>
      </c>
      <c r="Y96" s="118">
        <v>989</v>
      </c>
      <c r="Z96" s="118">
        <v>949.91</v>
      </c>
      <c r="AA96" s="118">
        <v>879.64</v>
      </c>
      <c r="AB96" s="119">
        <v>865</v>
      </c>
      <c r="AC96" s="119">
        <v>886</v>
      </c>
      <c r="AD96" s="119">
        <v>1092</v>
      </c>
      <c r="AE96" s="119">
        <v>964</v>
      </c>
      <c r="AF96" s="119">
        <v>984.40866772718687</v>
      </c>
      <c r="AG96" s="119">
        <v>1080</v>
      </c>
      <c r="AH96" s="119">
        <v>1100</v>
      </c>
      <c r="AI96" s="119">
        <v>1118.1208060048907</v>
      </c>
      <c r="AJ96" s="119">
        <v>1136.010738900969</v>
      </c>
      <c r="AK96" s="119">
        <v>1154.1869107233845</v>
      </c>
      <c r="AL96" s="119">
        <v>1172.6539012949586</v>
      </c>
      <c r="AM96" s="119">
        <v>1191.416363715678</v>
      </c>
      <c r="AN96" s="119">
        <v>1208.0961928076974</v>
      </c>
      <c r="AO96" s="119">
        <v>1225.0095395070052</v>
      </c>
      <c r="AP96" s="119">
        <v>1242.1596730601034</v>
      </c>
      <c r="AQ96" s="119">
        <v>1259.5499084829448</v>
      </c>
      <c r="AR96" s="119">
        <v>1277.1836072017061</v>
      </c>
      <c r="AS96" s="119">
        <v>1295.0641777025301</v>
      </c>
      <c r="AT96" s="119">
        <v>1313.1950761903654</v>
      </c>
      <c r="AU96" s="119">
        <v>1331.5798072570306</v>
      </c>
      <c r="AV96" s="119">
        <v>1350.2219245586291</v>
      </c>
      <c r="AW96" s="119">
        <v>1369.1250315024499</v>
      </c>
      <c r="AX96" s="119">
        <v>1388.2927819434842</v>
      </c>
      <c r="AY96" s="119">
        <v>1407.7288808906931</v>
      </c>
      <c r="AZ96" s="119">
        <v>1427.4370852231627</v>
      </c>
      <c r="BA96" s="119">
        <v>1447.4212044162871</v>
      </c>
      <c r="BB96" s="119">
        <v>1467.6851012781151</v>
      </c>
      <c r="BC96" s="119">
        <v>1488.2326926960088</v>
      </c>
      <c r="BD96" s="119">
        <v>1509.0679503937529</v>
      </c>
      <c r="BE96" s="119">
        <v>1530.1949016992655</v>
      </c>
      <c r="BF96" s="119">
        <v>1551.6176303230552</v>
      </c>
      <c r="BG96" s="119">
        <v>1573.340277147578</v>
      </c>
    </row>
    <row r="97" spans="1:59" ht="13.75" customHeight="1">
      <c r="A97" s="171" t="s">
        <v>166</v>
      </c>
      <c r="B97" s="165" t="s">
        <v>173</v>
      </c>
      <c r="C97" s="165" t="s">
        <v>174</v>
      </c>
      <c r="D97" s="165" t="s">
        <v>168</v>
      </c>
      <c r="E97" s="167"/>
      <c r="F97" s="168" t="s">
        <v>214</v>
      </c>
      <c r="G97" s="168" t="s">
        <v>194</v>
      </c>
      <c r="H97" s="168"/>
      <c r="I97" s="168"/>
      <c r="X97" s="150">
        <v>690</v>
      </c>
      <c r="Y97" s="118">
        <v>615</v>
      </c>
      <c r="Z97" s="118">
        <v>870.78</v>
      </c>
      <c r="AA97" s="118">
        <v>1030.49</v>
      </c>
      <c r="AB97" s="118">
        <v>1541</v>
      </c>
      <c r="AC97" s="119">
        <v>2201</v>
      </c>
      <c r="AD97" s="119">
        <v>2397</v>
      </c>
      <c r="AE97" s="119">
        <v>2109</v>
      </c>
      <c r="AF97" s="118">
        <v>1391.1100920767344</v>
      </c>
      <c r="AG97" s="118">
        <v>1350</v>
      </c>
      <c r="AH97" s="118">
        <v>1300</v>
      </c>
      <c r="AI97" s="118">
        <v>1280</v>
      </c>
      <c r="AJ97" s="118">
        <v>1250</v>
      </c>
      <c r="AK97" s="118">
        <v>1250</v>
      </c>
      <c r="AL97" s="118">
        <v>1200</v>
      </c>
      <c r="AM97" s="118">
        <v>1219.2</v>
      </c>
      <c r="AN97" s="118">
        <v>1233.8304000000001</v>
      </c>
      <c r="AO97" s="118">
        <v>1248.6363648000001</v>
      </c>
      <c r="AP97" s="118">
        <v>1263.6200011776002</v>
      </c>
      <c r="AQ97" s="118">
        <v>1278.7834411917315</v>
      </c>
      <c r="AR97" s="118">
        <v>1294.1288424860322</v>
      </c>
      <c r="AS97" s="118">
        <v>1309.6583885958646</v>
      </c>
      <c r="AT97" s="118">
        <v>1325.3742892590151</v>
      </c>
      <c r="AU97" s="118">
        <v>1341.2787807301233</v>
      </c>
      <c r="AV97" s="118">
        <v>1357.3741260988847</v>
      </c>
      <c r="AW97" s="118">
        <v>1369.1250315024499</v>
      </c>
      <c r="AX97" s="118">
        <v>1385.5545318804793</v>
      </c>
      <c r="AY97" s="118">
        <v>1402.181186263045</v>
      </c>
      <c r="AZ97" s="118">
        <v>1419.0073604982015</v>
      </c>
      <c r="BA97" s="118">
        <v>1436.0354488241799</v>
      </c>
      <c r="BB97" s="118">
        <v>1453.26787421007</v>
      </c>
      <c r="BC97" s="118">
        <v>1470.7070887005909</v>
      </c>
      <c r="BD97" s="118">
        <v>1488.3555737649981</v>
      </c>
      <c r="BE97" s="118">
        <v>1506.2158406501781</v>
      </c>
      <c r="BF97" s="118">
        <v>1524.2904307379802</v>
      </c>
      <c r="BG97" s="118">
        <v>1542.581915906836</v>
      </c>
    </row>
    <row r="98" spans="1:59" ht="13.75" customHeight="1">
      <c r="A98" s="171" t="s">
        <v>166</v>
      </c>
      <c r="B98" s="165" t="s">
        <v>173</v>
      </c>
      <c r="C98" s="165" t="s">
        <v>174</v>
      </c>
      <c r="D98" s="165" t="s">
        <v>168</v>
      </c>
      <c r="E98" s="167"/>
      <c r="F98" s="168" t="s">
        <v>215</v>
      </c>
      <c r="G98" s="168" t="s">
        <v>207</v>
      </c>
      <c r="H98" s="168"/>
      <c r="I98" s="168" t="s">
        <v>216</v>
      </c>
      <c r="U98" s="109">
        <v>92</v>
      </c>
      <c r="V98" s="109">
        <v>87.5</v>
      </c>
      <c r="W98" s="116">
        <v>83</v>
      </c>
      <c r="X98" s="150">
        <v>76.5</v>
      </c>
      <c r="Y98" s="118">
        <v>78.5</v>
      </c>
      <c r="Z98" s="118">
        <v>95.5</v>
      </c>
      <c r="AA98" s="118">
        <v>86.305623343765873</v>
      </c>
      <c r="AB98" s="119">
        <v>75.560131086761601</v>
      </c>
      <c r="AC98" s="119">
        <v>68.197825543371138</v>
      </c>
      <c r="AD98" s="119">
        <v>110.44017605934478</v>
      </c>
      <c r="AE98" s="119">
        <v>103.21220732085325</v>
      </c>
      <c r="AF98" s="119">
        <v>100</v>
      </c>
      <c r="AG98" s="119">
        <v>100</v>
      </c>
      <c r="AH98" s="119">
        <v>100</v>
      </c>
      <c r="AI98" s="119">
        <v>105</v>
      </c>
      <c r="AJ98" s="119">
        <v>115</v>
      </c>
      <c r="AK98" s="119">
        <v>116.38</v>
      </c>
      <c r="AL98" s="119">
        <v>117.77656</v>
      </c>
      <c r="AM98" s="119">
        <v>119.18987872000001</v>
      </c>
      <c r="AN98" s="119">
        <v>119.90501799232001</v>
      </c>
      <c r="AO98" s="119">
        <v>120.62444810027394</v>
      </c>
      <c r="AP98" s="119">
        <v>121.34819478887559</v>
      </c>
      <c r="AQ98" s="119">
        <v>122.07628395760884</v>
      </c>
      <c r="AR98" s="119">
        <v>122.80874166135449</v>
      </c>
      <c r="AS98" s="119">
        <v>123.54559411132261</v>
      </c>
      <c r="AT98" s="119">
        <v>124.28686767599055</v>
      </c>
      <c r="AU98" s="119">
        <v>125.0325888820465</v>
      </c>
      <c r="AV98" s="119">
        <v>125.78278441533878</v>
      </c>
      <c r="AW98" s="119">
        <v>126.53748112183081</v>
      </c>
      <c r="AX98" s="119">
        <v>127.2967060085618</v>
      </c>
      <c r="AY98" s="119">
        <v>128.06048624461317</v>
      </c>
      <c r="AZ98" s="119">
        <v>128.82884916208084</v>
      </c>
      <c r="BA98" s="119">
        <v>129.60182225705333</v>
      </c>
      <c r="BB98" s="119">
        <v>130.37943319059565</v>
      </c>
      <c r="BC98" s="119">
        <v>131.16170978973923</v>
      </c>
      <c r="BD98" s="119">
        <v>131.94868004847768</v>
      </c>
      <c r="BE98" s="119">
        <v>132.74037212876854</v>
      </c>
      <c r="BF98" s="119">
        <v>133.53681436154116</v>
      </c>
      <c r="BG98" s="119">
        <v>134.33803524771042</v>
      </c>
    </row>
    <row r="99" spans="1:59" ht="13.75" customHeight="1">
      <c r="A99" s="171" t="s">
        <v>166</v>
      </c>
      <c r="B99" s="165" t="s">
        <v>173</v>
      </c>
      <c r="C99" s="165" t="s">
        <v>176</v>
      </c>
      <c r="D99" s="165" t="s">
        <v>168</v>
      </c>
      <c r="E99" s="167"/>
      <c r="F99" s="168" t="s">
        <v>217</v>
      </c>
      <c r="G99" s="168" t="s">
        <v>4</v>
      </c>
      <c r="H99" s="168"/>
      <c r="I99" s="168"/>
      <c r="X99" s="150"/>
      <c r="Y99" s="118"/>
      <c r="Z99" s="118">
        <v>564</v>
      </c>
      <c r="AA99" s="118">
        <v>575.80253037671957</v>
      </c>
      <c r="AB99" s="119">
        <v>533</v>
      </c>
      <c r="AC99" s="119">
        <v>476</v>
      </c>
      <c r="AD99" s="119">
        <v>850</v>
      </c>
      <c r="AE99" s="119">
        <v>789.64416042794369</v>
      </c>
      <c r="AF99" s="119">
        <v>692.1895040460065</v>
      </c>
      <c r="AG99" s="119">
        <v>691.31797580952025</v>
      </c>
      <c r="AH99" s="119">
        <v>688.99631275424827</v>
      </c>
      <c r="AI99" s="119">
        <v>699.86122038608323</v>
      </c>
      <c r="AJ99" s="119">
        <v>705.02833830131067</v>
      </c>
      <c r="AK99" s="119">
        <v>713.81684814354981</v>
      </c>
      <c r="AL99" s="119">
        <v>722.72514456869646</v>
      </c>
      <c r="AM99" s="119">
        <v>731.75491411427925</v>
      </c>
      <c r="AN99" s="119">
        <v>740.90786757431772</v>
      </c>
      <c r="AO99" s="119">
        <v>750.18574035317351</v>
      </c>
      <c r="AP99" s="119">
        <v>759.59029282461415</v>
      </c>
      <c r="AQ99" s="119">
        <v>769.12331069616994</v>
      </c>
      <c r="AR99" s="119">
        <v>778.7866053788581</v>
      </c>
      <c r="AS99" s="119">
        <v>788.58201436235731</v>
      </c>
      <c r="AT99" s="119">
        <v>798.51140159571446</v>
      </c>
      <c r="AU99" s="119">
        <v>808.57665787365863</v>
      </c>
      <c r="AV99" s="119">
        <v>818.77970122861655</v>
      </c>
      <c r="AW99" s="119">
        <v>829.12247732850392</v>
      </c>
      <c r="AX99" s="119">
        <v>839.60695988038538</v>
      </c>
      <c r="AY99" s="119">
        <v>850.23515104008698</v>
      </c>
      <c r="AZ99" s="119">
        <v>861.00908182784997</v>
      </c>
      <c r="BA99" s="119">
        <v>871.93081255011805</v>
      </c>
      <c r="BB99" s="119">
        <v>883.00243322754295</v>
      </c>
      <c r="BC99" s="119">
        <v>894.31550908532768</v>
      </c>
      <c r="BD99" s="119">
        <v>905.78346719178398</v>
      </c>
      <c r="BE99" s="119">
        <v>917.4084952144741</v>
      </c>
      <c r="BF99" s="119">
        <v>929.1928123599962</v>
      </c>
      <c r="BG99" s="119">
        <v>941.13866983493904</v>
      </c>
    </row>
    <row r="100" spans="1:59" ht="13.75" customHeight="1" outlineLevel="1">
      <c r="A100" s="171" t="s">
        <v>166</v>
      </c>
      <c r="B100" s="165" t="s">
        <v>173</v>
      </c>
      <c r="C100" s="165" t="s">
        <v>176</v>
      </c>
      <c r="D100" s="165" t="s">
        <v>168</v>
      </c>
      <c r="E100" s="167"/>
      <c r="F100" s="168" t="s">
        <v>218</v>
      </c>
      <c r="G100" s="168" t="s">
        <v>219</v>
      </c>
      <c r="H100" s="168"/>
      <c r="I100" s="168"/>
      <c r="X100" s="120">
        <v>13.521020408163288</v>
      </c>
      <c r="Y100" s="120">
        <v>12.059599999999991</v>
      </c>
      <c r="Z100" s="120">
        <v>26.931722689075606</v>
      </c>
      <c r="AA100" s="121">
        <v>37.048163265306101</v>
      </c>
      <c r="AB100" s="112">
        <v>16.5</v>
      </c>
      <c r="AC100" s="112">
        <v>15.4</v>
      </c>
      <c r="AD100" s="112">
        <v>23.7</v>
      </c>
      <c r="AE100" s="112">
        <v>30.5</v>
      </c>
      <c r="AF100" s="112">
        <v>15.890508172708806</v>
      </c>
      <c r="AG100" s="112">
        <v>16.2</v>
      </c>
      <c r="AH100" s="112">
        <v>18.5</v>
      </c>
      <c r="AI100" s="112">
        <v>20</v>
      </c>
      <c r="AJ100" s="112">
        <v>20.32</v>
      </c>
      <c r="AK100" s="112">
        <v>20.645120000000002</v>
      </c>
      <c r="AL100" s="112">
        <v>20.975441920000002</v>
      </c>
      <c r="AM100" s="112">
        <v>21.311048990720003</v>
      </c>
      <c r="AN100" s="112">
        <v>21.524159480627205</v>
      </c>
      <c r="AO100" s="112">
        <v>21.739401075433477</v>
      </c>
      <c r="AP100" s="112">
        <v>21.956795086187814</v>
      </c>
      <c r="AQ100" s="112">
        <v>22.176363037049693</v>
      </c>
      <c r="AR100" s="112">
        <v>22.39812666742019</v>
      </c>
      <c r="AS100" s="112">
        <v>22.622107934094391</v>
      </c>
      <c r="AT100" s="112">
        <v>22.848329013435336</v>
      </c>
      <c r="AU100" s="112">
        <v>23.076812303569689</v>
      </c>
      <c r="AV100" s="112">
        <v>23.307580426605387</v>
      </c>
      <c r="AW100" s="112">
        <v>23.540656230871441</v>
      </c>
      <c r="AX100" s="112">
        <v>23.776062793180156</v>
      </c>
      <c r="AY100" s="112">
        <v>24.013823421111958</v>
      </c>
      <c r="AZ100" s="112">
        <v>24.253961655323078</v>
      </c>
      <c r="BA100" s="112">
        <v>24.496501271876308</v>
      </c>
      <c r="BB100" s="112">
        <v>24.74146628459507</v>
      </c>
      <c r="BC100" s="112">
        <v>24.988880947441022</v>
      </c>
      <c r="BD100" s="112">
        <v>25.238769756915431</v>
      </c>
      <c r="BE100" s="112">
        <v>25.491157454484586</v>
      </c>
      <c r="BF100" s="112">
        <v>25.746069029029432</v>
      </c>
      <c r="BG100" s="112">
        <v>26.003529719319726</v>
      </c>
    </row>
    <row r="101" spans="1:59" ht="13.75" customHeight="1" outlineLevel="1">
      <c r="A101" s="171" t="s">
        <v>166</v>
      </c>
      <c r="B101" s="165" t="s">
        <v>167</v>
      </c>
      <c r="C101" s="165"/>
      <c r="D101" s="165" t="s">
        <v>168</v>
      </c>
      <c r="E101" s="167"/>
      <c r="F101" s="168" t="s">
        <v>220</v>
      </c>
      <c r="G101" s="168" t="s">
        <v>4</v>
      </c>
      <c r="H101" s="168"/>
      <c r="I101" s="168" t="s">
        <v>221</v>
      </c>
      <c r="X101" s="120">
        <v>83.875</v>
      </c>
      <c r="Y101" s="118">
        <v>87.5</v>
      </c>
      <c r="Z101" s="118">
        <v>139.375</v>
      </c>
      <c r="AA101" s="118">
        <v>148.875</v>
      </c>
      <c r="AB101" s="119">
        <v>129</v>
      </c>
      <c r="AC101" s="119">
        <v>78</v>
      </c>
      <c r="AD101" s="119">
        <v>164</v>
      </c>
      <c r="AE101" s="119">
        <v>322.56340000000034</v>
      </c>
      <c r="AF101" s="119">
        <v>221.98844702079674</v>
      </c>
      <c r="AG101" s="119">
        <v>194.78524770150619</v>
      </c>
      <c r="AH101" s="119">
        <v>163.94425014876774</v>
      </c>
      <c r="AI101" s="119">
        <v>160.32330442938141</v>
      </c>
      <c r="AJ101" s="119">
        <v>162.6319600131645</v>
      </c>
      <c r="AK101" s="119">
        <v>164.97386023735407</v>
      </c>
      <c r="AL101" s="119">
        <v>167.34948382477199</v>
      </c>
      <c r="AM101" s="119">
        <v>169.75931639184873</v>
      </c>
      <c r="AN101" s="119">
        <v>172.06804309477786</v>
      </c>
      <c r="AO101" s="119">
        <v>174.40816848086686</v>
      </c>
      <c r="AP101" s="119">
        <v>176.78011957220664</v>
      </c>
      <c r="AQ101" s="119">
        <v>179.18432919838864</v>
      </c>
      <c r="AR101" s="119">
        <v>181.62123607548671</v>
      </c>
      <c r="AS101" s="119">
        <v>184.09128488611333</v>
      </c>
      <c r="AT101" s="119">
        <v>186.59492636056447</v>
      </c>
      <c r="AU101" s="119">
        <v>189.13261735906815</v>
      </c>
      <c r="AV101" s="119">
        <v>191.70482095515149</v>
      </c>
      <c r="AW101" s="119">
        <v>194.31200652014158</v>
      </c>
      <c r="AX101" s="119">
        <v>196.95464980881553</v>
      </c>
      <c r="AY101" s="119">
        <v>199.63323304621545</v>
      </c>
      <c r="AZ101" s="119">
        <v>202.34824501564401</v>
      </c>
      <c r="BA101" s="119">
        <v>205.10018114785677</v>
      </c>
      <c r="BB101" s="119">
        <v>207.88954361146764</v>
      </c>
      <c r="BC101" s="119">
        <v>210.71684140458362</v>
      </c>
      <c r="BD101" s="119">
        <v>213.58259044768599</v>
      </c>
      <c r="BE101" s="119">
        <v>216.48731367777452</v>
      </c>
      <c r="BF101" s="119">
        <v>219.43154114379226</v>
      </c>
      <c r="BG101" s="119">
        <v>222.41581010334787</v>
      </c>
    </row>
    <row r="102" spans="1:59" ht="13.75" customHeight="1" outlineLevel="1">
      <c r="A102" s="171" t="s">
        <v>166</v>
      </c>
      <c r="B102" s="165" t="s">
        <v>167</v>
      </c>
      <c r="C102" s="165"/>
      <c r="D102" s="165" t="s">
        <v>168</v>
      </c>
      <c r="E102" s="167"/>
      <c r="F102" s="168" t="s">
        <v>222</v>
      </c>
      <c r="G102" s="168"/>
      <c r="H102" s="168"/>
      <c r="I102" s="168"/>
      <c r="X102" s="120">
        <v>0</v>
      </c>
      <c r="Y102" s="120">
        <v>0</v>
      </c>
      <c r="Z102" s="120">
        <v>0</v>
      </c>
      <c r="AA102" s="120">
        <v>0</v>
      </c>
      <c r="AB102" s="119">
        <v>0</v>
      </c>
      <c r="AC102" s="119">
        <v>0</v>
      </c>
      <c r="AD102" s="119">
        <v>111.13783333333333</v>
      </c>
      <c r="AE102" s="119">
        <v>146.95515277777778</v>
      </c>
      <c r="AF102" s="119">
        <v>88.554231730769231</v>
      </c>
      <c r="AG102" s="119">
        <v>85.906971832269122</v>
      </c>
      <c r="AH102" s="119">
        <v>86.51618731203979</v>
      </c>
      <c r="AI102" s="119">
        <v>88.58387320363525</v>
      </c>
      <c r="AJ102" s="119">
        <v>90.625215174893412</v>
      </c>
      <c r="AK102" s="119">
        <v>92.699218617691713</v>
      </c>
      <c r="AL102" s="119">
        <v>94.806406115574788</v>
      </c>
      <c r="AM102" s="119">
        <v>96.947308613423985</v>
      </c>
      <c r="AN102" s="119">
        <v>98.850570934011927</v>
      </c>
      <c r="AO102" s="119">
        <v>100.7804789270881</v>
      </c>
      <c r="AP102" s="119">
        <v>102.73740563206732</v>
      </c>
      <c r="AQ102" s="119">
        <v>104.72172931091629</v>
      </c>
      <c r="AR102" s="119">
        <v>106.7338335212691</v>
      </c>
      <c r="AS102" s="119">
        <v>108.77410719056687</v>
      </c>
      <c r="AT102" s="119">
        <v>110.84294469123481</v>
      </c>
      <c r="AU102" s="119">
        <v>112.94074591691211</v>
      </c>
      <c r="AV102" s="119">
        <v>115.06791635974889</v>
      </c>
      <c r="AW102" s="119">
        <v>117.22486718878537</v>
      </c>
      <c r="AX102" s="119">
        <v>119.41201532942836</v>
      </c>
      <c r="AY102" s="119">
        <v>121.62978354404035</v>
      </c>
      <c r="AZ102" s="119">
        <v>123.87860051365692</v>
      </c>
      <c r="BA102" s="119">
        <v>126.15890092084811</v>
      </c>
      <c r="BB102" s="119">
        <v>128.47112553373998</v>
      </c>
      <c r="BC102" s="119">
        <v>130.81572129121236</v>
      </c>
      <c r="BD102" s="119">
        <v>133.19314138928931</v>
      </c>
      <c r="BE102" s="119">
        <v>135.60384536873937</v>
      </c>
      <c r="BF102" s="119">
        <v>138.04829920390171</v>
      </c>
      <c r="BG102" s="119">
        <v>140.52697539275636</v>
      </c>
    </row>
    <row r="103" spans="1:59" ht="13.75" customHeight="1" outlineLevel="1">
      <c r="A103" s="171" t="s">
        <v>166</v>
      </c>
      <c r="B103" s="165" t="s">
        <v>167</v>
      </c>
      <c r="C103" s="165"/>
      <c r="D103" s="165" t="s">
        <v>168</v>
      </c>
      <c r="E103" s="167"/>
      <c r="F103" s="168" t="s">
        <v>223</v>
      </c>
      <c r="G103" s="168"/>
      <c r="H103" s="168"/>
      <c r="I103" s="168"/>
      <c r="X103" s="120">
        <v>0</v>
      </c>
      <c r="Y103" s="120">
        <v>0</v>
      </c>
      <c r="Z103" s="120">
        <v>0</v>
      </c>
      <c r="AA103" s="120">
        <v>0</v>
      </c>
      <c r="AB103" s="112">
        <v>0</v>
      </c>
      <c r="AC103" s="112">
        <v>0</v>
      </c>
      <c r="AD103" s="112">
        <v>113.33044753086419</v>
      </c>
      <c r="AE103" s="112">
        <v>158</v>
      </c>
      <c r="AF103" s="112">
        <v>93.36471576923077</v>
      </c>
      <c r="AG103" s="112">
        <v>89.906971832269122</v>
      </c>
      <c r="AH103" s="112">
        <v>90.51618731203979</v>
      </c>
      <c r="AI103" s="112">
        <v>92.58387320363525</v>
      </c>
      <c r="AJ103" s="112">
        <v>94.625215174893412</v>
      </c>
      <c r="AK103" s="112">
        <v>96.699218617691713</v>
      </c>
      <c r="AL103" s="112">
        <v>98.806406115574788</v>
      </c>
      <c r="AM103" s="112">
        <v>100.94730861342398</v>
      </c>
      <c r="AN103" s="112">
        <v>102.85057093401193</v>
      </c>
      <c r="AO103" s="112">
        <v>104.7804789270881</v>
      </c>
      <c r="AP103" s="112">
        <v>106.73740563206732</v>
      </c>
      <c r="AQ103" s="112">
        <v>108.72172931091629</v>
      </c>
      <c r="AR103" s="112">
        <v>110.7338335212691</v>
      </c>
      <c r="AS103" s="112">
        <v>112.77410719056687</v>
      </c>
      <c r="AT103" s="112">
        <v>114.84294469123481</v>
      </c>
      <c r="AU103" s="112">
        <v>116.94074591691211</v>
      </c>
      <c r="AV103" s="112">
        <v>119.06791635974889</v>
      </c>
      <c r="AW103" s="112">
        <v>121.22486718878537</v>
      </c>
      <c r="AX103" s="112">
        <v>123.41201532942836</v>
      </c>
      <c r="AY103" s="112">
        <v>125.62978354404035</v>
      </c>
      <c r="AZ103" s="112">
        <v>127.87860051365692</v>
      </c>
      <c r="BA103" s="112">
        <v>130.15890092084811</v>
      </c>
      <c r="BB103" s="112">
        <v>132.47112553373998</v>
      </c>
      <c r="BC103" s="112">
        <v>134.81572129121236</v>
      </c>
      <c r="BD103" s="112">
        <v>137.19314138928931</v>
      </c>
      <c r="BE103" s="112">
        <v>139.60384536873937</v>
      </c>
      <c r="BF103" s="112">
        <v>142.04829920390171</v>
      </c>
      <c r="BG103" s="112">
        <v>144.52697539275636</v>
      </c>
    </row>
    <row r="104" spans="1:59" ht="13.75" customHeight="1" outlineLevel="1">
      <c r="A104" s="171" t="s">
        <v>166</v>
      </c>
      <c r="B104" s="165" t="s">
        <v>167</v>
      </c>
      <c r="C104" s="165"/>
      <c r="D104" s="165" t="s">
        <v>168</v>
      </c>
      <c r="E104" s="167"/>
      <c r="F104" s="168" t="s">
        <v>224</v>
      </c>
      <c r="G104" s="168"/>
      <c r="H104" s="168"/>
      <c r="I104" s="168"/>
      <c r="X104" s="120">
        <v>0</v>
      </c>
      <c r="Y104" s="120">
        <v>0</v>
      </c>
      <c r="Z104" s="120">
        <v>88.205192307692315</v>
      </c>
      <c r="AA104" s="120">
        <v>103.03711538461536</v>
      </c>
      <c r="AB104" s="119">
        <v>75.009615384615387</v>
      </c>
      <c r="AC104" s="119">
        <v>60.549811320754721</v>
      </c>
      <c r="AD104" s="119">
        <v>129.77705555555556</v>
      </c>
      <c r="AE104" s="119">
        <v>180.50080555555556</v>
      </c>
      <c r="AF104" s="119">
        <v>117.71243019230769</v>
      </c>
      <c r="AG104" s="119">
        <v>116.70546400603172</v>
      </c>
      <c r="AH104" s="119">
        <v>114.39321234236758</v>
      </c>
      <c r="AI104" s="119">
        <v>116.39297857070081</v>
      </c>
      <c r="AJ104" s="119">
        <v>118.36726622783202</v>
      </c>
      <c r="AK104" s="119">
        <v>120.37314248747734</v>
      </c>
      <c r="AL104" s="119">
        <v>122.41111276727699</v>
      </c>
      <c r="AM104" s="119">
        <v>124.48169057155343</v>
      </c>
      <c r="AN104" s="119">
        <v>126.32243423955518</v>
      </c>
      <c r="AO104" s="119">
        <v>128.18894831890896</v>
      </c>
      <c r="AP104" s="119">
        <v>130.08159359537368</v>
      </c>
      <c r="AQ104" s="119">
        <v>132.00073590570892</v>
      </c>
      <c r="AR104" s="119">
        <v>133.94674620838882</v>
      </c>
      <c r="AS104" s="119">
        <v>135.92000065530627</v>
      </c>
      <c r="AT104" s="119">
        <v>137.92088066448056</v>
      </c>
      <c r="AU104" s="119">
        <v>139.94977299378331</v>
      </c>
      <c r="AV104" s="119">
        <v>142.00706981569627</v>
      </c>
      <c r="AW104" s="119">
        <v>144.09316879311601</v>
      </c>
      <c r="AX104" s="119">
        <v>146.20847315621964</v>
      </c>
      <c r="AY104" s="119">
        <v>148.35339178040672</v>
      </c>
      <c r="AZ104" s="119">
        <v>150.52833926533242</v>
      </c>
      <c r="BA104" s="119">
        <v>152.73373601504707</v>
      </c>
      <c r="BB104" s="119">
        <v>154.97000831925772</v>
      </c>
      <c r="BC104" s="119">
        <v>157.23758843572733</v>
      </c>
      <c r="BD104" s="119">
        <v>159.53691467382751</v>
      </c>
      <c r="BE104" s="119">
        <v>161.86843147926109</v>
      </c>
      <c r="BF104" s="119">
        <v>164.23258951997073</v>
      </c>
      <c r="BG104" s="119">
        <v>166.62984577325034</v>
      </c>
    </row>
    <row r="105" spans="1:59" ht="13.75" customHeight="1" outlineLevel="1">
      <c r="A105" s="171" t="s">
        <v>166</v>
      </c>
      <c r="B105" s="165" t="s">
        <v>167</v>
      </c>
      <c r="C105" s="165"/>
      <c r="D105" s="165" t="s">
        <v>168</v>
      </c>
      <c r="E105" s="167"/>
      <c r="F105" s="168" t="s">
        <v>225</v>
      </c>
      <c r="G105" s="168" t="s">
        <v>4</v>
      </c>
      <c r="H105" s="168"/>
      <c r="I105" s="168" t="s">
        <v>226</v>
      </c>
      <c r="X105" s="120">
        <v>0</v>
      </c>
      <c r="Y105" s="120">
        <v>0</v>
      </c>
      <c r="Z105" s="120">
        <v>0</v>
      </c>
      <c r="AA105" s="120">
        <v>0</v>
      </c>
      <c r="AB105" s="119">
        <v>206.05661113104881</v>
      </c>
      <c r="AC105" s="119">
        <v>118.53463662349486</v>
      </c>
      <c r="AD105" s="119">
        <v>220.11809254986301</v>
      </c>
      <c r="AE105" s="119">
        <v>315.22882914131611</v>
      </c>
      <c r="AF105" s="119">
        <v>237.01968956010873</v>
      </c>
      <c r="AG105" s="119">
        <v>210.14598139688914</v>
      </c>
      <c r="AH105" s="119">
        <v>177.11761917703268</v>
      </c>
      <c r="AI105" s="119">
        <v>174.63907389955062</v>
      </c>
      <c r="AJ105" s="119">
        <v>184.99179361073158</v>
      </c>
      <c r="AK105" s="119">
        <v>189.5875850527118</v>
      </c>
      <c r="AL105" s="119">
        <v>192.24273053649526</v>
      </c>
      <c r="AM105" s="119">
        <v>194.93506276574038</v>
      </c>
      <c r="AN105" s="119">
        <v>197.66510259022272</v>
      </c>
      <c r="AO105" s="119">
        <v>200.43048576869754</v>
      </c>
      <c r="AP105" s="119">
        <v>203.23456502909312</v>
      </c>
      <c r="AQ105" s="119">
        <v>206.07788192373062</v>
      </c>
      <c r="AR105" s="119">
        <v>208.96098558473528</v>
      </c>
      <c r="AS105" s="119">
        <v>211.88443283013476</v>
      </c>
      <c r="AT105" s="119">
        <v>214.84878827144195</v>
      </c>
      <c r="AU105" s="119">
        <v>217.85462442274428</v>
      </c>
      <c r="AV105" s="119">
        <v>220.9025218113199</v>
      </c>
      <c r="AW105" s="119">
        <v>223.99306908980213</v>
      </c>
      <c r="AX105" s="119">
        <v>227.12686314991436</v>
      </c>
      <c r="AY105" s="119">
        <v>230.30450923779671</v>
      </c>
      <c r="AZ105" s="119">
        <v>233.52662107094724</v>
      </c>
      <c r="BA105" s="119">
        <v>236.79382095680006</v>
      </c>
      <c r="BB105" s="119">
        <v>240.10673991296349</v>
      </c>
      <c r="BC105" s="119">
        <v>243.46047658263055</v>
      </c>
      <c r="BD105" s="119">
        <v>246.86116556567296</v>
      </c>
      <c r="BE105" s="119">
        <v>250.30946419447793</v>
      </c>
      <c r="BF105" s="119">
        <v>253.80603900408619</v>
      </c>
      <c r="BG105" s="119">
        <v>257.35156586102892</v>
      </c>
    </row>
    <row r="106" spans="1:59" ht="13.75" customHeight="1" outlineLevel="1">
      <c r="A106" s="171"/>
      <c r="B106" s="165"/>
      <c r="C106" s="165"/>
      <c r="D106" s="165"/>
      <c r="E106" s="167"/>
      <c r="F106" s="168"/>
      <c r="G106" s="168"/>
      <c r="H106" s="168"/>
      <c r="I106" s="168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</row>
    <row r="107" spans="1:59" ht="13.75" customHeight="1" outlineLevel="1">
      <c r="A107" s="171"/>
      <c r="B107" s="165"/>
      <c r="C107" s="165"/>
      <c r="D107" s="165"/>
      <c r="E107" s="167"/>
      <c r="F107" s="168"/>
      <c r="G107" s="168"/>
      <c r="H107" s="168"/>
      <c r="I107" s="168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</row>
    <row r="108" spans="1:59" ht="13.75" customHeight="1" outlineLevel="1">
      <c r="A108" s="171"/>
      <c r="B108" s="165"/>
      <c r="C108" s="165"/>
      <c r="D108" s="165"/>
      <c r="E108" s="167"/>
      <c r="F108" s="168"/>
      <c r="G108" s="168"/>
      <c r="H108" s="168"/>
      <c r="I108" s="168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</row>
    <row r="109" spans="1:59" ht="13.75" customHeight="1" outlineLevel="1">
      <c r="A109" s="171"/>
      <c r="B109" s="165"/>
      <c r="C109" s="165"/>
      <c r="D109" s="165"/>
      <c r="E109" s="167"/>
      <c r="F109" s="168"/>
      <c r="G109" s="168"/>
      <c r="H109" s="168"/>
      <c r="I109" s="168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</row>
    <row r="110" spans="1:59" ht="13.75" customHeight="1" outlineLevel="1">
      <c r="A110" s="171"/>
      <c r="B110" s="165"/>
      <c r="C110" s="165"/>
      <c r="D110" s="165"/>
      <c r="E110" s="167"/>
      <c r="F110" s="168"/>
      <c r="G110" s="168"/>
      <c r="H110" s="168"/>
      <c r="I110" s="168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</row>
    <row r="111" spans="1:59" ht="13.75" customHeight="1" outlineLevel="1">
      <c r="A111" s="171"/>
      <c r="B111" s="165"/>
      <c r="C111" s="165"/>
      <c r="D111" s="165"/>
      <c r="E111" s="167"/>
      <c r="F111" s="168"/>
      <c r="G111" s="168"/>
      <c r="H111" s="168"/>
      <c r="I111" s="168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</row>
    <row r="112" spans="1:59" ht="13.75" customHeight="1" outlineLevel="1">
      <c r="A112" s="171"/>
      <c r="B112" s="165"/>
      <c r="C112" s="165"/>
      <c r="D112" s="165"/>
      <c r="E112" s="167"/>
      <c r="F112" s="168"/>
      <c r="G112" s="168"/>
      <c r="H112" s="168"/>
      <c r="I112" s="168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</row>
    <row r="113" spans="1:59" ht="13.75" customHeight="1" outlineLevel="1">
      <c r="A113" s="171"/>
      <c r="B113" s="165"/>
      <c r="C113" s="165"/>
      <c r="D113" s="165"/>
      <c r="E113" s="167"/>
      <c r="F113" s="168"/>
      <c r="G113" s="168"/>
      <c r="H113" s="168"/>
      <c r="I113" s="168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</row>
    <row r="114" spans="1:59" ht="13.75" customHeight="1" outlineLevel="1">
      <c r="A114" s="171"/>
      <c r="B114" s="165"/>
      <c r="C114" s="165"/>
      <c r="D114" s="165"/>
      <c r="E114" s="167"/>
      <c r="F114" s="168"/>
      <c r="G114" s="168"/>
      <c r="H114" s="168"/>
      <c r="I114" s="168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</row>
    <row r="115" spans="1:59" ht="13.75" customHeight="1" outlineLevel="1">
      <c r="A115" s="171"/>
      <c r="B115" s="165"/>
      <c r="C115" s="165"/>
      <c r="D115" s="165"/>
      <c r="E115" s="167"/>
      <c r="F115" s="168"/>
      <c r="G115" s="168"/>
      <c r="H115" s="168"/>
      <c r="I115" s="168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</row>
    <row r="116" spans="1:59" ht="13.75" customHeight="1" outlineLevel="1">
      <c r="A116" s="171"/>
      <c r="B116" s="165"/>
      <c r="C116" s="165"/>
      <c r="D116" s="165"/>
      <c r="E116" s="167"/>
      <c r="F116" s="168"/>
      <c r="G116" s="168"/>
      <c r="H116" s="168"/>
      <c r="I116" s="168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</row>
    <row r="117" spans="1:59" ht="13.75" customHeight="1" outlineLevel="1">
      <c r="A117" s="171"/>
      <c r="B117" s="165"/>
      <c r="C117" s="165"/>
      <c r="D117" s="165"/>
      <c r="E117" s="167"/>
      <c r="F117" s="168"/>
      <c r="G117" s="168"/>
      <c r="H117" s="168"/>
      <c r="I117" s="168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</row>
    <row r="118" spans="1:59" ht="13.75" customHeight="1" outlineLevel="1">
      <c r="A118" s="171"/>
      <c r="B118" s="165"/>
      <c r="C118" s="165"/>
      <c r="D118" s="165"/>
      <c r="E118" s="167"/>
      <c r="F118" s="168"/>
      <c r="G118" s="168"/>
      <c r="H118" s="168"/>
      <c r="I118" s="168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</row>
    <row r="119" spans="1:59" ht="13.75" customHeight="1" outlineLevel="1">
      <c r="A119" s="171"/>
      <c r="B119" s="165"/>
      <c r="C119" s="165"/>
      <c r="D119" s="165"/>
      <c r="E119" s="167"/>
      <c r="F119" s="168"/>
      <c r="G119" s="168"/>
      <c r="H119" s="168"/>
      <c r="I119" s="168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</row>
    <row r="120" spans="1:59" ht="13.75" customHeight="1" outlineLevel="1">
      <c r="A120" s="171"/>
      <c r="B120" s="165"/>
      <c r="C120" s="165"/>
      <c r="D120" s="165"/>
      <c r="E120" s="167"/>
      <c r="F120" s="168"/>
      <c r="G120" s="168"/>
      <c r="H120" s="168"/>
      <c r="I120" s="168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2"/>
    </row>
    <row r="121" spans="1:59" ht="13.75" customHeight="1">
      <c r="A121" s="171" t="s">
        <v>166</v>
      </c>
      <c r="B121" s="165" t="s">
        <v>227</v>
      </c>
      <c r="C121" s="165"/>
      <c r="D121" s="165" t="s">
        <v>168</v>
      </c>
      <c r="F121" s="168" t="s">
        <v>228</v>
      </c>
      <c r="G121" s="168" t="s">
        <v>4</v>
      </c>
      <c r="I121" s="168" t="s">
        <v>229</v>
      </c>
      <c r="U121" s="112"/>
      <c r="V121" s="112"/>
      <c r="W121" s="112"/>
      <c r="X121" s="128">
        <v>273.13583333333332</v>
      </c>
      <c r="Y121" s="128">
        <v>197.9341666666667</v>
      </c>
      <c r="Z121" s="128">
        <v>221.37333333333333</v>
      </c>
      <c r="AA121" s="128">
        <v>250.93750000000003</v>
      </c>
      <c r="AB121" s="128">
        <v>239.15690000000001</v>
      </c>
      <c r="AC121" s="128">
        <v>225.57351190476189</v>
      </c>
      <c r="AD121" s="128">
        <v>482.92708333333331</v>
      </c>
      <c r="AE121" s="128">
        <v>561.79166666666663</v>
      </c>
      <c r="AF121" s="128">
        <v>315.15907928917011</v>
      </c>
      <c r="AG121" s="128">
        <v>355.70953398668496</v>
      </c>
      <c r="AH121" s="128">
        <v>331.25108758049714</v>
      </c>
      <c r="AI121" s="128">
        <v>301.17707807426558</v>
      </c>
      <c r="AJ121" s="128">
        <v>295.32714376284963</v>
      </c>
      <c r="AK121" s="128">
        <v>296.50845233790102</v>
      </c>
      <c r="AL121" s="128">
        <v>297.69448614725263</v>
      </c>
      <c r="AM121" s="128">
        <v>298.88526409184163</v>
      </c>
      <c r="AN121" s="128">
        <v>300.08080514820898</v>
      </c>
      <c r="AO121" s="128">
        <v>301.28112836880183</v>
      </c>
      <c r="AP121" s="128">
        <v>302.48625288227703</v>
      </c>
      <c r="AQ121" s="128">
        <v>303.69619789380613</v>
      </c>
      <c r="AR121" s="128">
        <v>304.91098268538133</v>
      </c>
      <c r="AS121" s="128">
        <v>306.13062661612287</v>
      </c>
      <c r="AT121" s="128">
        <v>307.35514912258736</v>
      </c>
      <c r="AU121" s="128">
        <v>308.58456971907771</v>
      </c>
      <c r="AV121" s="128">
        <v>309.818907997954</v>
      </c>
      <c r="AW121" s="128">
        <v>311.0581836299458</v>
      </c>
      <c r="AX121" s="128">
        <v>312.30241636446561</v>
      </c>
      <c r="AY121" s="128">
        <v>313.55162602992345</v>
      </c>
      <c r="AZ121" s="128">
        <v>314.80583253404313</v>
      </c>
      <c r="BA121" s="128">
        <v>316.06505586417933</v>
      </c>
      <c r="BB121" s="128">
        <v>317.32931608763607</v>
      </c>
      <c r="BC121" s="128">
        <f t="shared" ref="BC121:BG126" si="69">BB121*(1+((BB121-BA121)/BA121))</f>
        <v>318.59863335198662</v>
      </c>
      <c r="BD121" s="128">
        <f t="shared" si="69"/>
        <v>319.87302788539455</v>
      </c>
      <c r="BE121" s="128">
        <f t="shared" si="69"/>
        <v>321.15251999693612</v>
      </c>
      <c r="BF121" s="128">
        <f t="shared" si="69"/>
        <v>322.43713007692389</v>
      </c>
      <c r="BG121" s="128">
        <f t="shared" si="69"/>
        <v>323.72687859723158</v>
      </c>
    </row>
    <row r="122" spans="1:59" ht="13.75" customHeight="1">
      <c r="A122" s="171" t="s">
        <v>166</v>
      </c>
      <c r="B122" s="165" t="s">
        <v>227</v>
      </c>
      <c r="C122" s="165"/>
      <c r="D122" s="165" t="s">
        <v>168</v>
      </c>
      <c r="E122" s="167"/>
      <c r="F122" s="168" t="s">
        <v>230</v>
      </c>
      <c r="G122" s="168" t="s">
        <v>4</v>
      </c>
      <c r="H122" s="168"/>
      <c r="I122" s="168" t="s">
        <v>229</v>
      </c>
      <c r="U122" s="112"/>
      <c r="V122" s="112"/>
      <c r="W122" s="112"/>
      <c r="X122" s="128">
        <v>459</v>
      </c>
      <c r="Y122" s="128">
        <v>345</v>
      </c>
      <c r="Z122" s="128">
        <v>347.72549019607845</v>
      </c>
      <c r="AA122" s="128">
        <v>412.49019607843138</v>
      </c>
      <c r="AB122" s="128">
        <v>338.1</v>
      </c>
      <c r="AC122" s="128">
        <v>310</v>
      </c>
      <c r="AD122" s="128">
        <v>653.3125</v>
      </c>
      <c r="AE122" s="128">
        <v>835.53125</v>
      </c>
      <c r="AF122" s="128">
        <v>519.35082102237618</v>
      </c>
      <c r="AG122" s="128">
        <v>457.50157692157882</v>
      </c>
      <c r="AH122" s="128">
        <v>436.09418746094383</v>
      </c>
      <c r="AI122" s="119">
        <v>415.96801387660821</v>
      </c>
      <c r="AJ122" s="119">
        <v>419.46807165273032</v>
      </c>
      <c r="AK122" s="119">
        <v>423.71245647820746</v>
      </c>
      <c r="AL122" s="119">
        <v>427.17786107215721</v>
      </c>
      <c r="AM122" s="119">
        <v>430.57842917116989</v>
      </c>
      <c r="AN122" s="119">
        <v>433.70429331565072</v>
      </c>
      <c r="AO122" s="119">
        <v>436.73085535527497</v>
      </c>
      <c r="AP122" s="119">
        <v>439.76873504285652</v>
      </c>
      <c r="AQ122" s="119">
        <v>442.8165893557308</v>
      </c>
      <c r="AR122" s="119">
        <v>445.87357836365283</v>
      </c>
      <c r="AS122" s="119">
        <v>448.96869794383667</v>
      </c>
      <c r="AT122" s="119">
        <v>452.09668101032798</v>
      </c>
      <c r="AU122" s="119">
        <v>455.23153383568922</v>
      </c>
      <c r="AV122" s="119">
        <v>458.37328389895583</v>
      </c>
      <c r="AW122" s="119">
        <v>461.52195878907941</v>
      </c>
      <c r="AX122" s="119">
        <v>464.67758620536745</v>
      </c>
      <c r="AY122" s="119">
        <v>467.84019395792461</v>
      </c>
      <c r="AZ122" s="119">
        <v>471.08443568814067</v>
      </c>
      <c r="BA122" s="119">
        <v>474.41428755165867</v>
      </c>
      <c r="BB122" s="119">
        <v>477.83393469426727</v>
      </c>
      <c r="BC122" s="119">
        <f t="shared" si="69"/>
        <v>481.2782311505386</v>
      </c>
      <c r="BD122" s="119">
        <f t="shared" si="69"/>
        <v>484.74735459630841</v>
      </c>
      <c r="BE122" s="119">
        <f t="shared" si="69"/>
        <v>488.24148398812576</v>
      </c>
      <c r="BF122" s="119">
        <f t="shared" si="69"/>
        <v>491.76079957248442</v>
      </c>
      <c r="BG122" s="119">
        <f t="shared" si="69"/>
        <v>495.30548289512114</v>
      </c>
    </row>
    <row r="123" spans="1:59" ht="13.75" customHeight="1">
      <c r="A123" s="171" t="s">
        <v>166</v>
      </c>
      <c r="B123" s="165" t="s">
        <v>227</v>
      </c>
      <c r="C123" s="165"/>
      <c r="D123" s="165" t="s">
        <v>168</v>
      </c>
      <c r="E123" s="167"/>
      <c r="F123" s="168" t="s">
        <v>231</v>
      </c>
      <c r="G123" s="168" t="s">
        <v>4</v>
      </c>
      <c r="H123" s="168"/>
      <c r="I123" s="168"/>
      <c r="U123" s="112"/>
      <c r="V123" s="112"/>
      <c r="W123" s="112"/>
      <c r="X123" s="128">
        <v>123.48039215686275</v>
      </c>
      <c r="Y123" s="128">
        <v>107.12745098039215</v>
      </c>
      <c r="Z123" s="128">
        <v>81.666666666666671</v>
      </c>
      <c r="AA123" s="128">
        <v>82.303921568627445</v>
      </c>
      <c r="AB123" s="119">
        <v>81.5</v>
      </c>
      <c r="AC123" s="119">
        <v>76.884615384615387</v>
      </c>
      <c r="AD123" s="119">
        <v>113.27291666666667</v>
      </c>
      <c r="AE123" s="119">
        <v>279.5</v>
      </c>
      <c r="AF123" s="119">
        <v>242.33333333333334</v>
      </c>
      <c r="AG123" s="119">
        <v>115.85000000000002</v>
      </c>
      <c r="AH123" s="119">
        <v>104.91181816883574</v>
      </c>
      <c r="AI123" s="119">
        <v>102.25201165105376</v>
      </c>
      <c r="AJ123" s="119">
        <v>102.66101969765798</v>
      </c>
      <c r="AK123" s="119">
        <v>103.07166377644862</v>
      </c>
      <c r="AL123" s="119">
        <v>103.4839504315544</v>
      </c>
      <c r="AM123" s="119">
        <v>103.89788623328062</v>
      </c>
      <c r="AN123" s="119">
        <v>104.31347777821374</v>
      </c>
      <c r="AO123" s="119">
        <v>104.73073168932659</v>
      </c>
      <c r="AP123" s="119">
        <v>105.14965461608389</v>
      </c>
      <c r="AQ123" s="119">
        <v>105.57025323454823</v>
      </c>
      <c r="AR123" s="119">
        <v>105.99253424748643</v>
      </c>
      <c r="AS123" s="119">
        <v>106.41650438447638</v>
      </c>
      <c r="AT123" s="119">
        <v>106.84217040201429</v>
      </c>
      <c r="AU123" s="119">
        <v>107.26953908362235</v>
      </c>
      <c r="AV123" s="119">
        <v>107.69861723995683</v>
      </c>
      <c r="AW123" s="119">
        <v>108.12941170891666</v>
      </c>
      <c r="AX123" s="119">
        <v>108.56192935575233</v>
      </c>
      <c r="AY123" s="119">
        <v>108.99617707317533</v>
      </c>
      <c r="AZ123" s="119">
        <v>109.43216178146804</v>
      </c>
      <c r="BA123" s="119">
        <v>109.86989042859391</v>
      </c>
      <c r="BB123" s="119">
        <v>110.30936999030828</v>
      </c>
      <c r="BC123" s="119">
        <f t="shared" si="69"/>
        <v>110.75060747026951</v>
      </c>
      <c r="BD123" s="119">
        <f t="shared" si="69"/>
        <v>111.19360990015059</v>
      </c>
      <c r="BE123" s="119">
        <f t="shared" si="69"/>
        <v>111.6383843397512</v>
      </c>
      <c r="BF123" s="119">
        <f t="shared" si="69"/>
        <v>112.08493787711021</v>
      </c>
      <c r="BG123" s="119">
        <f t="shared" si="69"/>
        <v>112.53327762861865</v>
      </c>
    </row>
    <row r="124" spans="1:59" ht="13.75" customHeight="1">
      <c r="A124" s="171" t="s">
        <v>166</v>
      </c>
      <c r="B124" s="165" t="s">
        <v>227</v>
      </c>
      <c r="C124" s="165"/>
      <c r="D124" s="165" t="s">
        <v>168</v>
      </c>
      <c r="E124" s="167"/>
      <c r="F124" s="168" t="s">
        <v>232</v>
      </c>
      <c r="G124" s="168" t="s">
        <v>4</v>
      </c>
      <c r="H124" s="168"/>
      <c r="I124" s="168" t="s">
        <v>229</v>
      </c>
      <c r="U124" s="112"/>
      <c r="V124" s="112"/>
      <c r="W124" s="112"/>
      <c r="X124" s="128">
        <v>380.76916666666665</v>
      </c>
      <c r="Y124" s="128">
        <v>233.97833333333335</v>
      </c>
      <c r="Z124" s="128">
        <v>263.95416666666671</v>
      </c>
      <c r="AA124" s="128">
        <v>283.23666666666668</v>
      </c>
      <c r="AB124" s="128">
        <v>230.45099999999999</v>
      </c>
      <c r="AC124" s="128">
        <v>203.54999999999998</v>
      </c>
      <c r="AD124" s="128">
        <v>558</v>
      </c>
      <c r="AE124" s="128">
        <v>1126.5311749396171</v>
      </c>
      <c r="AF124" s="128">
        <v>471.14114067082141</v>
      </c>
      <c r="AG124" s="128">
        <v>490.22242537905913</v>
      </c>
      <c r="AH124" s="128">
        <v>457.68260438833539</v>
      </c>
      <c r="AI124" s="128">
        <v>421.31094616378726</v>
      </c>
      <c r="AJ124" s="128">
        <v>426.75724591174537</v>
      </c>
      <c r="AK124" s="128">
        <v>446.27889134164019</v>
      </c>
      <c r="AL124" s="128">
        <v>460.35374000279228</v>
      </c>
      <c r="AM124" s="128">
        <v>473.93863056618204</v>
      </c>
      <c r="AN124" s="128">
        <v>485.57667629314926</v>
      </c>
      <c r="AO124" s="128">
        <v>496.48521207071451</v>
      </c>
      <c r="AP124" s="128">
        <v>507.43190817822909</v>
      </c>
      <c r="AQ124" s="128">
        <v>518.40728086852653</v>
      </c>
      <c r="AR124" s="128">
        <v>529.40533780134706</v>
      </c>
      <c r="AS124" s="128">
        <v>540.62718159220276</v>
      </c>
      <c r="AT124" s="128">
        <v>552.03608893130581</v>
      </c>
      <c r="AU124" s="128">
        <v>563.4514685785457</v>
      </c>
      <c r="AV124" s="128">
        <v>574.87334642315477</v>
      </c>
      <c r="AW124" s="128">
        <v>586.30174845792271</v>
      </c>
      <c r="AX124" s="128">
        <v>597.73670077960992</v>
      </c>
      <c r="AY124" s="128">
        <v>609.17822958936426</v>
      </c>
      <c r="AZ124" s="128">
        <v>621.14435148521329</v>
      </c>
      <c r="BA124" s="128">
        <v>633.66249749411418</v>
      </c>
      <c r="BB124" s="128">
        <v>646.76154860782162</v>
      </c>
      <c r="BC124" s="128">
        <f t="shared" si="69"/>
        <v>660.13138289199924</v>
      </c>
      <c r="BD124" s="128">
        <f t="shared" si="69"/>
        <v>673.7775979677856</v>
      </c>
      <c r="BE124" s="128">
        <f t="shared" si="69"/>
        <v>687.7059071701666</v>
      </c>
      <c r="BF124" s="128">
        <f t="shared" si="69"/>
        <v>701.92214194000826</v>
      </c>
      <c r="BG124" s="128">
        <f t="shared" si="69"/>
        <v>716.43225426553772</v>
      </c>
    </row>
    <row r="125" spans="1:59" ht="13.75" customHeight="1">
      <c r="A125" s="171" t="s">
        <v>166</v>
      </c>
      <c r="B125" s="165" t="s">
        <v>227</v>
      </c>
      <c r="C125" s="165"/>
      <c r="D125" s="165" t="s">
        <v>168</v>
      </c>
      <c r="E125" s="167"/>
      <c r="F125" s="168" t="s">
        <v>233</v>
      </c>
      <c r="G125" s="168" t="s">
        <v>4</v>
      </c>
      <c r="H125" s="168"/>
      <c r="I125" s="168" t="s">
        <v>229</v>
      </c>
      <c r="U125" s="112"/>
      <c r="V125" s="112"/>
      <c r="W125" s="112"/>
      <c r="X125" s="128">
        <v>224</v>
      </c>
      <c r="Y125" s="128">
        <v>162.92583006443252</v>
      </c>
      <c r="Z125" s="128">
        <v>190.91176470588235</v>
      </c>
      <c r="AA125" s="128">
        <v>187</v>
      </c>
      <c r="AB125" s="128">
        <v>184.40199999999999</v>
      </c>
      <c r="AC125" s="128">
        <v>166.27470238095239</v>
      </c>
      <c r="AD125" s="128">
        <v>350</v>
      </c>
      <c r="AE125" s="128">
        <v>513.77083333333337</v>
      </c>
      <c r="AF125" s="128">
        <v>279.28897840718037</v>
      </c>
      <c r="AG125" s="128">
        <v>286.20788483829512</v>
      </c>
      <c r="AH125" s="128">
        <v>272.61925559256878</v>
      </c>
      <c r="AI125" s="128">
        <v>257.7295100551566</v>
      </c>
      <c r="AJ125" s="128">
        <v>260.16608667146056</v>
      </c>
      <c r="AK125" s="128">
        <v>268.87117902409028</v>
      </c>
      <c r="AL125" s="128">
        <v>275.23410704883855</v>
      </c>
      <c r="AM125" s="128">
        <v>281.3874690273247</v>
      </c>
      <c r="AN125" s="119">
        <v>286.70446977057344</v>
      </c>
      <c r="AO125" s="119">
        <v>291.70885132033629</v>
      </c>
      <c r="AP125" s="119">
        <v>296.73089538365917</v>
      </c>
      <c r="AQ125" s="119">
        <v>301.76652672252669</v>
      </c>
      <c r="AR125" s="119">
        <v>306.81317223576355</v>
      </c>
      <c r="AS125" s="119">
        <v>311.9573578347887</v>
      </c>
      <c r="AT125" s="119">
        <v>317.18328899486232</v>
      </c>
      <c r="AU125" s="119">
        <v>322.41327454370276</v>
      </c>
      <c r="AV125" s="119">
        <v>327.64733069886495</v>
      </c>
      <c r="AW125" s="119">
        <v>332.88547374277414</v>
      </c>
      <c r="AX125" s="119">
        <v>338.12772002298544</v>
      </c>
      <c r="AY125" s="119">
        <v>343.37408595244398</v>
      </c>
      <c r="AZ125" s="119">
        <v>348.84744429819779</v>
      </c>
      <c r="BA125" s="119">
        <v>354.55960196271059</v>
      </c>
      <c r="BB125" s="119">
        <v>360.52298969123638</v>
      </c>
      <c r="BC125" s="119">
        <f t="shared" si="69"/>
        <v>366.58667647527744</v>
      </c>
      <c r="BD125" s="119">
        <f t="shared" si="69"/>
        <v>372.75234925873133</v>
      </c>
      <c r="BE125" s="119">
        <f t="shared" si="69"/>
        <v>379.02172335844182</v>
      </c>
      <c r="BF125" s="119">
        <f t="shared" si="69"/>
        <v>385.39654294140757</v>
      </c>
      <c r="BG125" s="119">
        <f t="shared" si="69"/>
        <v>391.87858151001689</v>
      </c>
    </row>
    <row r="126" spans="1:59" ht="13.75" customHeight="1">
      <c r="A126" s="171" t="s">
        <v>166</v>
      </c>
      <c r="B126" s="165" t="s">
        <v>227</v>
      </c>
      <c r="C126" s="165"/>
      <c r="D126" s="165" t="s">
        <v>168</v>
      </c>
      <c r="E126" s="167"/>
      <c r="F126" s="168" t="s">
        <v>234</v>
      </c>
      <c r="G126" s="168" t="s">
        <v>4</v>
      </c>
      <c r="H126" s="168"/>
      <c r="I126" s="168" t="s">
        <v>229</v>
      </c>
      <c r="U126" s="112"/>
      <c r="V126" s="112"/>
      <c r="W126" s="128">
        <v>321</v>
      </c>
      <c r="X126" s="128">
        <v>323</v>
      </c>
      <c r="Y126" s="128">
        <v>255</v>
      </c>
      <c r="Z126" s="128">
        <v>251.33333333333334</v>
      </c>
      <c r="AA126" s="128">
        <v>287.19607843137254</v>
      </c>
      <c r="AB126" s="128">
        <v>295.89999999999998</v>
      </c>
      <c r="AC126" s="128">
        <v>241.7</v>
      </c>
      <c r="AD126" s="128">
        <v>406.875</v>
      </c>
      <c r="AE126" s="128">
        <v>791.84375</v>
      </c>
      <c r="AF126" s="128">
        <v>414.97806976571701</v>
      </c>
      <c r="AG126" s="119">
        <v>374.5531779025992</v>
      </c>
      <c r="AH126" s="119">
        <v>347.37757425299804</v>
      </c>
      <c r="AI126" s="119">
        <v>322.44817727071211</v>
      </c>
      <c r="AJ126" s="119">
        <v>323.73796997979497</v>
      </c>
      <c r="AK126" s="119">
        <v>325.03292185971412</v>
      </c>
      <c r="AL126" s="119">
        <v>326.33305354715299</v>
      </c>
      <c r="AM126" s="119">
        <v>327.63838576134162</v>
      </c>
      <c r="AN126" s="119">
        <v>328.94893930438701</v>
      </c>
      <c r="AO126" s="119">
        <v>330.26473506160454</v>
      </c>
      <c r="AP126" s="119">
        <v>331.58579400185096</v>
      </c>
      <c r="AQ126" s="119">
        <v>332.91213717785837</v>
      </c>
      <c r="AR126" s="119">
        <v>334.2437857265698</v>
      </c>
      <c r="AS126" s="119">
        <v>335.58076086947608</v>
      </c>
      <c r="AT126" s="119">
        <v>336.92308391295398</v>
      </c>
      <c r="AU126" s="119">
        <v>338.27077624860578</v>
      </c>
      <c r="AV126" s="119">
        <v>339.62385935360021</v>
      </c>
      <c r="AW126" s="119">
        <v>340.98235479101459</v>
      </c>
      <c r="AX126" s="119">
        <v>342.34628421017862</v>
      </c>
      <c r="AY126" s="119">
        <v>343.71566934701934</v>
      </c>
      <c r="AZ126" s="119">
        <v>345.09053202440742</v>
      </c>
      <c r="BA126" s="119">
        <v>346.47089415250508</v>
      </c>
      <c r="BB126" s="119">
        <v>347.85677772911509</v>
      </c>
      <c r="BC126" s="119">
        <f t="shared" si="69"/>
        <v>349.24820484003158</v>
      </c>
      <c r="BD126" s="119">
        <f t="shared" si="69"/>
        <v>350.64519765939173</v>
      </c>
      <c r="BE126" s="119">
        <f t="shared" si="69"/>
        <v>352.04777845002928</v>
      </c>
      <c r="BF126" s="119">
        <f>BE126*(1+((BE126-BD126)/BD126))</f>
        <v>353.4559695638294</v>
      </c>
      <c r="BG126" s="119">
        <f>BF126*(1+((BF126-BE126)/BE126))</f>
        <v>354.8697934420847</v>
      </c>
    </row>
    <row r="127" spans="1:59" ht="13.75" customHeight="1">
      <c r="A127" s="171" t="s">
        <v>166</v>
      </c>
      <c r="B127" s="165" t="s">
        <v>227</v>
      </c>
      <c r="C127" s="165"/>
      <c r="D127" s="165" t="s">
        <v>168</v>
      </c>
      <c r="E127" s="167"/>
      <c r="F127" s="168" t="s">
        <v>235</v>
      </c>
      <c r="G127" s="168" t="s">
        <v>4</v>
      </c>
      <c r="H127" s="168"/>
      <c r="I127" s="168"/>
      <c r="X127" s="128">
        <v>294</v>
      </c>
      <c r="Y127" s="128">
        <v>235</v>
      </c>
      <c r="Z127" s="128">
        <v>235</v>
      </c>
      <c r="AA127" s="119">
        <v>270</v>
      </c>
      <c r="AB127" s="119">
        <v>265</v>
      </c>
      <c r="AC127" s="119">
        <v>239.12</v>
      </c>
      <c r="AD127" s="119">
        <v>312</v>
      </c>
      <c r="AE127" s="119">
        <f>AE126</f>
        <v>791.84375</v>
      </c>
      <c r="AF127" s="119">
        <f t="shared" ref="AF127:BG127" si="70">AF126</f>
        <v>414.97806976571701</v>
      </c>
      <c r="AG127" s="119">
        <f t="shared" si="70"/>
        <v>374.5531779025992</v>
      </c>
      <c r="AH127" s="119">
        <f t="shared" si="70"/>
        <v>347.37757425299804</v>
      </c>
      <c r="AI127" s="119">
        <f t="shared" si="70"/>
        <v>322.44817727071211</v>
      </c>
      <c r="AJ127" s="119">
        <f t="shared" si="70"/>
        <v>323.73796997979497</v>
      </c>
      <c r="AK127" s="119">
        <f t="shared" si="70"/>
        <v>325.03292185971412</v>
      </c>
      <c r="AL127" s="119">
        <f t="shared" si="70"/>
        <v>326.33305354715299</v>
      </c>
      <c r="AM127" s="119">
        <f t="shared" si="70"/>
        <v>327.63838576134162</v>
      </c>
      <c r="AN127" s="119">
        <f t="shared" si="70"/>
        <v>328.94893930438701</v>
      </c>
      <c r="AO127" s="119">
        <f t="shared" si="70"/>
        <v>330.26473506160454</v>
      </c>
      <c r="AP127" s="119">
        <f t="shared" si="70"/>
        <v>331.58579400185096</v>
      </c>
      <c r="AQ127" s="119">
        <f t="shared" si="70"/>
        <v>332.91213717785837</v>
      </c>
      <c r="AR127" s="119">
        <f t="shared" si="70"/>
        <v>334.2437857265698</v>
      </c>
      <c r="AS127" s="119">
        <f t="shared" si="70"/>
        <v>335.58076086947608</v>
      </c>
      <c r="AT127" s="119">
        <f t="shared" si="70"/>
        <v>336.92308391295398</v>
      </c>
      <c r="AU127" s="119">
        <f t="shared" si="70"/>
        <v>338.27077624860578</v>
      </c>
      <c r="AV127" s="119">
        <f t="shared" si="70"/>
        <v>339.62385935360021</v>
      </c>
      <c r="AW127" s="119">
        <f t="shared" si="70"/>
        <v>340.98235479101459</v>
      </c>
      <c r="AX127" s="119">
        <f t="shared" si="70"/>
        <v>342.34628421017862</v>
      </c>
      <c r="AY127" s="119">
        <f t="shared" si="70"/>
        <v>343.71566934701934</v>
      </c>
      <c r="AZ127" s="119">
        <f t="shared" si="70"/>
        <v>345.09053202440742</v>
      </c>
      <c r="BA127" s="119">
        <f t="shared" si="70"/>
        <v>346.47089415250508</v>
      </c>
      <c r="BB127" s="119">
        <f t="shared" si="70"/>
        <v>347.85677772911509</v>
      </c>
      <c r="BC127" s="119">
        <f t="shared" si="70"/>
        <v>349.24820484003158</v>
      </c>
      <c r="BD127" s="119">
        <f t="shared" si="70"/>
        <v>350.64519765939173</v>
      </c>
      <c r="BE127" s="119">
        <f t="shared" si="70"/>
        <v>352.04777845002928</v>
      </c>
      <c r="BF127" s="119">
        <f t="shared" si="70"/>
        <v>353.4559695638294</v>
      </c>
      <c r="BG127" s="119">
        <f t="shared" si="70"/>
        <v>354.8697934420847</v>
      </c>
    </row>
    <row r="128" spans="1:59" ht="13.75" customHeight="1">
      <c r="A128" s="171" t="s">
        <v>166</v>
      </c>
      <c r="B128" s="165" t="s">
        <v>227</v>
      </c>
      <c r="C128" s="165"/>
      <c r="D128" s="165" t="s">
        <v>168</v>
      </c>
      <c r="E128" s="167"/>
      <c r="F128" s="168" t="s">
        <v>236</v>
      </c>
      <c r="G128" s="168" t="s">
        <v>237</v>
      </c>
      <c r="H128" s="168"/>
      <c r="I128" s="168"/>
      <c r="X128" s="120">
        <v>1</v>
      </c>
      <c r="Y128" s="120">
        <v>1</v>
      </c>
      <c r="Z128" s="120">
        <v>1</v>
      </c>
      <c r="AA128" s="120">
        <v>1</v>
      </c>
      <c r="AB128" s="120">
        <v>1</v>
      </c>
      <c r="AC128" s="120">
        <v>1</v>
      </c>
      <c r="AD128" s="116">
        <v>3.5</v>
      </c>
      <c r="AE128" s="116">
        <v>8.75</v>
      </c>
      <c r="AF128" s="116">
        <v>8.75</v>
      </c>
      <c r="AG128" s="116">
        <v>8.75</v>
      </c>
      <c r="AH128" s="116">
        <v>8.75</v>
      </c>
      <c r="AI128" s="116">
        <v>8.75</v>
      </c>
      <c r="AJ128" s="116">
        <v>8.75</v>
      </c>
      <c r="AK128" s="116">
        <v>8.75</v>
      </c>
      <c r="AL128" s="116">
        <v>8.75</v>
      </c>
      <c r="AM128" s="116">
        <v>8.75</v>
      </c>
      <c r="AN128" s="116">
        <v>8.75</v>
      </c>
      <c r="AO128" s="116">
        <v>8.75</v>
      </c>
      <c r="AP128" s="116">
        <v>8.75</v>
      </c>
      <c r="AQ128" s="116">
        <v>8.75</v>
      </c>
      <c r="AR128" s="116">
        <v>8.75</v>
      </c>
      <c r="AS128" s="116">
        <v>8.75</v>
      </c>
      <c r="AT128" s="116">
        <v>8.75</v>
      </c>
      <c r="AU128" s="116">
        <v>8.75</v>
      </c>
      <c r="AV128" s="116">
        <v>8.75</v>
      </c>
      <c r="AW128" s="116">
        <v>8.75</v>
      </c>
      <c r="AX128" s="116">
        <v>8.75</v>
      </c>
      <c r="AY128" s="116">
        <v>8.75</v>
      </c>
      <c r="AZ128" s="116">
        <f>AY128</f>
        <v>8.75</v>
      </c>
      <c r="BA128" s="116">
        <f t="shared" ref="BA128:BG133" si="71">AZ128</f>
        <v>8.75</v>
      </c>
      <c r="BB128" s="116">
        <f t="shared" si="71"/>
        <v>8.75</v>
      </c>
      <c r="BC128" s="116">
        <f t="shared" si="71"/>
        <v>8.75</v>
      </c>
      <c r="BD128" s="116">
        <f t="shared" si="71"/>
        <v>8.75</v>
      </c>
      <c r="BE128" s="116">
        <f t="shared" si="71"/>
        <v>8.75</v>
      </c>
      <c r="BF128" s="116">
        <f t="shared" si="71"/>
        <v>8.75</v>
      </c>
      <c r="BG128" s="116">
        <f t="shared" si="71"/>
        <v>8.75</v>
      </c>
    </row>
    <row r="129" spans="1:59" ht="13.75" customHeight="1">
      <c r="A129" s="171" t="s">
        <v>166</v>
      </c>
      <c r="B129" s="165" t="s">
        <v>227</v>
      </c>
      <c r="C129" s="165"/>
      <c r="D129" s="165" t="s">
        <v>168</v>
      </c>
      <c r="E129" s="167"/>
      <c r="F129" s="168" t="s">
        <v>238</v>
      </c>
      <c r="G129" s="168" t="s">
        <v>3</v>
      </c>
      <c r="H129" s="168"/>
      <c r="I129" s="168"/>
      <c r="X129" s="123">
        <v>0.31900000000000001</v>
      </c>
      <c r="Y129" s="123">
        <v>0.31900000000000001</v>
      </c>
      <c r="Z129" s="123">
        <v>0.31900000000000001</v>
      </c>
      <c r="AA129" s="123">
        <v>0.31900000000000001</v>
      </c>
      <c r="AB129" s="123">
        <v>0.31900000000000001</v>
      </c>
      <c r="AC129" s="123">
        <v>0.31900000000000001</v>
      </c>
      <c r="AD129" s="123">
        <v>0.31900000000000001</v>
      </c>
      <c r="AE129" s="123">
        <v>0.31900000000000001</v>
      </c>
      <c r="AF129" s="123">
        <v>0.31900000000000001</v>
      </c>
      <c r="AG129" s="123">
        <v>0.31900000000000001</v>
      </c>
      <c r="AH129" s="123">
        <v>0.31900000000000001</v>
      </c>
      <c r="AI129" s="123">
        <v>0.31900000000000001</v>
      </c>
      <c r="AJ129" s="123">
        <v>0.31900000000000001</v>
      </c>
      <c r="AK129" s="123">
        <v>0.31900000000000001</v>
      </c>
      <c r="AL129" s="123">
        <v>0.31900000000000001</v>
      </c>
      <c r="AM129" s="123">
        <v>0.31900000000000001</v>
      </c>
      <c r="AN129" s="123">
        <v>0.31900000000000001</v>
      </c>
      <c r="AO129" s="123">
        <v>0.31900000000000001</v>
      </c>
      <c r="AP129" s="123">
        <v>0.31900000000000001</v>
      </c>
      <c r="AQ129" s="123">
        <v>0.31900000000000001</v>
      </c>
      <c r="AR129" s="123">
        <v>0.31900000000000001</v>
      </c>
      <c r="AS129" s="123">
        <v>0.31900000000000001</v>
      </c>
      <c r="AT129" s="123">
        <v>0.31900000000000001</v>
      </c>
      <c r="AU129" s="123">
        <v>0.31900000000000001</v>
      </c>
      <c r="AV129" s="123">
        <v>0.31900000000000001</v>
      </c>
      <c r="AW129" s="123">
        <v>0.31900000000000001</v>
      </c>
      <c r="AX129" s="123">
        <v>0.31900000000000001</v>
      </c>
      <c r="AY129" s="123">
        <v>0.31900000000000001</v>
      </c>
      <c r="AZ129" s="124">
        <f t="shared" ref="AZ129:BB133" si="72">AY129</f>
        <v>0.31900000000000001</v>
      </c>
      <c r="BA129" s="124">
        <f t="shared" si="72"/>
        <v>0.31900000000000001</v>
      </c>
      <c r="BB129" s="124">
        <f t="shared" si="72"/>
        <v>0.31900000000000001</v>
      </c>
      <c r="BC129" s="124">
        <f t="shared" si="71"/>
        <v>0.31900000000000001</v>
      </c>
      <c r="BD129" s="124">
        <f t="shared" si="71"/>
        <v>0.31900000000000001</v>
      </c>
      <c r="BE129" s="124">
        <f t="shared" si="71"/>
        <v>0.31900000000000001</v>
      </c>
      <c r="BF129" s="124">
        <f t="shared" si="71"/>
        <v>0.31900000000000001</v>
      </c>
      <c r="BG129" s="124">
        <f t="shared" si="71"/>
        <v>0.31900000000000001</v>
      </c>
    </row>
    <row r="130" spans="1:59" ht="13.75" customHeight="1">
      <c r="A130" s="171" t="s">
        <v>166</v>
      </c>
      <c r="B130" s="165" t="s">
        <v>227</v>
      </c>
      <c r="C130" s="165"/>
      <c r="D130" s="165" t="s">
        <v>168</v>
      </c>
      <c r="E130" s="167"/>
      <c r="F130" s="168" t="s">
        <v>239</v>
      </c>
      <c r="G130" s="168" t="s">
        <v>3</v>
      </c>
      <c r="H130" s="168"/>
      <c r="I130" s="168"/>
      <c r="X130" s="123">
        <v>0.34</v>
      </c>
      <c r="Y130" s="123">
        <v>0.34</v>
      </c>
      <c r="Z130" s="123">
        <v>0.34</v>
      </c>
      <c r="AA130" s="123">
        <v>0.34</v>
      </c>
      <c r="AB130" s="123">
        <v>0.34</v>
      </c>
      <c r="AC130" s="123">
        <v>0.34</v>
      </c>
      <c r="AD130" s="123">
        <v>0.34</v>
      </c>
      <c r="AE130" s="123">
        <v>0.34</v>
      </c>
      <c r="AF130" s="123">
        <v>0.34</v>
      </c>
      <c r="AG130" s="123">
        <v>0.34</v>
      </c>
      <c r="AH130" s="123">
        <v>0.34</v>
      </c>
      <c r="AI130" s="123">
        <v>0.34</v>
      </c>
      <c r="AJ130" s="123">
        <v>0.34</v>
      </c>
      <c r="AK130" s="123">
        <v>0.34</v>
      </c>
      <c r="AL130" s="123">
        <v>0.34</v>
      </c>
      <c r="AM130" s="123">
        <v>0.34</v>
      </c>
      <c r="AN130" s="123">
        <v>0.34</v>
      </c>
      <c r="AO130" s="123">
        <v>0.34</v>
      </c>
      <c r="AP130" s="123">
        <v>0.34</v>
      </c>
      <c r="AQ130" s="123">
        <v>0.34</v>
      </c>
      <c r="AR130" s="123">
        <v>0.34</v>
      </c>
      <c r="AS130" s="123">
        <v>0.34</v>
      </c>
      <c r="AT130" s="123">
        <v>0.34</v>
      </c>
      <c r="AU130" s="123">
        <v>0.34</v>
      </c>
      <c r="AV130" s="123">
        <v>0.34</v>
      </c>
      <c r="AW130" s="123">
        <v>0.34</v>
      </c>
      <c r="AX130" s="123">
        <v>0.34</v>
      </c>
      <c r="AY130" s="123">
        <v>0.34</v>
      </c>
      <c r="AZ130" s="124">
        <f t="shared" si="72"/>
        <v>0.34</v>
      </c>
      <c r="BA130" s="124">
        <f t="shared" si="72"/>
        <v>0.34</v>
      </c>
      <c r="BB130" s="124">
        <f t="shared" si="72"/>
        <v>0.34</v>
      </c>
      <c r="BC130" s="124">
        <f t="shared" si="71"/>
        <v>0.34</v>
      </c>
      <c r="BD130" s="124">
        <f t="shared" si="71"/>
        <v>0.34</v>
      </c>
      <c r="BE130" s="124">
        <f t="shared" si="71"/>
        <v>0.34</v>
      </c>
      <c r="BF130" s="124">
        <f t="shared" si="71"/>
        <v>0.34</v>
      </c>
      <c r="BG130" s="124">
        <f t="shared" si="71"/>
        <v>0.34</v>
      </c>
    </row>
    <row r="131" spans="1:59" ht="13.75" customHeight="1">
      <c r="A131" s="171" t="s">
        <v>166</v>
      </c>
      <c r="B131" s="165" t="s">
        <v>227</v>
      </c>
      <c r="C131" s="165"/>
      <c r="D131" s="165" t="s">
        <v>168</v>
      </c>
      <c r="E131" s="167"/>
      <c r="F131" s="168" t="s">
        <v>240</v>
      </c>
      <c r="G131" s="168" t="s">
        <v>3</v>
      </c>
      <c r="H131" s="168"/>
      <c r="I131" s="168" t="s">
        <v>241</v>
      </c>
      <c r="X131" s="114"/>
      <c r="Y131" s="123"/>
      <c r="Z131" s="123"/>
      <c r="AA131" s="123"/>
      <c r="AB131" s="123"/>
      <c r="AC131" s="123"/>
      <c r="AD131" s="114">
        <v>0.2094</v>
      </c>
      <c r="AE131" s="114">
        <v>0.2094</v>
      </c>
      <c r="AF131" s="114">
        <v>0.2094</v>
      </c>
      <c r="AG131" s="114">
        <v>0.2094</v>
      </c>
      <c r="AH131" s="114">
        <v>0.2094</v>
      </c>
      <c r="AI131" s="114">
        <v>0.2094</v>
      </c>
      <c r="AJ131" s="114">
        <v>0.2094</v>
      </c>
      <c r="AK131" s="114">
        <v>0.2094</v>
      </c>
      <c r="AL131" s="114">
        <v>0.2094</v>
      </c>
      <c r="AM131" s="114">
        <v>0.2094</v>
      </c>
      <c r="AN131" s="114">
        <v>0.2094</v>
      </c>
      <c r="AO131" s="114">
        <v>0.2094</v>
      </c>
      <c r="AP131" s="114">
        <v>0.2094</v>
      </c>
      <c r="AQ131" s="114">
        <v>0.2094</v>
      </c>
      <c r="AR131" s="114">
        <v>0.2094</v>
      </c>
      <c r="AS131" s="114">
        <v>0.2094</v>
      </c>
      <c r="AT131" s="114">
        <v>0.2094</v>
      </c>
      <c r="AU131" s="114">
        <v>0.2094</v>
      </c>
      <c r="AV131" s="114">
        <v>0.2094</v>
      </c>
      <c r="AW131" s="114">
        <v>0.2094</v>
      </c>
      <c r="AX131" s="114">
        <v>0.2094</v>
      </c>
      <c r="AY131" s="114">
        <v>0.2094</v>
      </c>
      <c r="AZ131" s="124">
        <f t="shared" si="72"/>
        <v>0.2094</v>
      </c>
      <c r="BA131" s="124">
        <f t="shared" si="72"/>
        <v>0.2094</v>
      </c>
      <c r="BB131" s="124">
        <f t="shared" si="72"/>
        <v>0.2094</v>
      </c>
      <c r="BC131" s="124">
        <f t="shared" si="71"/>
        <v>0.2094</v>
      </c>
      <c r="BD131" s="124">
        <f t="shared" si="71"/>
        <v>0.2094</v>
      </c>
      <c r="BE131" s="124">
        <f t="shared" si="71"/>
        <v>0.2094</v>
      </c>
      <c r="BF131" s="124">
        <f t="shared" si="71"/>
        <v>0.2094</v>
      </c>
      <c r="BG131" s="124">
        <f t="shared" si="71"/>
        <v>0.2094</v>
      </c>
    </row>
    <row r="132" spans="1:59" ht="13.75" customHeight="1">
      <c r="A132" s="171" t="s">
        <v>166</v>
      </c>
      <c r="B132" s="165" t="s">
        <v>227</v>
      </c>
      <c r="C132" s="165"/>
      <c r="D132" s="165" t="s">
        <v>168</v>
      </c>
      <c r="E132" s="167"/>
      <c r="F132" s="168" t="s">
        <v>242</v>
      </c>
      <c r="G132" s="168" t="s">
        <v>3</v>
      </c>
      <c r="H132" s="168"/>
      <c r="I132" s="168" t="s">
        <v>241</v>
      </c>
      <c r="X132" s="114"/>
      <c r="Y132" s="123"/>
      <c r="Z132" s="123"/>
      <c r="AA132" s="123"/>
      <c r="AB132" s="123"/>
      <c r="AC132" s="123"/>
      <c r="AD132" s="114">
        <v>0.72499999999999998</v>
      </c>
      <c r="AE132" s="114">
        <v>0.72499999999999998</v>
      </c>
      <c r="AF132" s="114">
        <v>0.72499999999999998</v>
      </c>
      <c r="AG132" s="114">
        <v>0.72499999999999998</v>
      </c>
      <c r="AH132" s="114">
        <v>0.72499999999999998</v>
      </c>
      <c r="AI132" s="114">
        <v>0.72499999999999998</v>
      </c>
      <c r="AJ132" s="114">
        <v>0.72499999999999998</v>
      </c>
      <c r="AK132" s="114">
        <v>0.72499999999999998</v>
      </c>
      <c r="AL132" s="114">
        <v>0.72499999999999998</v>
      </c>
      <c r="AM132" s="114">
        <v>0.72499999999999998</v>
      </c>
      <c r="AN132" s="114">
        <v>0.72499999999999998</v>
      </c>
      <c r="AO132" s="114">
        <v>0.72499999999999998</v>
      </c>
      <c r="AP132" s="114">
        <v>0.72499999999999998</v>
      </c>
      <c r="AQ132" s="114">
        <v>0.72499999999999998</v>
      </c>
      <c r="AR132" s="114">
        <v>0.72499999999999998</v>
      </c>
      <c r="AS132" s="114">
        <v>0.72499999999999998</v>
      </c>
      <c r="AT132" s="114">
        <v>0.72499999999999998</v>
      </c>
      <c r="AU132" s="114">
        <v>0.72499999999999998</v>
      </c>
      <c r="AV132" s="114">
        <v>0.72499999999999998</v>
      </c>
      <c r="AW132" s="114">
        <v>0.72499999999999998</v>
      </c>
      <c r="AX132" s="114">
        <v>0.72499999999999998</v>
      </c>
      <c r="AY132" s="114">
        <v>0.72499999999999998</v>
      </c>
      <c r="AZ132" s="124">
        <f t="shared" si="72"/>
        <v>0.72499999999999998</v>
      </c>
      <c r="BA132" s="124">
        <f t="shared" si="72"/>
        <v>0.72499999999999998</v>
      </c>
      <c r="BB132" s="124">
        <f t="shared" si="72"/>
        <v>0.72499999999999998</v>
      </c>
      <c r="BC132" s="124">
        <f t="shared" si="71"/>
        <v>0.72499999999999998</v>
      </c>
      <c r="BD132" s="124">
        <f t="shared" si="71"/>
        <v>0.72499999999999998</v>
      </c>
      <c r="BE132" s="124">
        <f t="shared" si="71"/>
        <v>0.72499999999999998</v>
      </c>
      <c r="BF132" s="124">
        <f t="shared" si="71"/>
        <v>0.72499999999999998</v>
      </c>
      <c r="BG132" s="124">
        <f t="shared" si="71"/>
        <v>0.72499999999999998</v>
      </c>
    </row>
    <row r="133" spans="1:59" ht="13.75" customHeight="1">
      <c r="A133" s="171" t="s">
        <v>166</v>
      </c>
      <c r="B133" s="165" t="s">
        <v>227</v>
      </c>
      <c r="C133" s="165"/>
      <c r="D133" s="165" t="s">
        <v>168</v>
      </c>
      <c r="E133" s="167"/>
      <c r="F133" s="168" t="s">
        <v>243</v>
      </c>
      <c r="G133" s="168" t="s">
        <v>3</v>
      </c>
      <c r="H133" s="168"/>
      <c r="I133" s="168" t="s">
        <v>241</v>
      </c>
      <c r="X133" s="114"/>
      <c r="Y133" s="123"/>
      <c r="Z133" s="123"/>
      <c r="AA133" s="123"/>
      <c r="AB133" s="123"/>
      <c r="AC133" s="123"/>
      <c r="AD133" s="114">
        <v>0.32919999999999999</v>
      </c>
      <c r="AE133" s="114">
        <v>0.32919999999999999</v>
      </c>
      <c r="AF133" s="114">
        <v>0.32919999999999999</v>
      </c>
      <c r="AG133" s="114">
        <v>0.32919999999999999</v>
      </c>
      <c r="AH133" s="114">
        <v>0.32919999999999999</v>
      </c>
      <c r="AI133" s="114">
        <v>0.32919999999999999</v>
      </c>
      <c r="AJ133" s="114">
        <v>0.32919999999999999</v>
      </c>
      <c r="AK133" s="114">
        <v>0.32919999999999999</v>
      </c>
      <c r="AL133" s="114">
        <v>0.32919999999999999</v>
      </c>
      <c r="AM133" s="114">
        <v>0.32919999999999999</v>
      </c>
      <c r="AN133" s="114">
        <v>0.32919999999999999</v>
      </c>
      <c r="AO133" s="114">
        <v>0.32919999999999999</v>
      </c>
      <c r="AP133" s="114">
        <v>0.32919999999999999</v>
      </c>
      <c r="AQ133" s="114">
        <v>0.32919999999999999</v>
      </c>
      <c r="AR133" s="114">
        <v>0.32919999999999999</v>
      </c>
      <c r="AS133" s="114">
        <v>0.32919999999999999</v>
      </c>
      <c r="AT133" s="114">
        <v>0.32919999999999999</v>
      </c>
      <c r="AU133" s="114">
        <v>0.32919999999999999</v>
      </c>
      <c r="AV133" s="114">
        <v>0.32919999999999999</v>
      </c>
      <c r="AW133" s="114">
        <v>0.32919999999999999</v>
      </c>
      <c r="AX133" s="114">
        <v>0.32919999999999999</v>
      </c>
      <c r="AY133" s="114">
        <v>0.32919999999999999</v>
      </c>
      <c r="AZ133" s="124">
        <f t="shared" si="72"/>
        <v>0.32919999999999999</v>
      </c>
      <c r="BA133" s="124">
        <f t="shared" si="72"/>
        <v>0.32919999999999999</v>
      </c>
      <c r="BB133" s="124">
        <f t="shared" si="72"/>
        <v>0.32919999999999999</v>
      </c>
      <c r="BC133" s="124">
        <f t="shared" si="71"/>
        <v>0.32919999999999999</v>
      </c>
      <c r="BD133" s="124">
        <f t="shared" si="71"/>
        <v>0.32919999999999999</v>
      </c>
      <c r="BE133" s="124">
        <f t="shared" si="71"/>
        <v>0.32919999999999999</v>
      </c>
      <c r="BF133" s="124">
        <f t="shared" si="71"/>
        <v>0.32919999999999999</v>
      </c>
      <c r="BG133" s="124">
        <f t="shared" si="71"/>
        <v>0.32919999999999999</v>
      </c>
    </row>
    <row r="134" spans="1:59" ht="13.75" customHeight="1" outlineLevel="1">
      <c r="A134" s="171" t="s">
        <v>166</v>
      </c>
      <c r="B134" s="165" t="s">
        <v>227</v>
      </c>
      <c r="C134" s="165"/>
      <c r="D134" s="165" t="s">
        <v>168</v>
      </c>
      <c r="E134" s="167"/>
      <c r="F134" s="168" t="s">
        <v>244</v>
      </c>
      <c r="G134" s="168" t="s">
        <v>4</v>
      </c>
      <c r="H134" s="168"/>
      <c r="I134" s="168"/>
      <c r="X134" s="120"/>
      <c r="Y134" s="120"/>
      <c r="Z134" s="120"/>
      <c r="AA134" s="120"/>
      <c r="AB134" s="120"/>
      <c r="AC134" s="109"/>
      <c r="AD134" s="119">
        <v>417.84375</v>
      </c>
      <c r="AE134" s="119">
        <v>606.07291666666663</v>
      </c>
      <c r="AF134" s="119">
        <v>434.72268819685473</v>
      </c>
      <c r="AG134" s="119">
        <v>385.52853746279499</v>
      </c>
      <c r="AH134" s="119">
        <v>367.81089288353957</v>
      </c>
      <c r="AI134" s="119">
        <v>343.83888454017898</v>
      </c>
      <c r="AJ134" s="119">
        <v>345.92054094501742</v>
      </c>
      <c r="AK134" s="119">
        <v>348.43743024583142</v>
      </c>
      <c r="AL134" s="119">
        <v>350.50798019843927</v>
      </c>
      <c r="AM134" s="119">
        <v>352.51689293586782</v>
      </c>
      <c r="AN134" s="119">
        <v>354.35355407088065</v>
      </c>
      <c r="AO134" s="119">
        <v>356.12764619929828</v>
      </c>
      <c r="AP134" s="119">
        <v>357.90834155889507</v>
      </c>
      <c r="AQ134" s="119">
        <v>359.69479841770425</v>
      </c>
      <c r="AR134" s="119">
        <v>361.48648963621429</v>
      </c>
      <c r="AS134" s="119">
        <v>363.30154536733647</v>
      </c>
      <c r="AT134" s="119">
        <v>365.13667001195472</v>
      </c>
      <c r="AU134" s="119">
        <v>366.97560692076189</v>
      </c>
      <c r="AV134" s="119">
        <v>368.81837134281471</v>
      </c>
      <c r="AW134" s="119">
        <v>370.66497858816598</v>
      </c>
      <c r="AX134" s="119">
        <v>372.51544402810907</v>
      </c>
      <c r="AY134" s="119">
        <v>374.36978309542241</v>
      </c>
      <c r="AZ134" s="119">
        <v>376.27467717262147</v>
      </c>
      <c r="BA134" s="119">
        <v>378.23261070557356</v>
      </c>
      <c r="BB134" s="119">
        <v>380.24619882058204</v>
      </c>
      <c r="BC134" s="119">
        <f t="shared" ref="BC134:BE134" si="73">BB134*(1+((BB134-BA134)/BA134))</f>
        <v>382.27050662760576</v>
      </c>
      <c r="BD134" s="119">
        <f t="shared" si="73"/>
        <v>384.30559119481876</v>
      </c>
      <c r="BE134" s="119">
        <f t="shared" si="73"/>
        <v>386.35150989420754</v>
      </c>
      <c r="BF134" s="119">
        <f>BE134*(1+((BE134-BD134)/BD134))</f>
        <v>388.40832040318855</v>
      </c>
      <c r="BG134" s="119">
        <f>BF134*(1+((BF134-BE134)/BE134))</f>
        <v>390.47608070623409</v>
      </c>
    </row>
    <row r="135" spans="1:59" ht="13.75" customHeight="1" outlineLevel="1">
      <c r="A135" s="171"/>
      <c r="B135" s="165"/>
      <c r="C135" s="165"/>
      <c r="D135" s="165"/>
      <c r="E135" s="167"/>
      <c r="F135" s="168"/>
      <c r="G135" s="168"/>
      <c r="H135" s="168"/>
      <c r="I135" s="168"/>
      <c r="X135" s="120"/>
      <c r="Y135" s="120"/>
      <c r="Z135" s="120"/>
      <c r="AA135" s="120"/>
      <c r="AB135" s="120"/>
      <c r="AC135" s="109"/>
      <c r="AD135" s="109"/>
      <c r="AE135" s="109"/>
      <c r="AF135" s="109"/>
      <c r="AG135" s="109"/>
      <c r="AH135" s="109"/>
    </row>
    <row r="136" spans="1:59" ht="13.75" customHeight="1" outlineLevel="1">
      <c r="A136" s="171"/>
      <c r="B136" s="165"/>
      <c r="C136" s="165"/>
      <c r="D136" s="165"/>
      <c r="E136" s="167"/>
      <c r="F136" s="168"/>
      <c r="G136" s="168"/>
      <c r="H136" s="168"/>
      <c r="I136" s="168"/>
      <c r="X136" s="120"/>
      <c r="Y136" s="120"/>
      <c r="Z136" s="120"/>
      <c r="AA136" s="120"/>
      <c r="AB136" s="120"/>
      <c r="AC136" s="109"/>
      <c r="AD136" s="109"/>
      <c r="AE136" s="109"/>
      <c r="AF136" s="109"/>
      <c r="AG136" s="109"/>
      <c r="AH136" s="109"/>
    </row>
    <row r="137" spans="1:59" ht="13.75" customHeight="1" outlineLevel="1">
      <c r="A137" s="171"/>
      <c r="B137" s="165"/>
      <c r="C137" s="165"/>
      <c r="D137" s="165"/>
      <c r="E137" s="167"/>
      <c r="F137" s="168"/>
      <c r="G137" s="168"/>
      <c r="H137" s="168"/>
      <c r="I137" s="168"/>
      <c r="X137" s="120"/>
      <c r="Y137" s="120"/>
      <c r="Z137" s="120"/>
      <c r="AA137" s="120"/>
      <c r="AB137" s="120"/>
      <c r="AC137" s="109"/>
      <c r="AD137" s="109"/>
      <c r="AE137" s="109"/>
      <c r="AF137" s="109"/>
      <c r="AG137" s="109"/>
      <c r="AH137" s="109"/>
    </row>
    <row r="138" spans="1:59" ht="13.75" customHeight="1" outlineLevel="1">
      <c r="A138" s="171"/>
      <c r="B138" s="165"/>
      <c r="C138" s="165"/>
      <c r="D138" s="165"/>
      <c r="E138" s="167"/>
      <c r="F138" s="168"/>
      <c r="G138" s="168"/>
      <c r="H138" s="168"/>
      <c r="I138" s="168"/>
      <c r="X138" s="120"/>
      <c r="Y138" s="120"/>
      <c r="Z138" s="120"/>
      <c r="AA138" s="120"/>
      <c r="AB138" s="120"/>
      <c r="AC138" s="109"/>
      <c r="AD138" s="109"/>
      <c r="AE138" s="109"/>
      <c r="AF138" s="109"/>
      <c r="AG138" s="109"/>
      <c r="AH138" s="109"/>
    </row>
    <row r="139" spans="1:59" ht="13.75" customHeight="1" outlineLevel="1">
      <c r="A139" s="171"/>
      <c r="B139" s="165"/>
      <c r="C139" s="165"/>
      <c r="D139" s="165"/>
      <c r="E139" s="167"/>
      <c r="F139" s="168"/>
      <c r="G139" s="168"/>
      <c r="H139" s="168"/>
      <c r="I139" s="168"/>
      <c r="X139" s="120"/>
      <c r="Y139" s="120"/>
      <c r="Z139" s="120"/>
      <c r="AA139" s="120"/>
      <c r="AB139" s="120"/>
      <c r="AC139" s="109"/>
      <c r="AD139" s="109"/>
      <c r="AE139" s="109"/>
      <c r="AF139" s="109"/>
      <c r="AG139" s="109"/>
      <c r="AH139" s="109"/>
    </row>
    <row r="140" spans="1:59" ht="13.75" customHeight="1" outlineLevel="1">
      <c r="A140" s="171"/>
      <c r="B140" s="165"/>
      <c r="C140" s="165"/>
      <c r="D140" s="165"/>
      <c r="E140" s="167"/>
      <c r="F140" s="168"/>
      <c r="G140" s="168"/>
      <c r="H140" s="168"/>
      <c r="I140" s="168"/>
      <c r="X140" s="120"/>
      <c r="Y140" s="120"/>
      <c r="Z140" s="120"/>
      <c r="AA140" s="120"/>
      <c r="AB140" s="120"/>
      <c r="AC140" s="109"/>
      <c r="AD140" s="109"/>
      <c r="AE140" s="109"/>
      <c r="AF140" s="109"/>
      <c r="AG140" s="109"/>
      <c r="AH140" s="109"/>
    </row>
    <row r="141" spans="1:59" ht="13.75" customHeight="1" outlineLevel="1">
      <c r="A141" s="171"/>
      <c r="B141" s="165"/>
      <c r="C141" s="165"/>
      <c r="D141" s="165"/>
      <c r="E141" s="167"/>
      <c r="F141" s="168"/>
      <c r="G141" s="168"/>
      <c r="H141" s="168"/>
      <c r="I141" s="168"/>
      <c r="X141" s="120"/>
      <c r="Y141" s="120"/>
      <c r="Z141" s="120"/>
      <c r="AA141" s="120"/>
      <c r="AB141" s="120"/>
      <c r="AC141" s="109"/>
      <c r="AD141" s="109"/>
      <c r="AE141" s="109"/>
      <c r="AF141" s="109"/>
      <c r="AG141" s="109"/>
      <c r="AH141" s="109"/>
    </row>
    <row r="142" spans="1:59" ht="13.75" customHeight="1" outlineLevel="1">
      <c r="A142" s="171"/>
      <c r="B142" s="165"/>
      <c r="C142" s="165"/>
      <c r="D142" s="165"/>
      <c r="E142" s="167"/>
      <c r="F142" s="168"/>
      <c r="G142" s="168"/>
      <c r="H142" s="168"/>
      <c r="I142" s="168"/>
      <c r="X142" s="120"/>
      <c r="Y142" s="120"/>
      <c r="Z142" s="120"/>
      <c r="AA142" s="120"/>
      <c r="AB142" s="120"/>
      <c r="AC142" s="109"/>
      <c r="AD142" s="109"/>
      <c r="AE142" s="109"/>
      <c r="AF142" s="109"/>
      <c r="AG142" s="109"/>
      <c r="AH142" s="109"/>
    </row>
    <row r="143" spans="1:59" ht="13.75" customHeight="1" outlineLevel="1">
      <c r="A143" s="171"/>
      <c r="B143" s="165"/>
      <c r="C143" s="165"/>
      <c r="D143" s="165"/>
      <c r="E143" s="167"/>
      <c r="F143" s="168"/>
      <c r="G143" s="168"/>
      <c r="H143" s="168"/>
      <c r="I143" s="168"/>
      <c r="X143" s="120"/>
      <c r="Y143" s="120"/>
      <c r="Z143" s="120"/>
      <c r="AA143" s="120"/>
      <c r="AB143" s="120"/>
      <c r="AC143" s="109"/>
      <c r="AD143" s="109"/>
      <c r="AE143" s="109"/>
      <c r="AF143" s="109"/>
      <c r="AG143" s="109"/>
      <c r="AH143" s="109"/>
    </row>
    <row r="144" spans="1:59" ht="13.75" customHeight="1" outlineLevel="1">
      <c r="A144" s="171"/>
      <c r="B144" s="165"/>
      <c r="C144" s="165"/>
      <c r="D144" s="165"/>
      <c r="E144" s="167"/>
      <c r="F144" s="168"/>
      <c r="G144" s="168"/>
      <c r="H144" s="168"/>
      <c r="I144" s="168"/>
      <c r="X144" s="120"/>
      <c r="Y144" s="120"/>
      <c r="Z144" s="120"/>
      <c r="AA144" s="120"/>
      <c r="AB144" s="120"/>
      <c r="AC144" s="109"/>
      <c r="AD144" s="109"/>
      <c r="AE144" s="109"/>
      <c r="AF144" s="109"/>
      <c r="AG144" s="109"/>
      <c r="AH144" s="109"/>
    </row>
    <row r="145" spans="1:59" ht="13.75" customHeight="1" outlineLevel="1">
      <c r="A145" s="171"/>
      <c r="B145" s="165"/>
      <c r="C145" s="165"/>
      <c r="D145" s="165"/>
      <c r="E145" s="167"/>
      <c r="F145" s="168"/>
      <c r="G145" s="168"/>
      <c r="H145" s="168"/>
      <c r="I145" s="168"/>
      <c r="X145" s="120"/>
      <c r="Y145" s="120"/>
      <c r="Z145" s="120"/>
      <c r="AA145" s="120"/>
      <c r="AB145" s="120"/>
    </row>
    <row r="146" spans="1:59" ht="13.75" customHeight="1" outlineLevel="1">
      <c r="A146" s="171"/>
      <c r="B146" s="165"/>
      <c r="C146" s="165"/>
      <c r="D146" s="165"/>
      <c r="E146" s="167"/>
      <c r="F146" s="168"/>
      <c r="G146" s="168"/>
      <c r="H146" s="168"/>
      <c r="I146" s="168"/>
      <c r="X146" s="120"/>
      <c r="Y146" s="120"/>
      <c r="Z146" s="120"/>
      <c r="AA146" s="120"/>
      <c r="AB146" s="120"/>
    </row>
    <row r="147" spans="1:59" ht="13.75" customHeight="1" outlineLevel="1">
      <c r="A147" s="171"/>
      <c r="B147" s="165"/>
      <c r="C147" s="165"/>
      <c r="D147" s="165"/>
      <c r="E147" s="167"/>
      <c r="F147" s="168"/>
      <c r="G147" s="168"/>
      <c r="H147" s="168"/>
      <c r="I147" s="168"/>
      <c r="X147" s="120"/>
      <c r="Y147" s="120"/>
      <c r="Z147" s="120"/>
      <c r="AA147" s="120"/>
      <c r="AB147" s="120"/>
    </row>
    <row r="148" spans="1:59" ht="13.75" customHeight="1" outlineLevel="1">
      <c r="A148" s="171"/>
      <c r="B148" s="165"/>
      <c r="C148" s="165"/>
      <c r="D148" s="165"/>
      <c r="E148" s="167"/>
      <c r="F148" s="168"/>
      <c r="G148" s="168"/>
      <c r="H148" s="168"/>
      <c r="I148" s="168"/>
      <c r="X148" s="120"/>
      <c r="Y148" s="120"/>
      <c r="Z148" s="120"/>
      <c r="AA148" s="120"/>
      <c r="AB148" s="120"/>
    </row>
    <row r="149" spans="1:59" ht="13.75" customHeight="1" outlineLevel="1">
      <c r="A149" s="171"/>
      <c r="B149" s="165"/>
      <c r="C149" s="165"/>
      <c r="D149" s="165"/>
      <c r="E149" s="167"/>
      <c r="F149" s="168"/>
      <c r="G149" s="168"/>
      <c r="H149" s="168"/>
      <c r="I149" s="168"/>
      <c r="X149" s="120"/>
      <c r="Y149" s="120"/>
      <c r="Z149" s="120"/>
      <c r="AA149" s="120"/>
      <c r="AB149" s="120"/>
    </row>
    <row r="150" spans="1:59" ht="13.75" customHeight="1" outlineLevel="1">
      <c r="A150" s="171"/>
      <c r="B150" s="165"/>
      <c r="C150" s="165"/>
      <c r="D150" s="165"/>
      <c r="E150" s="167"/>
      <c r="F150" s="168"/>
      <c r="G150" s="168"/>
      <c r="H150" s="168"/>
      <c r="I150" s="168"/>
      <c r="X150" s="120"/>
      <c r="Y150" s="120"/>
      <c r="Z150" s="120"/>
      <c r="AA150" s="120"/>
      <c r="AB150" s="120"/>
    </row>
    <row r="151" spans="1:59" ht="13.75" customHeight="1" outlineLevel="1">
      <c r="A151" s="171"/>
      <c r="B151" s="165"/>
      <c r="C151" s="165"/>
      <c r="D151" s="165"/>
      <c r="E151" s="167"/>
      <c r="F151" s="168"/>
      <c r="G151" s="168"/>
      <c r="H151" s="168"/>
      <c r="I151" s="168"/>
      <c r="X151" s="120"/>
      <c r="Y151" s="120"/>
      <c r="Z151" s="120"/>
      <c r="AA151" s="120"/>
      <c r="AB151" s="120"/>
    </row>
    <row r="152" spans="1:59" ht="13.75" customHeight="1">
      <c r="A152" s="171" t="s">
        <v>166</v>
      </c>
      <c r="B152" s="165" t="s">
        <v>245</v>
      </c>
      <c r="C152" s="165"/>
      <c r="D152" s="165" t="s">
        <v>168</v>
      </c>
      <c r="E152" s="167"/>
      <c r="F152" s="168" t="s">
        <v>246</v>
      </c>
      <c r="G152" s="168" t="s">
        <v>247</v>
      </c>
      <c r="H152" s="168"/>
      <c r="I152" s="168" t="s">
        <v>248</v>
      </c>
      <c r="U152" s="112">
        <v>6.7510000000000003</v>
      </c>
      <c r="V152" s="112">
        <v>6.5810000000000004</v>
      </c>
      <c r="W152" s="125">
        <v>6.2181566666666654</v>
      </c>
      <c r="X152" s="125">
        <v>7.8529999999999998</v>
      </c>
      <c r="Y152" s="125">
        <v>8.7779441666666678</v>
      </c>
      <c r="Z152" s="125">
        <v>7.0304200000000003</v>
      </c>
      <c r="AA152" s="125">
        <v>7.845482500000001</v>
      </c>
      <c r="AB152" s="125">
        <v>10.406464166666668</v>
      </c>
      <c r="AC152" s="125">
        <v>10.975932499999999</v>
      </c>
      <c r="AD152" s="125">
        <v>13.644059166666667</v>
      </c>
      <c r="AE152" s="125">
        <v>13.225660833333333</v>
      </c>
      <c r="AF152" s="125">
        <v>10.451969187145393</v>
      </c>
      <c r="AG152" s="125">
        <v>12.498024891778737</v>
      </c>
      <c r="AH152" s="125">
        <v>12.775147961788774</v>
      </c>
      <c r="AI152" s="125">
        <v>12.994192869365097</v>
      </c>
      <c r="AJ152" s="125">
        <v>13.30709303365941</v>
      </c>
      <c r="AK152" s="125">
        <v>13.627527833909928</v>
      </c>
      <c r="AL152" s="125">
        <v>13.955678704150479</v>
      </c>
      <c r="AM152" s="125">
        <v>14.291731447346422</v>
      </c>
      <c r="AN152" s="125">
        <v>14.635876340598523</v>
      </c>
      <c r="AO152" s="125">
        <v>14.988308242880136</v>
      </c>
      <c r="AP152" s="125">
        <v>15.349226705368689</v>
      </c>
      <c r="AQ152" s="125">
        <v>15.718836084433969</v>
      </c>
      <c r="AR152" s="125">
        <v>16.097345657347137</v>
      </c>
      <c r="AS152" s="125">
        <v>16.484969740776059</v>
      </c>
      <c r="AT152" s="125">
        <v>16.881927812133945</v>
      </c>
      <c r="AU152" s="125">
        <v>17.288444633850133</v>
      </c>
      <c r="AV152" s="125">
        <v>17.704750380633246</v>
      </c>
      <c r="AW152" s="125">
        <v>18.131080769798896</v>
      </c>
      <c r="AX152" s="125">
        <v>18.567677194735655</v>
      </c>
      <c r="AY152" s="125">
        <v>19.014786861584891</v>
      </c>
      <c r="AZ152" s="125">
        <v>19.472662929211857</v>
      </c>
      <c r="BA152" s="125">
        <v>19.941564652547278</v>
      </c>
      <c r="BB152" s="125">
        <v>20.421757529380617</v>
      </c>
      <c r="BC152" s="125">
        <f>BB152*(1+((BB152-BA152)/BA152))</f>
        <v>20.913513450688104</v>
      </c>
      <c r="BD152" s="125">
        <f t="shared" ref="BD152:BG167" si="74">BC152*(1+((BC152-BB152)/BB152))</f>
        <v>21.417110854580674</v>
      </c>
      <c r="BE152" s="125">
        <f t="shared" si="74"/>
        <v>21.932834883958979</v>
      </c>
      <c r="BF152" s="125">
        <f t="shared" si="74"/>
        <v>22.460977547964713</v>
      </c>
      <c r="BG152" s="125">
        <f t="shared" si="74"/>
        <v>23.001837887319706</v>
      </c>
    </row>
    <row r="153" spans="1:59" ht="13.75" customHeight="1">
      <c r="A153" s="171" t="s">
        <v>166</v>
      </c>
      <c r="B153" s="165" t="s">
        <v>245</v>
      </c>
      <c r="C153" s="165"/>
      <c r="D153" s="165" t="s">
        <v>168</v>
      </c>
      <c r="E153" s="167"/>
      <c r="F153" s="168" t="s">
        <v>249</v>
      </c>
      <c r="G153" s="168" t="s">
        <v>250</v>
      </c>
      <c r="H153" s="168"/>
      <c r="I153" s="168" t="s">
        <v>251</v>
      </c>
      <c r="U153" s="112">
        <v>13.603999999999999</v>
      </c>
      <c r="V153" s="112">
        <v>15.875</v>
      </c>
      <c r="W153" s="125">
        <v>19.614000000000001</v>
      </c>
      <c r="X153" s="125">
        <v>20.648</v>
      </c>
      <c r="Y153" s="125">
        <v>21.814</v>
      </c>
      <c r="Z153" s="125">
        <v>24.5</v>
      </c>
      <c r="AA153" s="125">
        <v>22.9</v>
      </c>
      <c r="AB153" s="125">
        <v>24.903728333333333</v>
      </c>
      <c r="AC153" s="125">
        <v>25.885917499999998</v>
      </c>
      <c r="AD153" s="125">
        <v>27.481773333333336</v>
      </c>
      <c r="AE153" s="125">
        <v>32.981347499999998</v>
      </c>
      <c r="AF153" s="125">
        <v>31.783900440154444</v>
      </c>
      <c r="AG153" s="125">
        <v>32.590401479554629</v>
      </c>
      <c r="AH153" s="125">
        <v>33.619919989563691</v>
      </c>
      <c r="AI153" s="125">
        <v>34.953475769923621</v>
      </c>
      <c r="AJ153" s="125">
        <v>36.351614800720569</v>
      </c>
      <c r="AK153" s="125">
        <v>37.80567939274939</v>
      </c>
      <c r="AL153" s="125">
        <v>39.317906568459364</v>
      </c>
      <c r="AM153" s="125">
        <v>40.890622831197739</v>
      </c>
      <c r="AN153" s="125">
        <v>42.526247744445648</v>
      </c>
      <c r="AO153" s="125">
        <v>44.227297654223477</v>
      </c>
      <c r="AP153" s="125">
        <v>45.996389560392416</v>
      </c>
      <c r="AQ153" s="125">
        <v>47.836245142808117</v>
      </c>
      <c r="AR153" s="125">
        <v>49.749694948520442</v>
      </c>
      <c r="AS153" s="125">
        <v>51.739682746461263</v>
      </c>
      <c r="AT153" s="125">
        <v>53.809270056319718</v>
      </c>
      <c r="AU153" s="125">
        <v>55.961640858572508</v>
      </c>
      <c r="AV153" s="125">
        <v>58.20010649291541</v>
      </c>
      <c r="AW153" s="125">
        <v>60.528110752632031</v>
      </c>
      <c r="AX153" s="125">
        <v>62.949235182737311</v>
      </c>
      <c r="AY153" s="125">
        <v>65.467204590046805</v>
      </c>
      <c r="AZ153" s="125">
        <v>68.085892773648681</v>
      </c>
      <c r="BA153" s="125">
        <v>70.80932848459463</v>
      </c>
      <c r="BB153" s="125">
        <v>73.64170162397842</v>
      </c>
      <c r="BC153" s="125">
        <f t="shared" ref="BC153:BG194" si="75">BB153*(1+((BB153-BA153)/BA153))</f>
        <v>76.587369688937557</v>
      </c>
      <c r="BD153" s="125">
        <f t="shared" si="74"/>
        <v>79.650864476495059</v>
      </c>
      <c r="BE153" s="125">
        <f t="shared" si="74"/>
        <v>82.836899055554866</v>
      </c>
      <c r="BF153" s="125">
        <f t="shared" si="74"/>
        <v>86.150375017777066</v>
      </c>
      <c r="BG153" s="125">
        <f t="shared" si="74"/>
        <v>89.596390018488151</v>
      </c>
    </row>
    <row r="154" spans="1:59" ht="13.75" customHeight="1">
      <c r="A154" s="171" t="s">
        <v>166</v>
      </c>
      <c r="B154" s="165" t="s">
        <v>245</v>
      </c>
      <c r="C154" s="165"/>
      <c r="D154" s="165" t="s">
        <v>168</v>
      </c>
      <c r="E154" s="167"/>
      <c r="F154" s="168" t="s">
        <v>252</v>
      </c>
      <c r="G154" s="168" t="s">
        <v>247</v>
      </c>
      <c r="H154" s="168"/>
      <c r="I154" s="168" t="s">
        <v>253</v>
      </c>
      <c r="U154" s="112">
        <v>79.428640000000001</v>
      </c>
      <c r="V154" s="112">
        <v>73.473369999999989</v>
      </c>
      <c r="W154" s="125">
        <v>87.441000000000003</v>
      </c>
      <c r="X154" s="125">
        <v>93.071969696969688</v>
      </c>
      <c r="Y154" s="125">
        <v>91.719696969696983</v>
      </c>
      <c r="Z154" s="125">
        <v>80.234090909090909</v>
      </c>
      <c r="AA154" s="125">
        <v>94.245482954545437</v>
      </c>
      <c r="AB154" s="125">
        <v>99.187499999999986</v>
      </c>
      <c r="AC154" s="125">
        <v>93.625189393939394</v>
      </c>
      <c r="AD154" s="125">
        <v>126.94772727272726</v>
      </c>
      <c r="AE154" s="125">
        <v>127.97489898989897</v>
      </c>
      <c r="AF154" s="125">
        <v>153.07484848484847</v>
      </c>
      <c r="AG154" s="125">
        <v>149.4375</v>
      </c>
      <c r="AH154" s="125">
        <v>159.27896256565816</v>
      </c>
      <c r="AI154" s="125">
        <v>163.39386600502857</v>
      </c>
      <c r="AJ154" s="125">
        <v>168.03425179957136</v>
      </c>
      <c r="AK154" s="125">
        <v>172.8064245506792</v>
      </c>
      <c r="AL154" s="125">
        <v>177.71412700791848</v>
      </c>
      <c r="AM154" s="125">
        <v>182.76120821494337</v>
      </c>
      <c r="AN154" s="125">
        <v>187.95162652824774</v>
      </c>
      <c r="AO154" s="125">
        <v>193.28945272164998</v>
      </c>
      <c r="AP154" s="125">
        <v>198.77887317894485</v>
      </c>
      <c r="AQ154" s="125">
        <v>204.42419317722687</v>
      </c>
      <c r="AR154" s="125">
        <v>210.22984026346012</v>
      </c>
      <c r="AS154" s="125">
        <v>216.20036772694237</v>
      </c>
      <c r="AT154" s="125">
        <v>222.34045817038754</v>
      </c>
      <c r="AU154" s="125">
        <v>228.65492718242655</v>
      </c>
      <c r="AV154" s="125">
        <v>235.14872711440745</v>
      </c>
      <c r="AW154" s="125">
        <v>241.82695096445661</v>
      </c>
      <c r="AX154" s="125">
        <v>248.69483637184717</v>
      </c>
      <c r="AY154" s="125">
        <v>255.75776972480762</v>
      </c>
      <c r="AZ154" s="125">
        <v>263.02129038499214</v>
      </c>
      <c r="BA154" s="125">
        <v>270.49109503192591</v>
      </c>
      <c r="BB154" s="125">
        <v>278.17304213083258</v>
      </c>
      <c r="BC154" s="125">
        <f t="shared" si="75"/>
        <v>286.0731565273482</v>
      </c>
      <c r="BD154" s="125">
        <f t="shared" si="74"/>
        <v>294.19763417272486</v>
      </c>
      <c r="BE154" s="125">
        <f t="shared" si="74"/>
        <v>302.55284698323027</v>
      </c>
      <c r="BF154" s="125">
        <f t="shared" si="74"/>
        <v>311.14534783755403</v>
      </c>
      <c r="BG154" s="125">
        <f t="shared" si="74"/>
        <v>319.98187571614056</v>
      </c>
    </row>
    <row r="155" spans="1:59" ht="13.75" customHeight="1">
      <c r="A155" s="171" t="s">
        <v>166</v>
      </c>
      <c r="B155" s="165" t="s">
        <v>245</v>
      </c>
      <c r="C155" s="165"/>
      <c r="D155" s="165" t="s">
        <v>168</v>
      </c>
      <c r="E155" s="167"/>
      <c r="F155" s="168" t="s">
        <v>254</v>
      </c>
      <c r="G155" s="168" t="s">
        <v>247</v>
      </c>
      <c r="H155" s="168"/>
      <c r="I155" s="168" t="s">
        <v>255</v>
      </c>
      <c r="U155" s="112">
        <v>55.173000000000002</v>
      </c>
      <c r="V155" s="112">
        <v>54.357999999999997</v>
      </c>
      <c r="W155" s="125">
        <v>63.654000000000003</v>
      </c>
      <c r="X155" s="125">
        <v>69.732961666666668</v>
      </c>
      <c r="Y155" s="125">
        <v>72.344999999999999</v>
      </c>
      <c r="Z155" s="125">
        <v>68.057460000000006</v>
      </c>
      <c r="AA155" s="125">
        <v>70.844999999999999</v>
      </c>
      <c r="AB155" s="125">
        <v>75.598796666666658</v>
      </c>
      <c r="AC155" s="125">
        <v>73.967506363636375</v>
      </c>
      <c r="AD155" s="125">
        <v>91.302810000000008</v>
      </c>
      <c r="AE155" s="125">
        <v>101.553</v>
      </c>
      <c r="AF155" s="125">
        <v>118.38002385599893</v>
      </c>
      <c r="AG155" s="125">
        <v>116.06693698276841</v>
      </c>
      <c r="AH155" s="125">
        <v>123.71072395341849</v>
      </c>
      <c r="AI155" s="125">
        <v>126.90673725789416</v>
      </c>
      <c r="AJ155" s="125">
        <v>130.51088859601836</v>
      </c>
      <c r="AK155" s="125">
        <v>134.21739783214528</v>
      </c>
      <c r="AL155" s="125">
        <v>138.0291719305782</v>
      </c>
      <c r="AM155" s="125">
        <v>141.94920041340663</v>
      </c>
      <c r="AN155" s="125">
        <v>145.98055770514736</v>
      </c>
      <c r="AO155" s="125">
        <v>150.12640554397356</v>
      </c>
      <c r="AP155" s="125">
        <v>154.38999546142242</v>
      </c>
      <c r="AQ155" s="125">
        <v>158.77467133252679</v>
      </c>
      <c r="AR155" s="125">
        <v>163.28387199837059</v>
      </c>
      <c r="AS155" s="125">
        <v>167.9211339631243</v>
      </c>
      <c r="AT155" s="125">
        <v>172.69009416767702</v>
      </c>
      <c r="AU155" s="125">
        <v>177.59449284203905</v>
      </c>
      <c r="AV155" s="125">
        <v>182.63817643875294</v>
      </c>
      <c r="AW155" s="125">
        <v>187.82510064961352</v>
      </c>
      <c r="AX155" s="125">
        <v>193.15933350806256</v>
      </c>
      <c r="AY155" s="125">
        <v>198.64505857969152</v>
      </c>
      <c r="AZ155" s="125">
        <v>204.28657824335477</v>
      </c>
      <c r="BA155" s="125">
        <v>210.08831706546604</v>
      </c>
      <c r="BB155" s="125">
        <v>216.05482527012526</v>
      </c>
      <c r="BC155" s="125">
        <f t="shared" si="75"/>
        <v>222.19078230779681</v>
      </c>
      <c r="BD155" s="125">
        <f t="shared" si="74"/>
        <v>228.50100052533824</v>
      </c>
      <c r="BE155" s="125">
        <f t="shared" si="74"/>
        <v>234.99042894025786</v>
      </c>
      <c r="BF155" s="125">
        <f t="shared" si="74"/>
        <v>241.66415712216119</v>
      </c>
      <c r="BG155" s="125">
        <f t="shared" si="74"/>
        <v>248.52741918443056</v>
      </c>
    </row>
    <row r="156" spans="1:59" ht="13.75" customHeight="1">
      <c r="A156" s="171" t="s">
        <v>166</v>
      </c>
      <c r="B156" s="165" t="s">
        <v>245</v>
      </c>
      <c r="C156" s="165"/>
      <c r="D156" s="165" t="s">
        <v>168</v>
      </c>
      <c r="E156" s="167"/>
      <c r="F156" s="168" t="s">
        <v>256</v>
      </c>
      <c r="G156" s="168" t="s">
        <v>247</v>
      </c>
      <c r="H156" s="168"/>
      <c r="I156" s="168" t="s">
        <v>257</v>
      </c>
      <c r="U156" s="112">
        <v>174.53289999999998</v>
      </c>
      <c r="V156" s="112">
        <v>174.41897</v>
      </c>
      <c r="W156" s="125">
        <v>154.70701166666669</v>
      </c>
      <c r="X156" s="125">
        <v>182.8590909090909</v>
      </c>
      <c r="Y156" s="125">
        <v>183.94772727272724</v>
      </c>
      <c r="Z156" s="125">
        <v>194</v>
      </c>
      <c r="AA156" s="125">
        <v>204</v>
      </c>
      <c r="AB156" s="125">
        <v>216.56287878787876</v>
      </c>
      <c r="AC156" s="125">
        <v>220.78757575757575</v>
      </c>
      <c r="AD156" s="125">
        <v>247.73757575757571</v>
      </c>
      <c r="AE156" s="125">
        <v>300.83247474747475</v>
      </c>
      <c r="AF156" s="125">
        <v>316.78786403689207</v>
      </c>
      <c r="AG156" s="125">
        <v>331.26174139120394</v>
      </c>
      <c r="AH156" s="125">
        <v>341.72617505686554</v>
      </c>
      <c r="AI156" s="125">
        <v>355.28096389005833</v>
      </c>
      <c r="AJ156" s="125">
        <v>369.49220244566067</v>
      </c>
      <c r="AK156" s="125">
        <v>384.27189054348713</v>
      </c>
      <c r="AL156" s="125">
        <v>399.64276616522665</v>
      </c>
      <c r="AM156" s="125">
        <v>415.62847681183575</v>
      </c>
      <c r="AN156" s="125">
        <v>432.25361588430917</v>
      </c>
      <c r="AO156" s="125">
        <v>449.54376051968154</v>
      </c>
      <c r="AP156" s="125">
        <v>467.52551094046879</v>
      </c>
      <c r="AQ156" s="125">
        <v>486.22653137808754</v>
      </c>
      <c r="AR156" s="125">
        <v>505.67559263321107</v>
      </c>
      <c r="AS156" s="125">
        <v>525.90261633853947</v>
      </c>
      <c r="AT156" s="125">
        <v>546.93872099208102</v>
      </c>
      <c r="AU156" s="125">
        <v>568.81626983176432</v>
      </c>
      <c r="AV156" s="125">
        <v>591.56892062503493</v>
      </c>
      <c r="AW156" s="125">
        <v>615.23167745003639</v>
      </c>
      <c r="AX156" s="125">
        <v>639.8409445480379</v>
      </c>
      <c r="AY156" s="125">
        <v>665.43458232995943</v>
      </c>
      <c r="AZ156" s="125">
        <v>692.0519656231578</v>
      </c>
      <c r="BA156" s="125">
        <v>719.73404424808416</v>
      </c>
      <c r="BB156" s="125">
        <v>748.52340601800756</v>
      </c>
      <c r="BC156" s="125">
        <f t="shared" si="75"/>
        <v>778.46434225872792</v>
      </c>
      <c r="BD156" s="125">
        <f t="shared" si="74"/>
        <v>809.6029159490771</v>
      </c>
      <c r="BE156" s="125">
        <f t="shared" si="74"/>
        <v>841.98703258704018</v>
      </c>
      <c r="BF156" s="125">
        <f t="shared" si="74"/>
        <v>875.66651389052186</v>
      </c>
      <c r="BG156" s="125">
        <f t="shared" si="74"/>
        <v>910.69317444614273</v>
      </c>
    </row>
    <row r="157" spans="1:59" ht="13.75" customHeight="1">
      <c r="A157" s="171" t="s">
        <v>166</v>
      </c>
      <c r="B157" s="165" t="s">
        <v>245</v>
      </c>
      <c r="C157" s="165"/>
      <c r="D157" s="165" t="s">
        <v>168</v>
      </c>
      <c r="E157" s="167"/>
      <c r="F157" s="168" t="s">
        <v>258</v>
      </c>
      <c r="G157" s="168" t="s">
        <v>247</v>
      </c>
      <c r="H157" s="168"/>
      <c r="I157" s="168" t="s">
        <v>259</v>
      </c>
      <c r="U157" s="112">
        <v>73.096999999999994</v>
      </c>
      <c r="V157" s="112">
        <v>72.128</v>
      </c>
      <c r="W157" s="125">
        <v>74.36041583333332</v>
      </c>
      <c r="X157" s="125">
        <v>93.52411166666667</v>
      </c>
      <c r="Y157" s="125">
        <v>96.641687499999989</v>
      </c>
      <c r="Z157" s="125">
        <v>97.56</v>
      </c>
      <c r="AA157" s="125">
        <v>99.522999999999996</v>
      </c>
      <c r="AB157" s="125">
        <v>105.08408166666666</v>
      </c>
      <c r="AC157" s="125">
        <v>111.74640250000002</v>
      </c>
      <c r="AD157" s="125">
        <v>121.45051333333333</v>
      </c>
      <c r="AE157" s="125">
        <v>142.69550000000001</v>
      </c>
      <c r="AF157" s="125">
        <v>152.42764330769543</v>
      </c>
      <c r="AG157" s="125">
        <v>159.33387323534572</v>
      </c>
      <c r="AH157" s="125">
        <v>164.36717028969878</v>
      </c>
      <c r="AI157" s="125">
        <v>170.88689996511962</v>
      </c>
      <c r="AJ157" s="125">
        <v>177.7223759637244</v>
      </c>
      <c r="AK157" s="125">
        <v>184.83127100227341</v>
      </c>
      <c r="AL157" s="125">
        <v>192.22452184236437</v>
      </c>
      <c r="AM157" s="125">
        <v>199.91350271605899</v>
      </c>
      <c r="AN157" s="125">
        <v>207.91004282470135</v>
      </c>
      <c r="AO157" s="125">
        <v>216.22644453768939</v>
      </c>
      <c r="AP157" s="125">
        <v>224.87550231919695</v>
      </c>
      <c r="AQ157" s="125">
        <v>233.87052241196483</v>
      </c>
      <c r="AR157" s="125">
        <v>243.22534330844346</v>
      </c>
      <c r="AS157" s="125">
        <v>252.95435704078116</v>
      </c>
      <c r="AT157" s="125">
        <v>263.07253132241243</v>
      </c>
      <c r="AU157" s="125">
        <v>273.59543257530896</v>
      </c>
      <c r="AV157" s="125">
        <v>284.53924987832136</v>
      </c>
      <c r="AW157" s="125">
        <v>295.92081987345426</v>
      </c>
      <c r="AX157" s="125">
        <v>307.7576526683925</v>
      </c>
      <c r="AY157" s="125">
        <v>320.0679587751282</v>
      </c>
      <c r="AZ157" s="125">
        <v>332.87067712613333</v>
      </c>
      <c r="BA157" s="125">
        <v>346.18550421117868</v>
      </c>
      <c r="BB157" s="125">
        <v>360.03292437962585</v>
      </c>
      <c r="BC157" s="125">
        <f t="shared" si="75"/>
        <v>374.43424135481092</v>
      </c>
      <c r="BD157" s="125">
        <f t="shared" si="74"/>
        <v>389.41161100900337</v>
      </c>
      <c r="BE157" s="125">
        <f t="shared" si="74"/>
        <v>404.98807544936352</v>
      </c>
      <c r="BF157" s="125">
        <f t="shared" si="74"/>
        <v>421.18759846733809</v>
      </c>
      <c r="BG157" s="125">
        <f t="shared" si="74"/>
        <v>438.03510240603163</v>
      </c>
    </row>
    <row r="158" spans="1:59" ht="13.75" customHeight="1">
      <c r="A158" s="171" t="s">
        <v>166</v>
      </c>
      <c r="B158" s="165" t="s">
        <v>245</v>
      </c>
      <c r="C158" s="165"/>
      <c r="D158" s="165" t="s">
        <v>168</v>
      </c>
      <c r="E158" s="167"/>
      <c r="F158" s="168" t="s">
        <v>260</v>
      </c>
      <c r="G158" s="168" t="s">
        <v>247</v>
      </c>
      <c r="H158" s="168"/>
      <c r="I158" s="168" t="s">
        <v>261</v>
      </c>
      <c r="U158" s="112">
        <v>14</v>
      </c>
      <c r="V158" s="112">
        <v>14</v>
      </c>
      <c r="W158" s="125">
        <v>11.534000000000001</v>
      </c>
      <c r="X158" s="125">
        <v>20.283999999999999</v>
      </c>
      <c r="Y158" s="125">
        <v>22.922998333333332</v>
      </c>
      <c r="Z158" s="125">
        <v>17.03256</v>
      </c>
      <c r="AA158" s="125">
        <v>18.5513075</v>
      </c>
      <c r="AB158" s="125">
        <v>18.283107323232326</v>
      </c>
      <c r="AC158" s="125">
        <v>25.990277777777777</v>
      </c>
      <c r="AD158" s="125">
        <v>42.026452020202022</v>
      </c>
      <c r="AE158" s="125">
        <v>32.784217171717167</v>
      </c>
      <c r="AF158" s="125">
        <v>26.651581092552419</v>
      </c>
      <c r="AG158" s="125">
        <v>28.371960859457815</v>
      </c>
      <c r="AH158" s="125">
        <v>29.975774482037679</v>
      </c>
      <c r="AI158" s="125">
        <v>30.489744321806747</v>
      </c>
      <c r="AJ158" s="125">
        <v>31.223937365075855</v>
      </c>
      <c r="AK158" s="125">
        <v>31.975809776826885</v>
      </c>
      <c r="AL158" s="125">
        <v>32.745787276252877</v>
      </c>
      <c r="AM158" s="125">
        <v>33.534305833865048</v>
      </c>
      <c r="AN158" s="125">
        <v>34.341811918344511</v>
      </c>
      <c r="AO158" s="125">
        <v>35.168762749338249</v>
      </c>
      <c r="AP158" s="125">
        <v>36.015626556342312</v>
      </c>
      <c r="AQ158" s="125">
        <v>36.88288284381904</v>
      </c>
      <c r="AR158" s="125">
        <v>37.771022662698208</v>
      </c>
      <c r="AS158" s="125">
        <v>38.680548888415977</v>
      </c>
      <c r="AT158" s="125">
        <v>39.611976505649032</v>
      </c>
      <c r="AU158" s="125">
        <v>40.565832899905061</v>
      </c>
      <c r="AV158" s="125">
        <v>41.542658156134777</v>
      </c>
      <c r="AW158" s="125">
        <v>42.543005364534515</v>
      </c>
      <c r="AX158" s="125">
        <v>43.567440933712511</v>
      </c>
      <c r="AY158" s="125">
        <v>44.616544911396311</v>
      </c>
      <c r="AZ158" s="125">
        <v>45.690911312862738</v>
      </c>
      <c r="BA158" s="125">
        <v>46.791148457276478</v>
      </c>
      <c r="BB158" s="125">
        <v>47.917879312127702</v>
      </c>
      <c r="BC158" s="125">
        <f t="shared" si="75"/>
        <v>49.071741845963743</v>
      </c>
      <c r="BD158" s="125">
        <f t="shared" si="74"/>
        <v>50.253389389614554</v>
      </c>
      <c r="BE158" s="125">
        <f t="shared" si="74"/>
        <v>51.463491006116477</v>
      </c>
      <c r="BF158" s="125">
        <f t="shared" si="74"/>
        <v>52.702731869543769</v>
      </c>
      <c r="BG158" s="125">
        <f t="shared" si="74"/>
        <v>53.971813652962389</v>
      </c>
    </row>
    <row r="159" spans="1:59" ht="13.75" customHeight="1">
      <c r="A159" s="171" t="s">
        <v>166</v>
      </c>
      <c r="B159" s="165" t="s">
        <v>245</v>
      </c>
      <c r="C159" s="165"/>
      <c r="D159" s="165" t="s">
        <v>168</v>
      </c>
      <c r="E159" s="167"/>
      <c r="F159" s="168" t="s">
        <v>262</v>
      </c>
      <c r="G159" s="168" t="s">
        <v>247</v>
      </c>
      <c r="H159" s="168"/>
      <c r="I159" s="168" t="s">
        <v>263</v>
      </c>
      <c r="U159" s="112">
        <v>6.4089999999999998</v>
      </c>
      <c r="V159" s="112">
        <v>6.7149999999999999</v>
      </c>
      <c r="W159" s="125">
        <v>7.5384633333333326</v>
      </c>
      <c r="X159" s="125">
        <v>8.5952708333333341</v>
      </c>
      <c r="Y159" s="125">
        <v>9.4826116666666671</v>
      </c>
      <c r="Z159" s="125">
        <v>7.6686931602969999</v>
      </c>
      <c r="AA159" s="125">
        <v>8.1663085024709989</v>
      </c>
      <c r="AB159" s="125">
        <v>9.7845073960606044</v>
      </c>
      <c r="AC159" s="125">
        <v>12.941790822811946</v>
      </c>
      <c r="AD159" s="125">
        <v>14.160467135280747</v>
      </c>
      <c r="AE159" s="125">
        <v>13.662216776552903</v>
      </c>
      <c r="AF159" s="125">
        <v>10.438509863825693</v>
      </c>
      <c r="AG159" s="125">
        <v>12.446070925125449</v>
      </c>
      <c r="AH159" s="125">
        <v>13.025147961788774</v>
      </c>
      <c r="AI159" s="125">
        <v>13.248479412821021</v>
      </c>
      <c r="AJ159" s="125">
        <v>13.567502797081751</v>
      </c>
      <c r="AK159" s="125">
        <v>13.894208264435481</v>
      </c>
      <c r="AL159" s="125">
        <v>14.228780799443088</v>
      </c>
      <c r="AM159" s="125">
        <v>14.571409841093677</v>
      </c>
      <c r="AN159" s="125">
        <v>14.922289390067213</v>
      </c>
      <c r="AO159" s="125">
        <v>15.281618118580033</v>
      </c>
      <c r="AP159" s="125">
        <v>15.649599482875441</v>
      </c>
      <c r="AQ159" s="125">
        <v>16.026441838423082</v>
      </c>
      <c r="AR159" s="125">
        <v>16.412358557892308</v>
      </c>
      <c r="AS159" s="125">
        <v>16.807568151966358</v>
      </c>
      <c r="AT159" s="125">
        <v>17.212294393065708</v>
      </c>
      <c r="AU159" s="125">
        <v>17.626766442050734</v>
      </c>
      <c r="AV159" s="125">
        <v>18.051218977975317</v>
      </c>
      <c r="AW159" s="125">
        <v>18.485892330964962</v>
      </c>
      <c r="AX159" s="125">
        <v>18.931032618294598</v>
      </c>
      <c r="AY159" s="125">
        <v>19.386891883743132</v>
      </c>
      <c r="AZ159" s="125">
        <v>19.853728240303667</v>
      </c>
      <c r="BA159" s="125">
        <v>20.33180601633018</v>
      </c>
      <c r="BB159" s="125">
        <v>20.82139590520341</v>
      </c>
      <c r="BC159" s="125">
        <f t="shared" si="75"/>
        <v>21.322775118600706</v>
      </c>
      <c r="BD159" s="125">
        <f t="shared" si="74"/>
        <v>21.836227543456609</v>
      </c>
      <c r="BE159" s="125">
        <f t="shared" si="74"/>
        <v>22.362043902703043</v>
      </c>
      <c r="BF159" s="125">
        <f t="shared" si="74"/>
        <v>22.900521919880131</v>
      </c>
      <c r="BG159" s="125">
        <f t="shared" si="74"/>
        <v>23.451966487710841</v>
      </c>
    </row>
    <row r="160" spans="1:59" ht="13.75" customHeight="1">
      <c r="A160" s="171" t="s">
        <v>166</v>
      </c>
      <c r="B160" s="165" t="s">
        <v>245</v>
      </c>
      <c r="C160" s="165"/>
      <c r="D160" s="165" t="s">
        <v>168</v>
      </c>
      <c r="E160" s="167"/>
      <c r="F160" s="168" t="s">
        <v>264</v>
      </c>
      <c r="G160" s="168" t="s">
        <v>247</v>
      </c>
      <c r="H160" s="168"/>
      <c r="I160" s="168"/>
      <c r="U160" s="112"/>
      <c r="V160" s="112"/>
      <c r="W160" s="125">
        <v>7.3559975000000009</v>
      </c>
      <c r="X160" s="125">
        <v>9.2856191666666668</v>
      </c>
      <c r="Y160" s="125">
        <v>9.5692200000000014</v>
      </c>
      <c r="Z160" s="125">
        <v>8.1502513599749982</v>
      </c>
      <c r="AA160" s="125">
        <v>8.9087159764249986</v>
      </c>
      <c r="AB160" s="125">
        <v>11.851128787878789</v>
      </c>
      <c r="AC160" s="125">
        <v>13.556967424242423</v>
      </c>
      <c r="AD160" s="125">
        <v>14.765418939393937</v>
      </c>
      <c r="AE160" s="125">
        <v>14.653615909090906</v>
      </c>
      <c r="AF160" s="125">
        <v>12.195669371807586</v>
      </c>
      <c r="AG160" s="125">
        <v>13.326714683474698</v>
      </c>
      <c r="AH160" s="125">
        <v>13.525147961788774</v>
      </c>
      <c r="AI160" s="125">
        <v>13.757052499732872</v>
      </c>
      <c r="AJ160" s="125">
        <v>14.088322323926441</v>
      </c>
      <c r="AK160" s="125">
        <v>14.42756912548659</v>
      </c>
      <c r="AL160" s="125">
        <v>14.774984990028308</v>
      </c>
      <c r="AM160" s="125">
        <v>15.130766628588191</v>
      </c>
      <c r="AN160" s="125">
        <v>15.495115489004595</v>
      </c>
      <c r="AO160" s="125">
        <v>15.868237869979826</v>
      </c>
      <c r="AP160" s="125">
        <v>16.250345037888941</v>
      </c>
      <c r="AQ160" s="125">
        <v>16.641653346401309</v>
      </c>
      <c r="AR160" s="125">
        <v>17.042384358982652</v>
      </c>
      <c r="AS160" s="125">
        <v>17.452764974346955</v>
      </c>
      <c r="AT160" s="125">
        <v>17.87302755492923</v>
      </c>
      <c r="AU160" s="125">
        <v>18.303410058451924</v>
      </c>
      <c r="AV160" s="125">
        <v>18.744156172659444</v>
      </c>
      <c r="AW160" s="125">
        <v>19.195515453297084</v>
      </c>
      <c r="AX160" s="125">
        <v>19.657743465412477</v>
      </c>
      <c r="AY160" s="125">
        <v>20.131101928059611</v>
      </c>
      <c r="AZ160" s="125">
        <v>20.615858862487286</v>
      </c>
      <c r="BA160" s="125">
        <v>21.112288743895981</v>
      </c>
      <c r="BB160" s="125">
        <v>21.620672656848996</v>
      </c>
      <c r="BC160" s="125">
        <f t="shared" si="75"/>
        <v>22.141298454425918</v>
      </c>
      <c r="BD160" s="125">
        <f t="shared" si="74"/>
        <v>22.674460921208492</v>
      </c>
      <c r="BE160" s="125">
        <f t="shared" si="74"/>
        <v>23.220461940191189</v>
      </c>
      <c r="BF160" s="125">
        <f t="shared" si="74"/>
        <v>23.77961066371099</v>
      </c>
      <c r="BG160" s="125">
        <f t="shared" si="74"/>
        <v>24.352223688493147</v>
      </c>
    </row>
    <row r="161" spans="1:59" ht="13.75" customHeight="1">
      <c r="A161" s="171" t="s">
        <v>166</v>
      </c>
      <c r="B161" s="165" t="s">
        <v>245</v>
      </c>
      <c r="C161" s="165"/>
      <c r="D161" s="142" t="s">
        <v>168</v>
      </c>
      <c r="F161" s="168" t="s">
        <v>265</v>
      </c>
      <c r="G161" s="168" t="s">
        <v>247</v>
      </c>
      <c r="U161" s="112"/>
      <c r="V161" s="112"/>
      <c r="W161" s="125">
        <v>6.4186300000000003</v>
      </c>
      <c r="X161" s="125">
        <v>7.7966258333333336</v>
      </c>
      <c r="Y161" s="125">
        <v>8.2774549999999998</v>
      </c>
      <c r="Z161" s="125">
        <v>6.7077049396397488</v>
      </c>
      <c r="AA161" s="125">
        <v>7.3783596834842502</v>
      </c>
      <c r="AB161" s="125">
        <v>10.954974999999999</v>
      </c>
      <c r="AC161" s="125">
        <v>12.761625</v>
      </c>
      <c r="AD161" s="125">
        <v>14.138906818181816</v>
      </c>
      <c r="AE161" s="125">
        <v>13.035415151515149</v>
      </c>
      <c r="AF161" s="125">
        <v>9.0051438316927559</v>
      </c>
      <c r="AG161" s="125">
        <v>11.375440145188554</v>
      </c>
      <c r="AH161" s="125">
        <v>12.525147961788774</v>
      </c>
      <c r="AI161" s="125">
        <v>12.739906325909171</v>
      </c>
      <c r="AJ161" s="125">
        <v>13.046683270237065</v>
      </c>
      <c r="AK161" s="125">
        <v>13.360847403384373</v>
      </c>
      <c r="AL161" s="125">
        <v>13.682576608857868</v>
      </c>
      <c r="AM161" s="125">
        <v>14.012053053599166</v>
      </c>
      <c r="AN161" s="125">
        <v>14.349463291129833</v>
      </c>
      <c r="AO161" s="125">
        <v>14.694998367180238</v>
      </c>
      <c r="AP161" s="125">
        <v>15.04885392786194</v>
      </c>
      <c r="AQ161" s="125">
        <v>15.411230330444855</v>
      </c>
      <c r="AR161" s="125">
        <v>15.782332756801967</v>
      </c>
      <c r="AS161" s="125">
        <v>16.16237132958576</v>
      </c>
      <c r="AT161" s="125">
        <v>16.551561231202186</v>
      </c>
      <c r="AU161" s="125">
        <v>16.950122825649537</v>
      </c>
      <c r="AV161" s="125">
        <v>17.358281783291179</v>
      </c>
      <c r="AW161" s="125">
        <v>17.776269208632833</v>
      </c>
      <c r="AX161" s="125">
        <v>18.204321771176712</v>
      </c>
      <c r="AY161" s="125">
        <v>18.642681839426647</v>
      </c>
      <c r="AZ161" s="125">
        <v>19.091597618120041</v>
      </c>
      <c r="BA161" s="125">
        <v>19.551323288764372</v>
      </c>
      <c r="BB161" s="125">
        <v>20.022119153557821</v>
      </c>
      <c r="BC161" s="125">
        <f t="shared" si="75"/>
        <v>20.504251782775494</v>
      </c>
      <c r="BD161" s="125">
        <f t="shared" si="74"/>
        <v>20.997994165704728</v>
      </c>
      <c r="BE161" s="125">
        <f t="shared" si="74"/>
        <v>21.5036258652149</v>
      </c>
      <c r="BF161" s="125">
        <f t="shared" si="74"/>
        <v>22.021433176049278</v>
      </c>
      <c r="BG161" s="125">
        <f t="shared" si="74"/>
        <v>22.551709286928546</v>
      </c>
    </row>
    <row r="162" spans="1:59" ht="13.75" customHeight="1">
      <c r="A162" s="171" t="s">
        <v>166</v>
      </c>
      <c r="B162" s="165" t="s">
        <v>245</v>
      </c>
      <c r="C162" s="165"/>
      <c r="D162" s="165" t="s">
        <v>168</v>
      </c>
      <c r="E162" s="167"/>
      <c r="F162" s="168" t="s">
        <v>266</v>
      </c>
      <c r="G162" s="168" t="s">
        <v>247</v>
      </c>
      <c r="H162" s="168"/>
      <c r="I162" s="168" t="s">
        <v>267</v>
      </c>
      <c r="U162" s="112">
        <v>20.409880000000001</v>
      </c>
      <c r="V162" s="112">
        <v>20.632380000000001</v>
      </c>
      <c r="W162" s="125">
        <v>24.426339166666665</v>
      </c>
      <c r="X162" s="125">
        <v>35.392682499999992</v>
      </c>
      <c r="Y162" s="125">
        <v>37.044029166666661</v>
      </c>
      <c r="Z162" s="125">
        <v>28.015037695378787</v>
      </c>
      <c r="AA162" s="125">
        <v>28.902376855075751</v>
      </c>
      <c r="AB162" s="125">
        <v>24.807816350454541</v>
      </c>
      <c r="AC162" s="125">
        <v>27.428288228484845</v>
      </c>
      <c r="AD162" s="125">
        <v>40.038148932045445</v>
      </c>
      <c r="AE162" s="125">
        <v>49.593850912515506</v>
      </c>
      <c r="AF162" s="125">
        <v>52.182273943056266</v>
      </c>
      <c r="AG162" s="125">
        <v>56.795058333333301</v>
      </c>
      <c r="AH162" s="125">
        <v>52.135067977540011</v>
      </c>
      <c r="AI162" s="125">
        <v>53.131396601196421</v>
      </c>
      <c r="AJ162" s="125">
        <v>54.226474931583972</v>
      </c>
      <c r="AK162" s="125">
        <v>55.344123655870256</v>
      </c>
      <c r="AL162" s="125">
        <v>56.484807966970457</v>
      </c>
      <c r="AM162" s="125">
        <v>57.649002645778104</v>
      </c>
      <c r="AN162" s="125">
        <v>58.83719225878027</v>
      </c>
      <c r="AO162" s="125">
        <v>60.04987135974671</v>
      </c>
      <c r="AP162" s="125">
        <v>61.28754469557488</v>
      </c>
      <c r="AQ162" s="125">
        <v>62.550727416378137</v>
      </c>
      <c r="AR162" s="125">
        <v>63.839945289903888</v>
      </c>
      <c r="AS162" s="125">
        <v>65.155734920371074</v>
      </c>
      <c r="AT162" s="125">
        <v>66.498643971818069</v>
      </c>
      <c r="AU162" s="125">
        <v>67.869231396053934</v>
      </c>
      <c r="AV162" s="125">
        <v>69.268067665307896</v>
      </c>
      <c r="AW162" s="125">
        <v>70.695735009673953</v>
      </c>
      <c r="AX162" s="125">
        <v>72.152827659449386</v>
      </c>
      <c r="AY162" s="125">
        <v>73.639952092468036</v>
      </c>
      <c r="AZ162" s="125">
        <v>75.157727286531269</v>
      </c>
      <c r="BA162" s="125">
        <v>76.706784977041821</v>
      </c>
      <c r="BB162" s="125">
        <v>78.287769919947621</v>
      </c>
      <c r="BC162" s="125">
        <f t="shared" si="75"/>
        <v>79.901340160105065</v>
      </c>
      <c r="BD162" s="125">
        <f t="shared" si="74"/>
        <v>81.548167305173507</v>
      </c>
      <c r="BE162" s="125">
        <f t="shared" si="74"/>
        <v>83.228936805154888</v>
      </c>
      <c r="BF162" s="125">
        <f t="shared" si="74"/>
        <v>84.944348237694925</v>
      </c>
      <c r="BG162" s="125">
        <f t="shared" si="74"/>
        <v>86.695115599264525</v>
      </c>
    </row>
    <row r="163" spans="1:59" ht="13.75" customHeight="1">
      <c r="A163" s="171" t="s">
        <v>166</v>
      </c>
      <c r="B163" s="165" t="s">
        <v>245</v>
      </c>
      <c r="C163" s="165"/>
      <c r="D163" s="165" t="s">
        <v>168</v>
      </c>
      <c r="E163" s="167"/>
      <c r="F163" s="168" t="s">
        <v>268</v>
      </c>
      <c r="G163" s="168" t="s">
        <v>247</v>
      </c>
      <c r="H163" s="168"/>
      <c r="I163" s="168" t="s">
        <v>259</v>
      </c>
      <c r="U163" s="112">
        <v>83.242999999999995</v>
      </c>
      <c r="V163" s="112">
        <v>71.674999999999997</v>
      </c>
      <c r="W163" s="125">
        <v>92.597161666666665</v>
      </c>
      <c r="X163" s="125">
        <v>100.45788666666667</v>
      </c>
      <c r="Y163" s="125">
        <v>91.767039999999994</v>
      </c>
      <c r="Z163" s="125">
        <v>96.8</v>
      </c>
      <c r="AA163" s="125">
        <v>99.54</v>
      </c>
      <c r="AB163" s="125">
        <v>94.852255</v>
      </c>
      <c r="AC163" s="125">
        <v>92.129968333333338</v>
      </c>
      <c r="AD163" s="125">
        <v>111.96629666666668</v>
      </c>
      <c r="AE163" s="125">
        <v>104.67612262626261</v>
      </c>
      <c r="AF163" s="125">
        <v>111.86227560606061</v>
      </c>
      <c r="AG163" s="125">
        <v>116.60044035909569</v>
      </c>
      <c r="AH163" s="125">
        <v>124.01895369565824</v>
      </c>
      <c r="AI163" s="125">
        <v>126.77166571705112</v>
      </c>
      <c r="AJ163" s="125">
        <v>129.86489436054717</v>
      </c>
      <c r="AK163" s="125">
        <v>133.03359778294453</v>
      </c>
      <c r="AL163" s="125">
        <v>136.27961756884838</v>
      </c>
      <c r="AM163" s="125">
        <v>139.60484023752826</v>
      </c>
      <c r="AN163" s="125">
        <v>143.01119833932395</v>
      </c>
      <c r="AO163" s="125">
        <v>146.50067157880346</v>
      </c>
      <c r="AP163" s="125">
        <v>150.07528796532625</v>
      </c>
      <c r="AQ163" s="125">
        <v>153.73712499168022</v>
      </c>
      <c r="AR163" s="125">
        <v>157.48831084147722</v>
      </c>
      <c r="AS163" s="125">
        <v>161.33102562600928</v>
      </c>
      <c r="AT163" s="125">
        <v>165.26750265128391</v>
      </c>
      <c r="AU163" s="125">
        <v>169.30002971597523</v>
      </c>
      <c r="AV163" s="125">
        <v>173.43095044104501</v>
      </c>
      <c r="AW163" s="125">
        <v>177.6626656318065</v>
      </c>
      <c r="AX163" s="125">
        <v>181.99763467322262</v>
      </c>
      <c r="AY163" s="125">
        <v>186.43837695924924</v>
      </c>
      <c r="AZ163" s="125">
        <v>190.98747335705491</v>
      </c>
      <c r="BA163" s="125">
        <v>195.64756770696704</v>
      </c>
      <c r="BB163" s="125">
        <v>200.42136835901704</v>
      </c>
      <c r="BC163" s="125">
        <f t="shared" si="75"/>
        <v>205.31164974697705</v>
      </c>
      <c r="BD163" s="125">
        <f t="shared" si="74"/>
        <v>210.32125400080329</v>
      </c>
      <c r="BE163" s="125">
        <f t="shared" si="74"/>
        <v>215.4530925984229</v>
      </c>
      <c r="BF163" s="125">
        <f t="shared" si="74"/>
        <v>220.71014805782443</v>
      </c>
      <c r="BG163" s="125">
        <f t="shared" si="74"/>
        <v>226.09547567043535</v>
      </c>
    </row>
    <row r="164" spans="1:59" ht="13.75" customHeight="1">
      <c r="A164" s="171" t="s">
        <v>166</v>
      </c>
      <c r="B164" s="165" t="s">
        <v>245</v>
      </c>
      <c r="C164" s="165"/>
      <c r="D164" s="165" t="s">
        <v>168</v>
      </c>
      <c r="E164" s="167"/>
      <c r="F164" s="168" t="s">
        <v>269</v>
      </c>
      <c r="G164" s="168" t="s">
        <v>247</v>
      </c>
      <c r="H164" s="168"/>
      <c r="I164" s="168" t="s">
        <v>270</v>
      </c>
      <c r="U164" s="112">
        <v>131.42721</v>
      </c>
      <c r="V164" s="112">
        <v>120.97136</v>
      </c>
      <c r="W164" s="125">
        <v>133.72499999999999</v>
      </c>
      <c r="X164" s="125">
        <v>145.58484848484849</v>
      </c>
      <c r="Y164" s="125">
        <v>135.05151515151513</v>
      </c>
      <c r="Z164" s="125">
        <v>135.28939393939393</v>
      </c>
      <c r="AA164" s="125">
        <v>143.50757575757578</v>
      </c>
      <c r="AB164" s="125">
        <v>135.38404634581104</v>
      </c>
      <c r="AC164" s="125">
        <v>135.79090909090908</v>
      </c>
      <c r="AD164" s="125">
        <v>164.1360606060606</v>
      </c>
      <c r="AE164" s="125">
        <v>152.64517676767676</v>
      </c>
      <c r="AF164" s="125">
        <v>164.48755050505048</v>
      </c>
      <c r="AG164" s="125">
        <v>171.125</v>
      </c>
      <c r="AH164" s="125">
        <v>182.01254974517761</v>
      </c>
      <c r="AI164" s="125">
        <v>186.05248169749385</v>
      </c>
      <c r="AJ164" s="125">
        <v>190.59216225091268</v>
      </c>
      <c r="AK164" s="125">
        <v>195.24261100983495</v>
      </c>
      <c r="AL164" s="125">
        <v>200.00653071847492</v>
      </c>
      <c r="AM164" s="125">
        <v>204.88669006800569</v>
      </c>
      <c r="AN164" s="125">
        <v>209.88592530566501</v>
      </c>
      <c r="AO164" s="125">
        <v>215.00714188312324</v>
      </c>
      <c r="AP164" s="125">
        <v>220.25331614507144</v>
      </c>
      <c r="AQ164" s="125">
        <v>225.62749705901118</v>
      </c>
      <c r="AR164" s="125">
        <v>231.13280798725106</v>
      </c>
      <c r="AS164" s="125">
        <v>236.77244850213998</v>
      </c>
      <c r="AT164" s="125">
        <v>242.5496962455922</v>
      </c>
      <c r="AU164" s="125">
        <v>248.46790883398464</v>
      </c>
      <c r="AV164" s="125">
        <v>254.53052580953386</v>
      </c>
      <c r="AW164" s="125">
        <v>260.74107063928648</v>
      </c>
      <c r="AX164" s="125">
        <v>267.10315276288509</v>
      </c>
      <c r="AY164" s="125">
        <v>273.6204696902995</v>
      </c>
      <c r="AZ164" s="125">
        <v>280.29680915074277</v>
      </c>
      <c r="BA164" s="125">
        <v>287.13605129402089</v>
      </c>
      <c r="BB164" s="125">
        <v>294.14217094559501</v>
      </c>
      <c r="BC164" s="125">
        <f>BB164*(1+((BB164-BA164)/BA164))</f>
        <v>301.31923991666753</v>
      </c>
      <c r="BD164" s="125">
        <f t="shared" si="74"/>
        <v>308.6714293706342</v>
      </c>
      <c r="BE164" s="125">
        <f t="shared" si="74"/>
        <v>316.20301224727768</v>
      </c>
      <c r="BF164" s="125">
        <f t="shared" si="74"/>
        <v>323.91836574611125</v>
      </c>
      <c r="BG164" s="125">
        <f t="shared" si="74"/>
        <v>331.82197387031636</v>
      </c>
    </row>
    <row r="165" spans="1:59" ht="13.75" customHeight="1">
      <c r="A165" s="171" t="s">
        <v>166</v>
      </c>
      <c r="B165" s="165" t="s">
        <v>245</v>
      </c>
      <c r="C165" s="165"/>
      <c r="D165" s="165" t="s">
        <v>168</v>
      </c>
      <c r="E165" s="167"/>
      <c r="F165" s="168" t="s">
        <v>271</v>
      </c>
      <c r="G165" s="168" t="s">
        <v>4</v>
      </c>
      <c r="H165" s="168"/>
      <c r="I165" s="168" t="s">
        <v>272</v>
      </c>
      <c r="U165" s="112">
        <v>1173.0613252305516</v>
      </c>
      <c r="V165" s="112">
        <v>1024.5275006342308</v>
      </c>
      <c r="W165" s="126">
        <v>812.64130383333338</v>
      </c>
      <c r="X165" s="126">
        <v>672.17026616666658</v>
      </c>
      <c r="Y165" s="126">
        <v>721.18631749999997</v>
      </c>
      <c r="Z165" s="126">
        <v>735.930505090873</v>
      </c>
      <c r="AA165" s="126">
        <v>659.10197216970641</v>
      </c>
      <c r="AB165" s="126">
        <v>572.15331226761839</v>
      </c>
      <c r="AC165" s="126">
        <v>687.79318089474691</v>
      </c>
      <c r="AD165" s="126">
        <v>1148.8004242657116</v>
      </c>
      <c r="AE165" s="126">
        <v>1129.3519427725464</v>
      </c>
      <c r="AF165" s="126">
        <v>749.61428422807739</v>
      </c>
      <c r="AG165" s="126">
        <v>715.52016237356895</v>
      </c>
      <c r="AH165" s="126">
        <v>713.07041121872146</v>
      </c>
      <c r="AI165" s="126">
        <v>716.0070954436128</v>
      </c>
      <c r="AJ165" s="126">
        <v>718.87112382538726</v>
      </c>
      <c r="AK165" s="126">
        <v>721.74660832068878</v>
      </c>
      <c r="AL165" s="126">
        <v>724.63359475397158</v>
      </c>
      <c r="AM165" s="126">
        <v>727.53212913298751</v>
      </c>
      <c r="AN165" s="126">
        <v>730.44225764951943</v>
      </c>
      <c r="AO165" s="126">
        <v>733.36402668011749</v>
      </c>
      <c r="AP165" s="126">
        <v>736.29748278683792</v>
      </c>
      <c r="AQ165" s="126">
        <v>739.24267271798533</v>
      </c>
      <c r="AR165" s="126">
        <v>742.19964340885724</v>
      </c>
      <c r="AS165" s="126">
        <v>745.16844198249271</v>
      </c>
      <c r="AT165" s="126">
        <v>748.14911575042265</v>
      </c>
      <c r="AU165" s="126">
        <v>751.1417122134244</v>
      </c>
      <c r="AV165" s="126">
        <v>754.14627906227815</v>
      </c>
      <c r="AW165" s="126">
        <v>757.16286417852723</v>
      </c>
      <c r="AX165" s="126">
        <v>760.19151563524133</v>
      </c>
      <c r="AY165" s="126">
        <v>763.23228169778235</v>
      </c>
      <c r="AZ165" s="126">
        <v>766.28521082457348</v>
      </c>
      <c r="BA165" s="126">
        <v>769.35035166787179</v>
      </c>
      <c r="BB165" s="126">
        <v>772.42775307454326</v>
      </c>
      <c r="BC165" s="126">
        <f>BB165*(1+((BB165-BA165)/BA165))</f>
        <v>775.51746408684141</v>
      </c>
      <c r="BD165" s="126">
        <f t="shared" si="74"/>
        <v>778.6195339431888</v>
      </c>
      <c r="BE165" s="126">
        <f t="shared" si="74"/>
        <v>781.73401207896154</v>
      </c>
      <c r="BF165" s="126">
        <f t="shared" si="74"/>
        <v>784.86094812727742</v>
      </c>
      <c r="BG165" s="126">
        <f t="shared" si="74"/>
        <v>788.00039191978658</v>
      </c>
    </row>
    <row r="166" spans="1:59" ht="13.75" customHeight="1">
      <c r="A166" s="171" t="s">
        <v>166</v>
      </c>
      <c r="B166" s="165" t="s">
        <v>245</v>
      </c>
      <c r="C166" s="165"/>
      <c r="D166" s="165" t="s">
        <v>168</v>
      </c>
      <c r="E166" s="167"/>
      <c r="F166" s="168" t="s">
        <v>273</v>
      </c>
      <c r="G166" s="168" t="s">
        <v>4</v>
      </c>
      <c r="H166" s="168"/>
      <c r="I166" s="168" t="s">
        <v>272</v>
      </c>
      <c r="U166" s="112">
        <v>129.02069087500004</v>
      </c>
      <c r="V166" s="112">
        <v>131.98453686666664</v>
      </c>
      <c r="W166" s="126">
        <v>556.94720481489435</v>
      </c>
      <c r="X166" s="126">
        <v>442.77075054518463</v>
      </c>
      <c r="Y166" s="126">
        <v>440.16745941199065</v>
      </c>
      <c r="Z166" s="126">
        <v>469.2187800294746</v>
      </c>
      <c r="AA166" s="126">
        <v>525.02049987495423</v>
      </c>
      <c r="AB166" s="126">
        <v>456.40623765205379</v>
      </c>
      <c r="AC166" s="126">
        <v>498.50449765343967</v>
      </c>
      <c r="AD166" s="126">
        <v>665.86946281127769</v>
      </c>
      <c r="AE166" s="126">
        <v>674.78767498593038</v>
      </c>
      <c r="AF166" s="126">
        <v>548.58130888590949</v>
      </c>
      <c r="AG166" s="126">
        <v>479.00931122097472</v>
      </c>
      <c r="AH166" s="126">
        <v>479.49889490782965</v>
      </c>
      <c r="AI166" s="126">
        <v>481.47364637468962</v>
      </c>
      <c r="AJ166" s="126">
        <v>483.3995409601884</v>
      </c>
      <c r="AK166" s="126">
        <v>485.33313912402917</v>
      </c>
      <c r="AL166" s="126">
        <v>487.27447168052532</v>
      </c>
      <c r="AM166" s="126">
        <v>489.22356956724741</v>
      </c>
      <c r="AN166" s="126">
        <v>491.18046384551644</v>
      </c>
      <c r="AO166" s="126">
        <v>493.14518570089848</v>
      </c>
      <c r="AP166" s="126">
        <v>495.11776644370207</v>
      </c>
      <c r="AQ166" s="126">
        <v>497.09823750947686</v>
      </c>
      <c r="AR166" s="126">
        <v>499.08663045951477</v>
      </c>
      <c r="AS166" s="126">
        <v>501.08297698135283</v>
      </c>
      <c r="AT166" s="126">
        <v>503.08730888927829</v>
      </c>
      <c r="AU166" s="126">
        <v>505.0996581248354</v>
      </c>
      <c r="AV166" s="126">
        <v>507.12005675733474</v>
      </c>
      <c r="AW166" s="126">
        <v>509.14853698436406</v>
      </c>
      <c r="AX166" s="126">
        <v>511.18513113230148</v>
      </c>
      <c r="AY166" s="126">
        <v>513.2298716568306</v>
      </c>
      <c r="AZ166" s="126">
        <v>515.28279114345787</v>
      </c>
      <c r="BA166" s="126">
        <v>517.34392230803167</v>
      </c>
      <c r="BB166" s="126">
        <v>519.41329799726384</v>
      </c>
      <c r="BC166" s="126">
        <f t="shared" si="75"/>
        <v>521.49095118925288</v>
      </c>
      <c r="BD166" s="126">
        <f t="shared" si="74"/>
        <v>523.57691499400994</v>
      </c>
      <c r="BE166" s="126">
        <f t="shared" si="74"/>
        <v>525.67122265398598</v>
      </c>
      <c r="BF166" s="126">
        <f t="shared" si="74"/>
        <v>527.77390754460191</v>
      </c>
      <c r="BG166" s="126">
        <f t="shared" si="74"/>
        <v>529.88500317478031</v>
      </c>
    </row>
    <row r="167" spans="1:59" ht="13.75" customHeight="1">
      <c r="A167" s="171" t="s">
        <v>166</v>
      </c>
      <c r="B167" s="165" t="s">
        <v>245</v>
      </c>
      <c r="C167" s="165"/>
      <c r="D167" s="165" t="s">
        <v>168</v>
      </c>
      <c r="E167" s="167"/>
      <c r="F167" s="168" t="s">
        <v>274</v>
      </c>
      <c r="G167" s="168" t="s">
        <v>4</v>
      </c>
      <c r="H167" s="168"/>
      <c r="I167" s="168" t="s">
        <v>272</v>
      </c>
      <c r="U167" s="112">
        <v>447.45807141666666</v>
      </c>
      <c r="V167" s="112">
        <v>434.78368204166662</v>
      </c>
      <c r="W167" s="126">
        <v>472.25501426105797</v>
      </c>
      <c r="X167" s="126">
        <v>348.53181687657968</v>
      </c>
      <c r="Y167" s="126">
        <v>355.8973554399517</v>
      </c>
      <c r="Z167" s="126">
        <v>374.51990404133363</v>
      </c>
      <c r="AA167" s="126">
        <v>371.25466540399742</v>
      </c>
      <c r="AB167" s="126">
        <v>375.93841238718528</v>
      </c>
      <c r="AC167" s="126">
        <v>419.49423270181006</v>
      </c>
      <c r="AD167" s="126">
        <v>645.3039703152142</v>
      </c>
      <c r="AE167" s="126">
        <v>591.22470916830036</v>
      </c>
      <c r="AF167" s="126">
        <v>430.71855232703871</v>
      </c>
      <c r="AG167" s="126">
        <v>405.30684554428768</v>
      </c>
      <c r="AH167" s="126">
        <v>391.25014140011092</v>
      </c>
      <c r="AI167" s="126">
        <v>392.86145228913307</v>
      </c>
      <c r="AJ167" s="126">
        <v>394.43289809828957</v>
      </c>
      <c r="AK167" s="126">
        <v>396.01062969068278</v>
      </c>
      <c r="AL167" s="126">
        <v>397.59467220944555</v>
      </c>
      <c r="AM167" s="126">
        <v>399.18505089828335</v>
      </c>
      <c r="AN167" s="126">
        <v>400.78179110187648</v>
      </c>
      <c r="AO167" s="126">
        <v>402.38491826628399</v>
      </c>
      <c r="AP167" s="126">
        <v>403.99445793934916</v>
      </c>
      <c r="AQ167" s="126">
        <v>405.61043577110655</v>
      </c>
      <c r="AR167" s="126">
        <v>407.23287751419093</v>
      </c>
      <c r="AS167" s="126">
        <v>408.86180902424775</v>
      </c>
      <c r="AT167" s="126">
        <v>410.49725626034478</v>
      </c>
      <c r="AU167" s="126">
        <v>412.13924528538615</v>
      </c>
      <c r="AV167" s="126">
        <v>413.78780226652771</v>
      </c>
      <c r="AW167" s="126">
        <v>415.44295347559381</v>
      </c>
      <c r="AX167" s="126">
        <v>417.10472528949617</v>
      </c>
      <c r="AY167" s="126">
        <v>418.77314419065419</v>
      </c>
      <c r="AZ167" s="126">
        <v>420.4482367674168</v>
      </c>
      <c r="BA167" s="126">
        <v>422.13002971448645</v>
      </c>
      <c r="BB167" s="126">
        <v>423.81854983334443</v>
      </c>
      <c r="BC167" s="126">
        <f t="shared" si="75"/>
        <v>425.5138240326778</v>
      </c>
      <c r="BD167" s="126">
        <f t="shared" si="74"/>
        <v>427.21587932880851</v>
      </c>
      <c r="BE167" s="126">
        <f t="shared" si="74"/>
        <v>428.92474284612376</v>
      </c>
      <c r="BF167" s="126">
        <f t="shared" si="74"/>
        <v>430.64044181750825</v>
      </c>
      <c r="BG167" s="126">
        <f t="shared" si="74"/>
        <v>432.36300358477826</v>
      </c>
    </row>
    <row r="168" spans="1:59" ht="13.75" customHeight="1">
      <c r="A168" s="171" t="s">
        <v>166</v>
      </c>
      <c r="B168" s="165" t="s">
        <v>245</v>
      </c>
      <c r="C168" s="165"/>
      <c r="D168" s="165" t="s">
        <v>168</v>
      </c>
      <c r="E168" s="167"/>
      <c r="F168" s="168" t="s">
        <v>275</v>
      </c>
      <c r="G168" s="168" t="s">
        <v>276</v>
      </c>
      <c r="H168" s="168"/>
      <c r="I168" s="168" t="s">
        <v>277</v>
      </c>
      <c r="U168" s="112">
        <v>27.040000000000003</v>
      </c>
      <c r="V168" s="112">
        <v>31.97</v>
      </c>
      <c r="W168" s="125">
        <v>34.07</v>
      </c>
      <c r="X168" s="125">
        <v>41.71</v>
      </c>
      <c r="Y168" s="125">
        <v>41.84</v>
      </c>
      <c r="Z168" s="125">
        <v>35.645900000000005</v>
      </c>
      <c r="AA168" s="125">
        <v>38.979999999999997</v>
      </c>
      <c r="AB168" s="125">
        <v>41.64651666666667</v>
      </c>
      <c r="AC168" s="125">
        <v>43.524141666666665</v>
      </c>
      <c r="AD168" s="125">
        <v>55.998224999999998</v>
      </c>
      <c r="AE168" s="125">
        <v>55.313483333333338</v>
      </c>
      <c r="AF168" s="125">
        <v>58.217150000000004</v>
      </c>
      <c r="AG168" s="125">
        <v>59.916666666666671</v>
      </c>
      <c r="AH168" s="125">
        <v>60.821506089480117</v>
      </c>
      <c r="AI168" s="125">
        <v>62.392803519874427</v>
      </c>
      <c r="AJ168" s="125">
        <v>64.164759139838864</v>
      </c>
      <c r="AK168" s="125">
        <v>65.987038299410287</v>
      </c>
      <c r="AL168" s="125">
        <v>67.86107018711354</v>
      </c>
      <c r="AM168" s="125">
        <v>69.78832458042757</v>
      </c>
      <c r="AN168" s="125">
        <v>71.770312998511713</v>
      </c>
      <c r="AO168" s="125">
        <v>73.808589887669442</v>
      </c>
      <c r="AP168" s="125">
        <v>75.904753840479259</v>
      </c>
      <c r="AQ168" s="125">
        <v>78.060448849548862</v>
      </c>
      <c r="AR168" s="125">
        <v>80.277365596876052</v>
      </c>
      <c r="AS168" s="125">
        <v>82.557242779827334</v>
      </c>
      <c r="AT168" s="125">
        <v>84.901868474774432</v>
      </c>
      <c r="AU168" s="125">
        <v>87.313081539458025</v>
      </c>
      <c r="AV168" s="125">
        <v>89.792773055178628</v>
      </c>
      <c r="AW168" s="125">
        <v>92.342887809945694</v>
      </c>
      <c r="AX168" s="125">
        <v>94.965425823748149</v>
      </c>
      <c r="AY168" s="125">
        <v>97.662443917142596</v>
      </c>
      <c r="AZ168" s="125">
        <v>100.43605732438944</v>
      </c>
      <c r="BA168" s="125">
        <v>103.2884413524021</v>
      </c>
      <c r="BB168" s="125">
        <v>106.22183308681032</v>
      </c>
      <c r="BC168" s="125">
        <f t="shared" si="75"/>
        <v>109.23853314647573</v>
      </c>
      <c r="BD168" s="125">
        <f t="shared" si="75"/>
        <v>112.34090748783564</v>
      </c>
      <c r="BE168" s="125">
        <f t="shared" si="75"/>
        <v>115.53138926049017</v>
      </c>
      <c r="BF168" s="125">
        <f t="shared" si="75"/>
        <v>118.81248071548809</v>
      </c>
      <c r="BG168" s="125">
        <f t="shared" si="75"/>
        <v>122.18675516780795</v>
      </c>
    </row>
    <row r="169" spans="1:59" ht="13.75" customHeight="1">
      <c r="A169" s="171" t="s">
        <v>166</v>
      </c>
      <c r="B169" s="165" t="s">
        <v>245</v>
      </c>
      <c r="C169" s="165"/>
      <c r="D169" s="165" t="s">
        <v>168</v>
      </c>
      <c r="E169" s="167"/>
      <c r="F169" s="168" t="s">
        <v>278</v>
      </c>
      <c r="G169" s="168" t="s">
        <v>4</v>
      </c>
      <c r="H169" s="168"/>
      <c r="I169" s="168" t="s">
        <v>272</v>
      </c>
      <c r="T169" s="112"/>
      <c r="U169" s="112">
        <v>1161.25</v>
      </c>
      <c r="V169" s="112">
        <v>1028.3333333333333</v>
      </c>
      <c r="W169" s="126">
        <v>806</v>
      </c>
      <c r="X169" s="126">
        <v>765</v>
      </c>
      <c r="Y169" s="126">
        <v>773</v>
      </c>
      <c r="Z169" s="126">
        <v>735</v>
      </c>
      <c r="AA169" s="126">
        <v>705</v>
      </c>
      <c r="AB169" s="126">
        <v>673.36250000000007</v>
      </c>
      <c r="AC169" s="126">
        <v>820.75278333333335</v>
      </c>
      <c r="AD169" s="126">
        <v>1339.09</v>
      </c>
      <c r="AE169" s="126">
        <v>1424.8333333333335</v>
      </c>
      <c r="AF169" s="126">
        <v>899.89703840843526</v>
      </c>
      <c r="AG169" s="126">
        <v>931.04588514360125</v>
      </c>
      <c r="AH169" s="126">
        <v>926.3508861614132</v>
      </c>
      <c r="AI169" s="126">
        <v>930.16593722972891</v>
      </c>
      <c r="AJ169" s="126">
        <v>933.88660097864783</v>
      </c>
      <c r="AK169" s="126">
        <v>937.62214738256239</v>
      </c>
      <c r="AL169" s="126">
        <v>941.37263597209267</v>
      </c>
      <c r="AM169" s="126">
        <v>945.13812651598107</v>
      </c>
      <c r="AN169" s="126">
        <v>948.91867902204501</v>
      </c>
      <c r="AO169" s="126">
        <v>952.71435373813324</v>
      </c>
      <c r="AP169" s="126">
        <v>956.52521115308582</v>
      </c>
      <c r="AQ169" s="126">
        <v>960.35131199769819</v>
      </c>
      <c r="AR169" s="126">
        <v>964.19271724568898</v>
      </c>
      <c r="AS169" s="126">
        <v>968.0494881146717</v>
      </c>
      <c r="AT169" s="126">
        <v>971.92168606713039</v>
      </c>
      <c r="AU169" s="126">
        <v>975.80937281139893</v>
      </c>
      <c r="AV169" s="126">
        <v>979.71261030264452</v>
      </c>
      <c r="AW169" s="126">
        <v>983.63146074385509</v>
      </c>
      <c r="AX169" s="126">
        <v>987.56598658683049</v>
      </c>
      <c r="AY169" s="126">
        <v>991.51625053317787</v>
      </c>
      <c r="AZ169" s="126">
        <v>995.48231553531059</v>
      </c>
      <c r="BA169" s="126">
        <v>999.46424479745178</v>
      </c>
      <c r="BB169" s="126">
        <v>1003.4621017766416</v>
      </c>
      <c r="BC169" s="126">
        <f t="shared" si="75"/>
        <v>1007.4759501837482</v>
      </c>
      <c r="BD169" s="126">
        <f t="shared" si="75"/>
        <v>1011.5058539844832</v>
      </c>
      <c r="BE169" s="126">
        <f t="shared" si="75"/>
        <v>1015.5518774004212</v>
      </c>
      <c r="BF169" s="126">
        <f t="shared" si="75"/>
        <v>1019.6140849100228</v>
      </c>
      <c r="BG169" s="126">
        <f t="shared" si="75"/>
        <v>1023.6925412496629</v>
      </c>
    </row>
    <row r="170" spans="1:59" ht="13.75" customHeight="1">
      <c r="A170" s="171" t="s">
        <v>166</v>
      </c>
      <c r="B170" s="165" t="s">
        <v>245</v>
      </c>
      <c r="C170" s="165"/>
      <c r="D170" s="165" t="s">
        <v>168</v>
      </c>
      <c r="E170" s="167"/>
      <c r="F170" s="168" t="s">
        <v>279</v>
      </c>
      <c r="G170" s="168" t="s">
        <v>250</v>
      </c>
      <c r="H170" s="168" t="s">
        <v>280</v>
      </c>
      <c r="I170" s="168" t="s">
        <v>281</v>
      </c>
      <c r="S170" s="109">
        <v>31.4</v>
      </c>
      <c r="T170" s="109">
        <v>38.200000000000003</v>
      </c>
      <c r="U170" s="112">
        <v>34.4</v>
      </c>
      <c r="V170" s="112">
        <v>33.200000000000003</v>
      </c>
      <c r="W170" s="125">
        <v>34.36363636363636</v>
      </c>
      <c r="X170" s="125">
        <v>53.872179090909086</v>
      </c>
      <c r="Y170" s="125">
        <v>57.872727272727268</v>
      </c>
      <c r="Z170" s="125">
        <v>46.599999999999994</v>
      </c>
      <c r="AA170" s="125">
        <v>48.8</v>
      </c>
      <c r="AB170" s="125">
        <v>48.081818181818178</v>
      </c>
      <c r="AC170" s="125">
        <v>62.343401981381518</v>
      </c>
      <c r="AD170" s="125">
        <v>86.212121212121204</v>
      </c>
      <c r="AE170" s="125">
        <v>87.799242424242408</v>
      </c>
      <c r="AF170" s="125">
        <v>77.182625033889295</v>
      </c>
      <c r="AG170" s="125">
        <v>83.519193442495009</v>
      </c>
      <c r="AH170" s="125">
        <v>84.03845378508953</v>
      </c>
      <c r="AI170" s="125">
        <v>85.479391721563701</v>
      </c>
      <c r="AJ170" s="125">
        <v>87.537735474218962</v>
      </c>
      <c r="AK170" s="125">
        <v>89.645644144438151</v>
      </c>
      <c r="AL170" s="125">
        <v>91.804311255436218</v>
      </c>
      <c r="AM170" s="125">
        <v>94.014959070467128</v>
      </c>
      <c r="AN170" s="125">
        <v>96.278839284883958</v>
      </c>
      <c r="AO170" s="125">
        <v>98.597233734863948</v>
      </c>
      <c r="AP170" s="125">
        <v>100.97145512319948</v>
      </c>
      <c r="AQ170" s="125">
        <v>103.40284776256614</v>
      </c>
      <c r="AR170" s="125">
        <v>105.89278833668874</v>
      </c>
      <c r="AS170" s="125">
        <v>108.44268667983621</v>
      </c>
      <c r="AT170" s="125">
        <v>111.05398657508667</v>
      </c>
      <c r="AU170" s="125">
        <v>113.72816657181477</v>
      </c>
      <c r="AV170" s="125">
        <v>116.46674082286408</v>
      </c>
      <c r="AW170" s="125">
        <v>119.27125994187867</v>
      </c>
      <c r="AX170" s="125">
        <v>122.1433118812791</v>
      </c>
      <c r="AY170" s="125">
        <v>125.0845228313803</v>
      </c>
      <c r="AZ170" s="125">
        <v>128.09655814115996</v>
      </c>
      <c r="BA170" s="125">
        <v>131.1811232611991</v>
      </c>
      <c r="BB170" s="125">
        <v>134.33996470932877</v>
      </c>
      <c r="BC170" s="125">
        <f t="shared" si="75"/>
        <v>137.57487105952939</v>
      </c>
      <c r="BD170" s="125">
        <f t="shared" si="75"/>
        <v>140.88767395464285</v>
      </c>
      <c r="BE170" s="125">
        <f t="shared" si="75"/>
        <v>144.28024914347063</v>
      </c>
      <c r="BF170" s="125">
        <f t="shared" si="75"/>
        <v>147.75451754284538</v>
      </c>
      <c r="BG170" s="125">
        <f t="shared" si="75"/>
        <v>151.31244632527708</v>
      </c>
    </row>
    <row r="171" spans="1:59" ht="13.75" customHeight="1">
      <c r="A171" s="171" t="s">
        <v>166</v>
      </c>
      <c r="B171" s="165" t="s">
        <v>245</v>
      </c>
      <c r="C171" s="165"/>
      <c r="D171" s="165" t="s">
        <v>168</v>
      </c>
      <c r="E171" s="167"/>
      <c r="F171" s="168" t="s">
        <v>282</v>
      </c>
      <c r="G171" s="168" t="s">
        <v>247</v>
      </c>
      <c r="H171" s="168" t="s">
        <v>280</v>
      </c>
      <c r="I171" s="168" t="s">
        <v>283</v>
      </c>
      <c r="U171" s="112">
        <v>6.6449999999999996</v>
      </c>
      <c r="V171" s="112">
        <v>9.9760000000000009</v>
      </c>
      <c r="W171" s="125">
        <v>8.8181818181818166</v>
      </c>
      <c r="X171" s="125">
        <v>13.363636363636362</v>
      </c>
      <c r="Y171" s="125">
        <v>12.454545454545453</v>
      </c>
      <c r="Z171" s="125">
        <v>8.5709090909090904</v>
      </c>
      <c r="AA171" s="125">
        <v>12.981666666666664</v>
      </c>
      <c r="AB171" s="125">
        <v>11.529356060606061</v>
      </c>
      <c r="AC171" s="125">
        <v>15.063042929292926</v>
      </c>
      <c r="AD171" s="125">
        <v>20.881666666666664</v>
      </c>
      <c r="AE171" s="125">
        <v>13.921559343434343</v>
      </c>
      <c r="AF171" s="125">
        <v>12.721352267241814</v>
      </c>
      <c r="AG171" s="125">
        <v>13.27207379531187</v>
      </c>
      <c r="AH171" s="125">
        <v>12.629833400082489</v>
      </c>
      <c r="AI171" s="125">
        <v>12.846386718924681</v>
      </c>
      <c r="AJ171" s="125">
        <v>13.155727711116388</v>
      </c>
      <c r="AK171" s="125">
        <v>13.472517634400072</v>
      </c>
      <c r="AL171" s="125">
        <v>13.796935859036427</v>
      </c>
      <c r="AM171" s="125">
        <v>14.129166074522026</v>
      </c>
      <c r="AN171" s="125">
        <v>14.469396393596517</v>
      </c>
      <c r="AO171" s="125">
        <v>14.817819458754322</v>
      </c>
      <c r="AP171" s="125">
        <v>15.174632551321126</v>
      </c>
      <c r="AQ171" s="125">
        <v>15.540037703156941</v>
      </c>
      <c r="AR171" s="125">
        <v>15.914241811048962</v>
      </c>
      <c r="AS171" s="125">
        <v>16.297456753859024</v>
      </c>
      <c r="AT171" s="125">
        <v>16.689899512491952</v>
      </c>
      <c r="AU171" s="125">
        <v>17.091792292752761</v>
      </c>
      <c r="AV171" s="125">
        <v>17.503362651162249</v>
      </c>
      <c r="AW171" s="125">
        <v>17.924843623802236</v>
      </c>
      <c r="AX171" s="125">
        <v>18.356473858263396</v>
      </c>
      <c r="AY171" s="125">
        <v>18.79849774877038</v>
      </c>
      <c r="AZ171" s="125">
        <v>19.251165574560773</v>
      </c>
      <c r="BA171" s="125">
        <v>19.714733641596197</v>
      </c>
      <c r="BB171" s="125">
        <v>20.189464427685834</v>
      </c>
      <c r="BC171" s="125">
        <f t="shared" si="75"/>
        <v>20.675626731104511</v>
      </c>
      <c r="BD171" s="125">
        <f t="shared" si="75"/>
        <v>21.173495822789508</v>
      </c>
      <c r="BE171" s="125">
        <f t="shared" si="75"/>
        <v>21.683353602202281</v>
      </c>
      <c r="BF171" s="125">
        <f t="shared" si="75"/>
        <v>22.205488756943314</v>
      </c>
      <c r="BG171" s="125">
        <f t="shared" si="75"/>
        <v>22.740196926210512</v>
      </c>
    </row>
    <row r="172" spans="1:59" ht="13.75" customHeight="1">
      <c r="A172" s="171" t="s">
        <v>166</v>
      </c>
      <c r="B172" s="165" t="s">
        <v>245</v>
      </c>
      <c r="C172" s="165"/>
      <c r="D172" s="165" t="s">
        <v>168</v>
      </c>
      <c r="E172" s="167"/>
      <c r="F172" s="168" t="s">
        <v>284</v>
      </c>
      <c r="G172" s="168" t="s">
        <v>247</v>
      </c>
      <c r="H172" s="168"/>
      <c r="I172" s="168" t="s">
        <v>285</v>
      </c>
      <c r="W172" s="125">
        <v>1.8075524999999999</v>
      </c>
      <c r="X172" s="125">
        <v>2.8490025000000001</v>
      </c>
      <c r="Y172" s="125">
        <v>2.8644758333333331</v>
      </c>
      <c r="Z172" s="125">
        <v>2.1530208333333336</v>
      </c>
      <c r="AA172" s="125">
        <v>2.5517666666666665</v>
      </c>
      <c r="AB172" s="125">
        <v>2.0988908333333334</v>
      </c>
      <c r="AC172" s="125">
        <v>2.8948900000000002</v>
      </c>
      <c r="AD172" s="125">
        <v>3.6032348404560608</v>
      </c>
      <c r="AE172" s="125">
        <v>4.3007196642437018</v>
      </c>
      <c r="AF172" s="125">
        <v>4.8077924042073068</v>
      </c>
      <c r="AG172" s="125">
        <v>4.7742569999999951</v>
      </c>
      <c r="AH172" s="125">
        <v>4.3825329270092794</v>
      </c>
      <c r="AI172" s="125">
        <v>4.4662854407909274</v>
      </c>
      <c r="AJ172" s="125">
        <v>4.5583389668867467</v>
      </c>
      <c r="AK172" s="125">
        <v>4.6522897858849053</v>
      </c>
      <c r="AL172" s="125">
        <v>4.7481770024293084</v>
      </c>
      <c r="AM172" s="125">
        <v>4.8460405271401905</v>
      </c>
      <c r="AN172" s="125">
        <v>4.9459210932258761</v>
      </c>
      <c r="AO172" s="125">
        <v>5.0478602734369957</v>
      </c>
      <c r="AP172" s="125">
        <v>5.1519004973700522</v>
      </c>
      <c r="AQ172" s="125">
        <v>5.258085069127671</v>
      </c>
      <c r="AR172" s="125">
        <v>5.3664581853428359</v>
      </c>
      <c r="AS172" s="125">
        <v>5.4770649535746152</v>
      </c>
      <c r="AT172" s="125">
        <v>5.5899514110830371</v>
      </c>
      <c r="AU172" s="125">
        <v>5.7051645439909331</v>
      </c>
      <c r="AV172" s="125">
        <v>5.8227523068407159</v>
      </c>
      <c r="AW172" s="125">
        <v>5.9427636425542438</v>
      </c>
      <c r="AX172" s="125">
        <v>6.0652485028040681</v>
      </c>
      <c r="AY172" s="125">
        <v>6.1902578688045482</v>
      </c>
      <c r="AZ172" s="125">
        <v>6.3178437725314902</v>
      </c>
      <c r="BA172" s="125">
        <v>6.4480593183791353</v>
      </c>
      <c r="BB172" s="125">
        <v>6.580958705263515</v>
      </c>
      <c r="BC172" s="125">
        <f t="shared" si="75"/>
        <v>6.7165972491813761</v>
      </c>
      <c r="BD172" s="125">
        <f t="shared" si="75"/>
        <v>6.85503140623406</v>
      </c>
      <c r="BE172" s="125">
        <f t="shared" si="75"/>
        <v>6.9963187961259203</v>
      </c>
      <c r="BF172" s="125">
        <f t="shared" si="75"/>
        <v>7.1405182261470648</v>
      </c>
      <c r="BG172" s="125">
        <f t="shared" si="75"/>
        <v>7.2876897156503953</v>
      </c>
    </row>
    <row r="173" spans="1:59" ht="13.75" customHeight="1">
      <c r="A173" s="171" t="s">
        <v>166</v>
      </c>
      <c r="B173" s="165" t="s">
        <v>245</v>
      </c>
      <c r="C173" s="165"/>
      <c r="D173" s="165" t="s">
        <v>168</v>
      </c>
      <c r="E173" s="167"/>
      <c r="F173" s="168" t="s">
        <v>286</v>
      </c>
      <c r="G173" s="168" t="s">
        <v>247</v>
      </c>
      <c r="H173" s="168"/>
      <c r="I173" s="168" t="s">
        <v>287</v>
      </c>
      <c r="U173" s="112">
        <v>291</v>
      </c>
      <c r="V173" s="112">
        <v>305</v>
      </c>
      <c r="W173" s="126">
        <v>409.62687499999998</v>
      </c>
      <c r="X173" s="126">
        <v>444.61352333333326</v>
      </c>
      <c r="Y173" s="126">
        <v>433.9866591666667</v>
      </c>
      <c r="Z173" s="126">
        <v>425.00992583333328</v>
      </c>
      <c r="AA173" s="126">
        <v>430.87200000000001</v>
      </c>
      <c r="AB173" s="126">
        <v>457.83322678604645</v>
      </c>
      <c r="AC173" s="126">
        <v>459.79512560778295</v>
      </c>
      <c r="AD173" s="126">
        <v>492.84897756082313</v>
      </c>
      <c r="AE173" s="126">
        <v>568.43906756251056</v>
      </c>
      <c r="AF173" s="126">
        <v>537.44068512599324</v>
      </c>
      <c r="AG173" s="126">
        <v>559.18327078031336</v>
      </c>
      <c r="AH173" s="126">
        <v>595.88435839145939</v>
      </c>
      <c r="AI173" s="126">
        <v>611.06195154441048</v>
      </c>
      <c r="AJ173" s="126">
        <v>628.17168618765402</v>
      </c>
      <c r="AK173" s="126">
        <v>645.76049340090833</v>
      </c>
      <c r="AL173" s="126">
        <v>663.84178721613375</v>
      </c>
      <c r="AM173" s="126">
        <v>682.42935725818552</v>
      </c>
      <c r="AN173" s="126">
        <v>701.53737926141469</v>
      </c>
      <c r="AO173" s="126">
        <v>721.18042588073433</v>
      </c>
      <c r="AP173" s="126">
        <v>741.37347780539494</v>
      </c>
      <c r="AQ173" s="126">
        <v>762.13193518394598</v>
      </c>
      <c r="AR173" s="126">
        <v>783.47162936909649</v>
      </c>
      <c r="AS173" s="126">
        <v>805.40883499143126</v>
      </c>
      <c r="AT173" s="126">
        <v>827.9602823711914</v>
      </c>
      <c r="AU173" s="126">
        <v>851.14317027758477</v>
      </c>
      <c r="AV173" s="126">
        <v>874.97517904535721</v>
      </c>
      <c r="AW173" s="126">
        <v>899.47448405862724</v>
      </c>
      <c r="AX173" s="126">
        <v>924.65976961226886</v>
      </c>
      <c r="AY173" s="126">
        <v>950.55024316141237</v>
      </c>
      <c r="AZ173" s="126">
        <v>977.16564996993191</v>
      </c>
      <c r="BA173" s="126">
        <v>1004.52628816909</v>
      </c>
      <c r="BB173" s="126">
        <v>1032.6530242378244</v>
      </c>
      <c r="BC173" s="126">
        <f t="shared" si="75"/>
        <v>1061.5673089164834</v>
      </c>
      <c r="BD173" s="126">
        <f t="shared" si="75"/>
        <v>1091.2911935661448</v>
      </c>
      <c r="BE173" s="126">
        <f t="shared" si="75"/>
        <v>1121.8473469859966</v>
      </c>
      <c r="BF173" s="126">
        <f t="shared" si="75"/>
        <v>1153.2590727016043</v>
      </c>
      <c r="BG173" s="126">
        <f t="shared" si="75"/>
        <v>1185.550326737249</v>
      </c>
    </row>
    <row r="174" spans="1:59" ht="13.75" customHeight="1">
      <c r="A174" s="171" t="s">
        <v>166</v>
      </c>
      <c r="B174" s="165" t="s">
        <v>245</v>
      </c>
      <c r="C174" s="165"/>
      <c r="D174" s="165" t="s">
        <v>168</v>
      </c>
      <c r="E174" s="167"/>
      <c r="F174" s="168" t="s">
        <v>288</v>
      </c>
      <c r="G174" s="168" t="s">
        <v>247</v>
      </c>
      <c r="H174" s="168"/>
      <c r="I174" s="168"/>
      <c r="W174" s="125"/>
      <c r="X174" s="125">
        <v>159.69812185610925</v>
      </c>
      <c r="Y174" s="125">
        <v>158.83013626384013</v>
      </c>
      <c r="Z174" s="125">
        <v>174.45152803719049</v>
      </c>
      <c r="AA174" s="125">
        <v>163.19999999999999</v>
      </c>
      <c r="AB174" s="125">
        <v>169.51750000000001</v>
      </c>
      <c r="AC174" s="125">
        <v>174.57916666666668</v>
      </c>
      <c r="AD174" s="125">
        <v>193.37333333333333</v>
      </c>
      <c r="AE174" s="125">
        <v>211.28121665989445</v>
      </c>
      <c r="AF174" s="125">
        <v>223.17376713296159</v>
      </c>
      <c r="AG174" s="125">
        <v>232.23577252926628</v>
      </c>
      <c r="AH174" s="125">
        <v>235.74291159528045</v>
      </c>
      <c r="AI174" s="125">
        <v>241.8332282454202</v>
      </c>
      <c r="AJ174" s="125">
        <v>248.70129192759012</v>
      </c>
      <c r="AK174" s="125">
        <v>255.76440861833368</v>
      </c>
      <c r="AL174" s="125">
        <v>263.02811782309436</v>
      </c>
      <c r="AM174" s="125">
        <v>270.49811636927024</v>
      </c>
      <c r="AN174" s="125">
        <v>278.18026287415751</v>
      </c>
      <c r="AO174" s="125">
        <v>286.08058233978358</v>
      </c>
      <c r="AP174" s="125">
        <v>294.20527087823342</v>
      </c>
      <c r="AQ174" s="125">
        <v>302.56070057117523</v>
      </c>
      <c r="AR174" s="125">
        <v>311.15342446739658</v>
      </c>
      <c r="AS174" s="125">
        <v>319.99018172227062</v>
      </c>
      <c r="AT174" s="125">
        <v>329.07790288318307</v>
      </c>
      <c r="AU174" s="125">
        <v>338.42371532506547</v>
      </c>
      <c r="AV174" s="125">
        <v>348.03494884029732</v>
      </c>
      <c r="AW174" s="125">
        <v>357.91914138736178</v>
      </c>
      <c r="AX174" s="125">
        <v>368.08404500276282</v>
      </c>
      <c r="AY174" s="125">
        <v>378.53763188084127</v>
      </c>
      <c r="AZ174" s="125">
        <v>389.28810062625718</v>
      </c>
      <c r="BA174" s="125">
        <v>400.34388268404285</v>
      </c>
      <c r="BB174" s="125">
        <v>411.71364895226964</v>
      </c>
      <c r="BC174" s="125">
        <f>BB174*(1+((BB174-BA174)/BA174))</f>
        <v>423.40631658251408</v>
      </c>
      <c r="BD174" s="125">
        <f t="shared" si="75"/>
        <v>435.43105597345749</v>
      </c>
      <c r="BE174" s="125">
        <f t="shared" si="75"/>
        <v>447.79729796310369</v>
      </c>
      <c r="BF174" s="125">
        <f t="shared" si="75"/>
        <v>460.51474122525582</v>
      </c>
      <c r="BG174" s="125">
        <f t="shared" si="75"/>
        <v>473.59335987605306</v>
      </c>
    </row>
    <row r="175" spans="1:59" ht="13.75" customHeight="1">
      <c r="A175" s="171" t="s">
        <v>166</v>
      </c>
      <c r="B175" s="165" t="s">
        <v>245</v>
      </c>
      <c r="C175" s="165"/>
      <c r="D175" s="165" t="s">
        <v>168</v>
      </c>
      <c r="E175" s="167"/>
      <c r="F175" s="168" t="s">
        <v>289</v>
      </c>
      <c r="G175" s="168" t="s">
        <v>247</v>
      </c>
      <c r="H175" s="168"/>
      <c r="I175" s="168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</row>
    <row r="176" spans="1:59" ht="13.75" customHeight="1">
      <c r="A176" s="171" t="s">
        <v>166</v>
      </c>
      <c r="B176" s="165" t="s">
        <v>245</v>
      </c>
      <c r="C176" s="165"/>
      <c r="D176" s="165" t="s">
        <v>168</v>
      </c>
      <c r="E176" s="167"/>
      <c r="F176" s="168" t="s">
        <v>290</v>
      </c>
      <c r="G176" s="168" t="s">
        <v>291</v>
      </c>
      <c r="H176" s="168"/>
      <c r="I176" s="168" t="s">
        <v>292</v>
      </c>
      <c r="W176" s="125">
        <v>72.705726666666678</v>
      </c>
      <c r="X176" s="125">
        <v>82.937836666666669</v>
      </c>
      <c r="Y176" s="125">
        <v>87.611999999999995</v>
      </c>
      <c r="Z176" s="125">
        <v>89.4</v>
      </c>
      <c r="AA176" s="125">
        <v>92.840503333333331</v>
      </c>
      <c r="AB176" s="125">
        <v>102.36471916666667</v>
      </c>
      <c r="AC176" s="125">
        <v>108.48993333333334</v>
      </c>
      <c r="AD176" s="125">
        <v>105.75087749999999</v>
      </c>
      <c r="AE176" s="125">
        <v>114.55738166666666</v>
      </c>
      <c r="AF176" s="125">
        <v>129.47461384176671</v>
      </c>
      <c r="AG176" s="125">
        <v>137.68866721174942</v>
      </c>
      <c r="AH176" s="125">
        <v>142.03820035886028</v>
      </c>
      <c r="AI176" s="125">
        <v>147.67223706029438</v>
      </c>
      <c r="AJ176" s="125">
        <v>153.57912654270615</v>
      </c>
      <c r="AK176" s="125">
        <v>159.72229160441441</v>
      </c>
      <c r="AL176" s="125">
        <v>166.11118326859099</v>
      </c>
      <c r="AM176" s="125">
        <v>172.75563059933464</v>
      </c>
      <c r="AN176" s="125">
        <v>179.66585582330802</v>
      </c>
      <c r="AO176" s="125">
        <v>186.85249005624036</v>
      </c>
      <c r="AP176" s="125">
        <v>194.32658965848998</v>
      </c>
      <c r="AQ176" s="125">
        <v>202.0996532448296</v>
      </c>
      <c r="AR176" s="125">
        <v>210.1836393746228</v>
      </c>
      <c r="AS176" s="125">
        <v>218.59098494960773</v>
      </c>
      <c r="AT176" s="125">
        <v>227.33462434759204</v>
      </c>
      <c r="AU176" s="125">
        <v>236.42800932149572</v>
      </c>
      <c r="AV176" s="125">
        <v>245.88512969435556</v>
      </c>
      <c r="AW176" s="125">
        <v>255.72053488212978</v>
      </c>
      <c r="AX176" s="125">
        <v>265.94935627741501</v>
      </c>
      <c r="AY176" s="125">
        <v>276.58733052851164</v>
      </c>
      <c r="AZ176" s="125">
        <v>287.65082374965209</v>
      </c>
      <c r="BA176" s="125">
        <v>299.15685669963818</v>
      </c>
      <c r="BB176" s="125">
        <v>311.12313096762369</v>
      </c>
      <c r="BC176" s="125">
        <f t="shared" si="75"/>
        <v>323.56805620632866</v>
      </c>
      <c r="BD176" s="125">
        <f t="shared" si="75"/>
        <v>336.51077845458184</v>
      </c>
      <c r="BE176" s="125">
        <f t="shared" si="75"/>
        <v>349.97120959276515</v>
      </c>
      <c r="BF176" s="125">
        <f t="shared" si="75"/>
        <v>363.97005797647574</v>
      </c>
      <c r="BG176" s="125">
        <f t="shared" si="75"/>
        <v>378.5288602955348</v>
      </c>
    </row>
    <row r="177" spans="1:59" ht="13.75" customHeight="1">
      <c r="A177" s="171" t="s">
        <v>166</v>
      </c>
      <c r="B177" s="165" t="s">
        <v>245</v>
      </c>
      <c r="C177" s="165"/>
      <c r="D177" s="165" t="s">
        <v>168</v>
      </c>
      <c r="E177" s="167"/>
      <c r="F177" s="168" t="s">
        <v>293</v>
      </c>
      <c r="G177" s="168" t="s">
        <v>291</v>
      </c>
      <c r="H177" s="168"/>
      <c r="I177" s="168" t="s">
        <v>292</v>
      </c>
      <c r="W177" s="125">
        <v>160.11000000000001</v>
      </c>
      <c r="X177" s="125">
        <v>164.14869583333333</v>
      </c>
      <c r="Y177" s="125">
        <v>157.62048583333336</v>
      </c>
      <c r="Z177" s="125">
        <v>156.45000000000002</v>
      </c>
      <c r="AA177" s="125">
        <v>162.47088083333333</v>
      </c>
      <c r="AB177" s="125">
        <v>179.13825854166669</v>
      </c>
      <c r="AC177" s="125">
        <v>189.85738333333333</v>
      </c>
      <c r="AD177" s="125">
        <v>185.06403562499997</v>
      </c>
      <c r="AE177" s="125">
        <v>200.47541791666666</v>
      </c>
      <c r="AF177" s="125">
        <v>226.58057422309173</v>
      </c>
      <c r="AG177" s="125">
        <v>240.9551676205615</v>
      </c>
      <c r="AH177" s="125">
        <v>248.56685062800548</v>
      </c>
      <c r="AI177" s="125">
        <v>258.42641485551519</v>
      </c>
      <c r="AJ177" s="125">
        <v>268.76347144973579</v>
      </c>
      <c r="AK177" s="125">
        <v>279.51401030772524</v>
      </c>
      <c r="AL177" s="125">
        <v>290.69457072003422</v>
      </c>
      <c r="AM177" s="125">
        <v>302.32235354883562</v>
      </c>
      <c r="AN177" s="125">
        <v>314.41524769078904</v>
      </c>
      <c r="AO177" s="125">
        <v>326.99185759842061</v>
      </c>
      <c r="AP177" s="125">
        <v>340.07153190235749</v>
      </c>
      <c r="AQ177" s="125">
        <v>353.67439317845179</v>
      </c>
      <c r="AR177" s="125">
        <v>367.82136890558991</v>
      </c>
      <c r="AS177" s="125">
        <v>382.53422366181354</v>
      </c>
      <c r="AT177" s="125">
        <v>397.83559260828605</v>
      </c>
      <c r="AU177" s="125">
        <v>413.74901631261753</v>
      </c>
      <c r="AV177" s="125">
        <v>430.29897696512222</v>
      </c>
      <c r="AW177" s="125">
        <v>447.5109360437271</v>
      </c>
      <c r="AX177" s="125">
        <v>465.41137348547625</v>
      </c>
      <c r="AY177" s="125">
        <v>484.02782842489535</v>
      </c>
      <c r="AZ177" s="125">
        <v>503.38894156189116</v>
      </c>
      <c r="BA177" s="125">
        <v>523.52449922436676</v>
      </c>
      <c r="BB177" s="125">
        <v>544.46547919334148</v>
      </c>
      <c r="BC177" s="125">
        <f>BB177*(1+((BB177-BA177)/BA177))</f>
        <v>566.2440983610752</v>
      </c>
      <c r="BD177" s="125">
        <f t="shared" si="75"/>
        <v>588.89386229551826</v>
      </c>
      <c r="BE177" s="125">
        <f t="shared" si="75"/>
        <v>612.44961678733898</v>
      </c>
      <c r="BF177" s="125">
        <f t="shared" si="75"/>
        <v>636.94760145883254</v>
      </c>
      <c r="BG177" s="125">
        <f t="shared" si="75"/>
        <v>662.42550551718591</v>
      </c>
    </row>
    <row r="178" spans="1:59" ht="13.75" customHeight="1">
      <c r="A178" s="171" t="s">
        <v>166</v>
      </c>
      <c r="B178" s="165" t="s">
        <v>245</v>
      </c>
      <c r="C178" s="165"/>
      <c r="D178" s="165" t="s">
        <v>168</v>
      </c>
      <c r="E178" s="167"/>
      <c r="F178" s="168" t="s">
        <v>294</v>
      </c>
      <c r="G178" s="168" t="s">
        <v>4</v>
      </c>
      <c r="H178" s="168"/>
      <c r="I178" s="168" t="s">
        <v>295</v>
      </c>
      <c r="U178" s="112">
        <v>2400</v>
      </c>
      <c r="V178" s="112">
        <v>2500</v>
      </c>
      <c r="W178" s="127">
        <v>3008.19</v>
      </c>
      <c r="X178" s="127">
        <v>3092.69</v>
      </c>
      <c r="Y178" s="127">
        <v>2851.0533955111755</v>
      </c>
      <c r="Z178" s="127">
        <v>2008.6695034688171</v>
      </c>
      <c r="AA178" s="127">
        <v>2307.2487056120212</v>
      </c>
      <c r="AB178" s="127">
        <v>2386.0315252475725</v>
      </c>
      <c r="AC178" s="127">
        <v>2519.9916495784919</v>
      </c>
      <c r="AD178" s="127">
        <v>2493.1796528954137</v>
      </c>
      <c r="AE178" s="127">
        <v>2471.6005263157895</v>
      </c>
      <c r="AF178" s="127">
        <v>3216.9100147024342</v>
      </c>
      <c r="AG178" s="127">
        <v>3605.3333333333335</v>
      </c>
      <c r="AH178" s="127">
        <v>3460.2083333333335</v>
      </c>
      <c r="AI178" s="127">
        <v>3474.4587342298873</v>
      </c>
      <c r="AJ178" s="127">
        <v>3488.3565691668068</v>
      </c>
      <c r="AK178" s="127">
        <v>3502.3099954434742</v>
      </c>
      <c r="AL178" s="127">
        <v>3516.3192354252483</v>
      </c>
      <c r="AM178" s="127">
        <v>3530.3845123669494</v>
      </c>
      <c r="AN178" s="127">
        <v>3544.5060504164171</v>
      </c>
      <c r="AO178" s="127">
        <v>3558.6840746180828</v>
      </c>
      <c r="AP178" s="127">
        <v>3572.9188109165552</v>
      </c>
      <c r="AQ178" s="127">
        <v>3587.2104861602215</v>
      </c>
      <c r="AR178" s="127">
        <v>3601.5593281048623</v>
      </c>
      <c r="AS178" s="127">
        <v>3615.9655654172816</v>
      </c>
      <c r="AT178" s="127">
        <v>3630.4294276789506</v>
      </c>
      <c r="AU178" s="127">
        <v>3644.9511453896662</v>
      </c>
      <c r="AV178" s="127">
        <v>3659.5309499712248</v>
      </c>
      <c r="AW178" s="127">
        <v>3674.1690737711097</v>
      </c>
      <c r="AX178" s="127">
        <v>3688.8657500661943</v>
      </c>
      <c r="AY178" s="127">
        <v>3703.6212130664589</v>
      </c>
      <c r="AZ178" s="127">
        <v>3718.4356979187246</v>
      </c>
      <c r="BA178" s="127">
        <v>3733.3094407103995</v>
      </c>
      <c r="BB178" s="127">
        <v>3748.2426784732411</v>
      </c>
      <c r="BC178" s="127">
        <f>BB178*(1+((BB178-BA178)/BA178))</f>
        <v>3763.2356491871342</v>
      </c>
      <c r="BD178" s="127">
        <f t="shared" si="75"/>
        <v>3778.2885917838826</v>
      </c>
      <c r="BE178" s="127">
        <f t="shared" si="75"/>
        <v>3793.401746151018</v>
      </c>
      <c r="BF178" s="127">
        <f t="shared" si="75"/>
        <v>3808.5753531356222</v>
      </c>
      <c r="BG178" s="127">
        <f>BF178*(1+((BF178-BE178)/BE178))</f>
        <v>3823.8096545481649</v>
      </c>
    </row>
    <row r="179" spans="1:59" ht="13.75" customHeight="1">
      <c r="A179" s="171" t="s">
        <v>166</v>
      </c>
      <c r="B179" s="165" t="s">
        <v>245</v>
      </c>
      <c r="C179" s="165"/>
      <c r="D179" s="165" t="s">
        <v>168</v>
      </c>
      <c r="E179" s="167"/>
      <c r="F179" s="168" t="s">
        <v>296</v>
      </c>
      <c r="G179" s="168" t="s">
        <v>297</v>
      </c>
      <c r="H179" s="168"/>
      <c r="I179" s="168" t="s">
        <v>298</v>
      </c>
      <c r="U179" s="112">
        <v>74568</v>
      </c>
      <c r="V179" s="112">
        <v>79550</v>
      </c>
      <c r="W179" s="127">
        <v>115454.3322</v>
      </c>
      <c r="X179" s="127">
        <v>188468.52859999999</v>
      </c>
      <c r="Y179" s="127">
        <v>191163.13016902431</v>
      </c>
      <c r="Z179" s="127">
        <v>117101.7855445181</v>
      </c>
      <c r="AA179" s="127">
        <v>145186.83066199592</v>
      </c>
      <c r="AB179" s="127">
        <v>154253.5816147484</v>
      </c>
      <c r="AC179" s="127">
        <v>181836.55732445544</v>
      </c>
      <c r="AD179" s="127">
        <v>183726.33154162459</v>
      </c>
      <c r="AE179" s="127">
        <v>170492.05879749698</v>
      </c>
      <c r="AF179" s="127">
        <v>276752.38969881803</v>
      </c>
      <c r="AG179" s="127">
        <v>329716.5316666665</v>
      </c>
      <c r="AH179" s="127">
        <v>320034.6687499996</v>
      </c>
      <c r="AI179" s="127">
        <v>325522.0388099975</v>
      </c>
      <c r="AJ179" s="127">
        <v>333360.60950454226</v>
      </c>
      <c r="AK179" s="127">
        <v>341387.93298141164</v>
      </c>
      <c r="AL179" s="127">
        <v>349608.5544076041</v>
      </c>
      <c r="AM179" s="127">
        <v>358027.1283977392</v>
      </c>
      <c r="AN179" s="127">
        <v>366648.42164955678</v>
      </c>
      <c r="AO179" s="127">
        <v>375477.31564287812</v>
      </c>
      <c r="AP179" s="127">
        <v>384518.80940355867</v>
      </c>
      <c r="AQ179" s="127">
        <v>393778.02233399643</v>
      </c>
      <c r="AR179" s="127">
        <v>403260.19711179903</v>
      </c>
      <c r="AS179" s="127">
        <v>412970.7026582511</v>
      </c>
      <c r="AT179" s="127">
        <v>422915.03717826179</v>
      </c>
      <c r="AU179" s="127">
        <v>433098.83127351431</v>
      </c>
      <c r="AV179" s="127">
        <v>443527.85113058059</v>
      </c>
      <c r="AW179" s="127">
        <v>454208.00178580498</v>
      </c>
      <c r="AX179" s="127">
        <v>465145.33046880714</v>
      </c>
      <c r="AY179" s="127">
        <v>476346.03002649604</v>
      </c>
      <c r="AZ179" s="127">
        <v>487816.4424295341</v>
      </c>
      <c r="BA179" s="127">
        <v>499563.06236323732</v>
      </c>
      <c r="BB179" s="127">
        <v>511592.54090494406</v>
      </c>
      <c r="BC179" s="127">
        <f t="shared" si="75"/>
        <v>523911.68928993505</v>
      </c>
      <c r="BD179" s="127">
        <f t="shared" si="75"/>
        <v>536527.48276803666</v>
      </c>
      <c r="BE179" s="127">
        <f t="shared" si="75"/>
        <v>549447.06455309095</v>
      </c>
      <c r="BF179" s="127">
        <f t="shared" si="75"/>
        <v>562677.74986752926</v>
      </c>
      <c r="BG179" s="127">
        <f t="shared" si="75"/>
        <v>576227.03008433932</v>
      </c>
    </row>
    <row r="180" spans="1:59" ht="13.75" customHeight="1">
      <c r="A180" s="171" t="s">
        <v>166</v>
      </c>
      <c r="B180" s="165" t="s">
        <v>245</v>
      </c>
      <c r="C180" s="165"/>
      <c r="D180" s="165" t="s">
        <v>168</v>
      </c>
      <c r="E180" s="167"/>
      <c r="F180" s="168" t="s">
        <v>299</v>
      </c>
      <c r="G180" s="168" t="s">
        <v>247</v>
      </c>
      <c r="H180" s="168" t="s">
        <v>280</v>
      </c>
      <c r="I180" s="168" t="s">
        <v>248</v>
      </c>
      <c r="T180" s="109">
        <v>34.200000000000003</v>
      </c>
      <c r="U180" s="112">
        <v>30.4</v>
      </c>
      <c r="V180" s="112">
        <v>27.8</v>
      </c>
      <c r="W180" s="125">
        <v>28.036363636363635</v>
      </c>
      <c r="X180" s="125">
        <v>44.893482575757574</v>
      </c>
      <c r="Y180" s="125">
        <v>48.563636363636363</v>
      </c>
      <c r="Z180" s="125">
        <v>39.118181818181817</v>
      </c>
      <c r="AA180" s="125">
        <v>40.590909090909086</v>
      </c>
      <c r="AB180" s="125">
        <v>39.521148992424237</v>
      </c>
      <c r="AC180" s="125">
        <v>55.926452022727275</v>
      </c>
      <c r="AD180" s="125">
        <v>88.908964643939385</v>
      </c>
      <c r="AE180" s="125">
        <v>77.95915404040403</v>
      </c>
      <c r="AF180" s="125">
        <v>68.508130084394338</v>
      </c>
      <c r="AG180" s="125">
        <v>74.18586010916168</v>
      </c>
      <c r="AH180" s="125">
        <v>74.647092713885954</v>
      </c>
      <c r="AI180" s="125">
        <v>75.927004740992132</v>
      </c>
      <c r="AJ180" s="125">
        <v>77.755327015155231</v>
      </c>
      <c r="AK180" s="125">
        <v>79.62767528968017</v>
      </c>
      <c r="AL180" s="125">
        <v>81.545109710655666</v>
      </c>
      <c r="AM180" s="125">
        <v>83.508715952488259</v>
      </c>
      <c r="AN180" s="125">
        <v>85.519605832624165</v>
      </c>
      <c r="AO180" s="125">
        <v>87.578917941073755</v>
      </c>
      <c r="AP180" s="125">
        <v>89.687818285094806</v>
      </c>
      <c r="AQ180" s="125">
        <v>91.847500949399901</v>
      </c>
      <c r="AR180" s="125">
        <v>94.05918877226145</v>
      </c>
      <c r="AS180" s="125">
        <v>96.324134037897508</v>
      </c>
      <c r="AT180" s="125">
        <v>98.643619185530071</v>
      </c>
      <c r="AU180" s="125">
        <v>101.01895753551764</v>
      </c>
      <c r="AV180" s="125">
        <v>103.45149403297292</v>
      </c>
      <c r="AW180" s="125">
        <v>105.94260600928692</v>
      </c>
      <c r="AX180" s="125">
        <v>108.49370396199055</v>
      </c>
      <c r="AY180" s="125">
        <v>111.10623235339528</v>
      </c>
      <c r="AZ180" s="125">
        <v>113.78167042846505</v>
      </c>
      <c r="BA180" s="125">
        <v>116.52153305238249</v>
      </c>
      <c r="BB180" s="125">
        <v>119.32737156828387</v>
      </c>
      <c r="BC180" s="125">
        <f t="shared" si="75"/>
        <v>122.20077467564815</v>
      </c>
      <c r="BD180" s="125">
        <f t="shared" si="75"/>
        <v>125.14336932983777</v>
      </c>
      <c r="BE180" s="125">
        <f t="shared" si="75"/>
        <v>128.15682166330026</v>
      </c>
      <c r="BF180" s="125">
        <f t="shared" si="75"/>
        <v>131.24283792895255</v>
      </c>
      <c r="BG180" s="125">
        <f t="shared" si="75"/>
        <v>134.40316546628173</v>
      </c>
    </row>
    <row r="181" spans="1:59" ht="13.75" customHeight="1">
      <c r="A181" s="171" t="s">
        <v>166</v>
      </c>
      <c r="B181" s="165" t="s">
        <v>245</v>
      </c>
      <c r="C181" s="165"/>
      <c r="D181" s="165" t="s">
        <v>168</v>
      </c>
      <c r="E181" s="167"/>
      <c r="F181" s="168" t="s">
        <v>300</v>
      </c>
      <c r="G181" s="168" t="s">
        <v>4</v>
      </c>
      <c r="H181" s="168"/>
      <c r="I181" s="168" t="s">
        <v>295</v>
      </c>
      <c r="U181" s="112">
        <v>1677.2727272727273</v>
      </c>
      <c r="V181" s="112">
        <v>1115</v>
      </c>
      <c r="W181" s="127">
        <v>1280</v>
      </c>
      <c r="X181" s="127">
        <v>1110</v>
      </c>
      <c r="Y181" s="127">
        <v>1475</v>
      </c>
      <c r="Z181" s="127">
        <v>1650.65</v>
      </c>
      <c r="AA181" s="127">
        <v>996.86500000000001</v>
      </c>
      <c r="AB181" s="127">
        <v>734.59833333333336</v>
      </c>
      <c r="AC181" s="127">
        <v>1010.4037141479876</v>
      </c>
      <c r="AD181" s="127">
        <v>1636.3133333333333</v>
      </c>
      <c r="AE181" s="127">
        <v>1634.6375</v>
      </c>
      <c r="AF181" s="127">
        <v>1058.2141666666666</v>
      </c>
      <c r="AG181" s="127">
        <v>1100</v>
      </c>
      <c r="AH181" s="127">
        <v>1104.5302015012226</v>
      </c>
      <c r="AI181" s="127">
        <v>1109.0790600257558</v>
      </c>
      <c r="AJ181" s="127">
        <v>1113.5153762658588</v>
      </c>
      <c r="AK181" s="127">
        <v>1117.9694377709222</v>
      </c>
      <c r="AL181" s="127">
        <v>1122.4413155220059</v>
      </c>
      <c r="AM181" s="127">
        <v>1126.9310807840939</v>
      </c>
      <c r="AN181" s="127">
        <v>1131.4388051072303</v>
      </c>
      <c r="AO181" s="127">
        <v>1135.9645603276592</v>
      </c>
      <c r="AP181" s="127">
        <v>1140.5084185689698</v>
      </c>
      <c r="AQ181" s="127">
        <v>1145.0704522432457</v>
      </c>
      <c r="AR181" s="127">
        <v>1149.6507340522187</v>
      </c>
      <c r="AS181" s="127">
        <v>1154.2493369884276</v>
      </c>
      <c r="AT181" s="127">
        <v>1158.8663343363812</v>
      </c>
      <c r="AU181" s="127">
        <v>1163.5017996737267</v>
      </c>
      <c r="AV181" s="127">
        <v>1168.1558068724216</v>
      </c>
      <c r="AW181" s="127">
        <v>1172.8284300999114</v>
      </c>
      <c r="AX181" s="127">
        <v>1177.5197438203111</v>
      </c>
      <c r="AY181" s="127">
        <v>1182.2298227955923</v>
      </c>
      <c r="AZ181" s="127">
        <v>1186.9587420867747</v>
      </c>
      <c r="BA181" s="127">
        <v>1191.7065770551219</v>
      </c>
      <c r="BB181" s="127">
        <v>1196.4734033633424</v>
      </c>
      <c r="BC181" s="127">
        <f t="shared" si="75"/>
        <v>1201.2592969767959</v>
      </c>
      <c r="BD181" s="127">
        <f t="shared" si="75"/>
        <v>1206.064334164703</v>
      </c>
      <c r="BE181" s="127">
        <f t="shared" si="75"/>
        <v>1210.8885915013618</v>
      </c>
      <c r="BF181" s="127">
        <f t="shared" si="75"/>
        <v>1215.7321458673673</v>
      </c>
      <c r="BG181" s="127">
        <f t="shared" si="75"/>
        <v>1220.5950744508368</v>
      </c>
    </row>
    <row r="182" spans="1:59" ht="13.75" customHeight="1">
      <c r="A182" s="171" t="s">
        <v>166</v>
      </c>
      <c r="B182" s="165" t="s">
        <v>245</v>
      </c>
      <c r="C182" s="165"/>
      <c r="D182" s="165" t="s">
        <v>168</v>
      </c>
      <c r="E182" s="167"/>
      <c r="F182" s="168" t="s">
        <v>301</v>
      </c>
      <c r="G182" s="168" t="s">
        <v>297</v>
      </c>
      <c r="H182" s="168"/>
      <c r="I182" s="168" t="s">
        <v>298</v>
      </c>
      <c r="W182" s="127">
        <v>49126.400000000001</v>
      </c>
      <c r="X182" s="127">
        <v>67643.399999999994</v>
      </c>
      <c r="Y182" s="127">
        <v>98898.75</v>
      </c>
      <c r="Z182" s="127">
        <v>96229.898435384661</v>
      </c>
      <c r="AA182" s="127">
        <v>62729.115242684253</v>
      </c>
      <c r="AB182" s="127">
        <v>47489.005670583334</v>
      </c>
      <c r="AC182" s="127">
        <v>73365.006158063814</v>
      </c>
      <c r="AD182" s="127">
        <v>120513.14708491668</v>
      </c>
      <c r="AE182" s="127">
        <v>116018.61214635726</v>
      </c>
      <c r="AF182" s="127">
        <v>89854.151458333334</v>
      </c>
      <c r="AG182" s="127">
        <v>100600.49999999996</v>
      </c>
      <c r="AH182" s="127">
        <v>102157.99833684794</v>
      </c>
      <c r="AI182" s="127">
        <v>103909.61713381285</v>
      </c>
      <c r="AJ182" s="127">
        <v>106411.76071439507</v>
      </c>
      <c r="AK182" s="127">
        <v>108974.15591239771</v>
      </c>
      <c r="AL182" s="127">
        <v>111598.25358676825</v>
      </c>
      <c r="AM182" s="127">
        <v>114285.53953313762</v>
      </c>
      <c r="AN182" s="127">
        <v>117037.5353250956</v>
      </c>
      <c r="AO182" s="127">
        <v>119855.79917572391</v>
      </c>
      <c r="AP182" s="127">
        <v>122741.92681987533</v>
      </c>
      <c r="AQ182" s="127">
        <v>125697.55241769794</v>
      </c>
      <c r="AR182" s="127">
        <v>128724.34947991611</v>
      </c>
      <c r="AS182" s="127">
        <v>131824.03181539249</v>
      </c>
      <c r="AT182" s="127">
        <v>134998.35450150713</v>
      </c>
      <c r="AU182" s="127">
        <v>138249.11487790343</v>
      </c>
      <c r="AV182" s="127">
        <v>141578.15356416334</v>
      </c>
      <c r="AW182" s="127">
        <v>144987.35550198844</v>
      </c>
      <c r="AX182" s="127">
        <v>148478.65102247629</v>
      </c>
      <c r="AY182" s="127">
        <v>152054.01693909755</v>
      </c>
      <c r="AZ182" s="127">
        <v>155715.47766699101</v>
      </c>
      <c r="BA182" s="127">
        <v>159465.10636921218</v>
      </c>
      <c r="BB182" s="127">
        <v>163305.02613058282</v>
      </c>
      <c r="BC182" s="127">
        <f t="shared" si="75"/>
        <v>167237.41115980726</v>
      </c>
      <c r="BD182" s="127">
        <f t="shared" si="75"/>
        <v>171264.48802053544</v>
      </c>
      <c r="BE182" s="127">
        <f t="shared" si="75"/>
        <v>175388.53689206994</v>
      </c>
      <c r="BF182" s="127">
        <f t="shared" si="75"/>
        <v>179611.89286043099</v>
      </c>
      <c r="BG182" s="127">
        <f t="shared" si="75"/>
        <v>183936.9472405102</v>
      </c>
    </row>
    <row r="183" spans="1:59" ht="13.75" customHeight="1">
      <c r="A183" s="171" t="s">
        <v>166</v>
      </c>
      <c r="B183" s="165" t="s">
        <v>245</v>
      </c>
      <c r="C183" s="165"/>
      <c r="D183" s="165" t="s">
        <v>168</v>
      </c>
      <c r="E183" s="167"/>
      <c r="F183" s="168" t="s">
        <v>302</v>
      </c>
      <c r="G183" s="168" t="s">
        <v>4</v>
      </c>
      <c r="H183" s="168"/>
      <c r="I183" s="168" t="s">
        <v>295</v>
      </c>
      <c r="U183" s="112">
        <v>1087.5</v>
      </c>
      <c r="V183" s="112">
        <v>995.83333333333337</v>
      </c>
      <c r="W183" s="127">
        <v>739.52080460783225</v>
      </c>
      <c r="X183" s="127">
        <v>564.93138455031135</v>
      </c>
      <c r="Y183" s="127">
        <v>640.11994086753509</v>
      </c>
      <c r="Z183" s="127">
        <v>651.21444855267828</v>
      </c>
      <c r="AA183" s="127">
        <v>560.24543430363997</v>
      </c>
      <c r="AB183" s="127">
        <v>524.06742032293937</v>
      </c>
      <c r="AC183" s="127">
        <v>666.09517934025689</v>
      </c>
      <c r="AD183" s="127">
        <v>1073.1305688456789</v>
      </c>
      <c r="AE183" s="127">
        <v>1178.2859323886794</v>
      </c>
      <c r="AF183" s="127">
        <v>861.83470451480332</v>
      </c>
      <c r="AG183" s="127">
        <v>881.04588514360125</v>
      </c>
      <c r="AH183" s="127">
        <v>876.60302190773393</v>
      </c>
      <c r="AI183" s="127">
        <v>880.21319311302727</v>
      </c>
      <c r="AJ183" s="127">
        <v>883.73404588547942</v>
      </c>
      <c r="AK183" s="127">
        <v>887.26898206902138</v>
      </c>
      <c r="AL183" s="127">
        <v>890.8180579972975</v>
      </c>
      <c r="AM183" s="127">
        <v>894.38133022928673</v>
      </c>
      <c r="AN183" s="127">
        <v>897.95885555020391</v>
      </c>
      <c r="AO183" s="127">
        <v>901.55069097240471</v>
      </c>
      <c r="AP183" s="127">
        <v>905.15689373629436</v>
      </c>
      <c r="AQ183" s="127">
        <v>908.77752131123952</v>
      </c>
      <c r="AR183" s="127">
        <v>912.41263139648447</v>
      </c>
      <c r="AS183" s="127">
        <v>916.06228192207038</v>
      </c>
      <c r="AT183" s="127">
        <v>919.72653104975871</v>
      </c>
      <c r="AU183" s="127">
        <v>923.40543717395769</v>
      </c>
      <c r="AV183" s="127">
        <v>927.09905892265351</v>
      </c>
      <c r="AW183" s="127">
        <v>930.80745515834417</v>
      </c>
      <c r="AX183" s="127">
        <v>934.53068497897755</v>
      </c>
      <c r="AY183" s="127">
        <v>938.26880771889341</v>
      </c>
      <c r="AZ183" s="127">
        <v>942.02188294976895</v>
      </c>
      <c r="BA183" s="127">
        <v>945.78997048156805</v>
      </c>
      <c r="BB183" s="127">
        <v>949.57313036349433</v>
      </c>
      <c r="BC183" s="127">
        <f t="shared" si="75"/>
        <v>953.37142288494829</v>
      </c>
      <c r="BD183" s="127">
        <f t="shared" si="75"/>
        <v>957.18490857648806</v>
      </c>
      <c r="BE183" s="127">
        <f t="shared" si="75"/>
        <v>961.01364821079403</v>
      </c>
      <c r="BF183" s="127">
        <f t="shared" si="75"/>
        <v>964.85770280363727</v>
      </c>
      <c r="BG183" s="127">
        <f t="shared" si="75"/>
        <v>968.71713361485183</v>
      </c>
    </row>
    <row r="184" spans="1:59" ht="13.75" customHeight="1">
      <c r="A184" s="171" t="s">
        <v>166</v>
      </c>
      <c r="B184" s="165" t="s">
        <v>245</v>
      </c>
      <c r="C184" s="165"/>
      <c r="D184" s="165" t="s">
        <v>168</v>
      </c>
      <c r="E184" s="167"/>
      <c r="F184" s="168" t="s">
        <v>303</v>
      </c>
      <c r="G184" s="168" t="s">
        <v>297</v>
      </c>
      <c r="H184" s="168"/>
      <c r="I184" s="168" t="s">
        <v>298</v>
      </c>
      <c r="W184" s="127">
        <v>28382.808480848602</v>
      </c>
      <c r="X184" s="127">
        <v>34426.918574495976</v>
      </c>
      <c r="Y184" s="127">
        <v>42920.042035168226</v>
      </c>
      <c r="Z184" s="127">
        <v>37964.620145929941</v>
      </c>
      <c r="AA184" s="127">
        <v>35254.222399844235</v>
      </c>
      <c r="AB184" s="127">
        <v>33879.614025396615</v>
      </c>
      <c r="AC184" s="127">
        <v>48227.750908078793</v>
      </c>
      <c r="AD184" s="127">
        <v>79035.333625003288</v>
      </c>
      <c r="AE184" s="127">
        <v>83708.104862421547</v>
      </c>
      <c r="AF184" s="127">
        <v>73094.675187878893</v>
      </c>
      <c r="AG184" s="127">
        <v>80574.702980644579</v>
      </c>
      <c r="AH184" s="127">
        <v>81077.013496246203</v>
      </c>
      <c r="AI184" s="127">
        <v>82467.174062759354</v>
      </c>
      <c r="AJ184" s="127">
        <v>84452.983614190613</v>
      </c>
      <c r="AK184" s="127">
        <v>86486.611459620326</v>
      </c>
      <c r="AL184" s="127">
        <v>88569.209063567992</v>
      </c>
      <c r="AM184" s="127">
        <v>90701.955617818719</v>
      </c>
      <c r="AN184" s="127">
        <v>92886.0587090958</v>
      </c>
      <c r="AO184" s="127">
        <v>95122.755002810838</v>
      </c>
      <c r="AP184" s="127">
        <v>97413.310943278528</v>
      </c>
      <c r="AQ184" s="127">
        <v>99759.023470792687</v>
      </c>
      <c r="AR184" s="127">
        <v>102161.22075596936</v>
      </c>
      <c r="AS184" s="127">
        <v>104621.26295177311</v>
      </c>
      <c r="AT184" s="127">
        <v>107140.54296365181</v>
      </c>
      <c r="AU184" s="127">
        <v>109720.48723821655</v>
      </c>
      <c r="AV184" s="127">
        <v>112362.5565709128</v>
      </c>
      <c r="AW184" s="127">
        <v>115068.2469331404</v>
      </c>
      <c r="AX184" s="127">
        <v>117839.09031929041</v>
      </c>
      <c r="AY184" s="127">
        <v>120676.65561417892</v>
      </c>
      <c r="AZ184" s="127">
        <v>123582.54948136836</v>
      </c>
      <c r="BA184" s="127">
        <v>126558.41727287971</v>
      </c>
      <c r="BB184" s="127">
        <v>129605.94396081066</v>
      </c>
      <c r="BC184" s="127">
        <f t="shared" si="75"/>
        <v>132726.855091387</v>
      </c>
      <c r="BD184" s="127">
        <f t="shared" si="75"/>
        <v>135922.9177619876</v>
      </c>
      <c r="BE184" s="127">
        <f t="shared" si="75"/>
        <v>139195.94162169629</v>
      </c>
      <c r="BF184" s="127">
        <f t="shared" si="75"/>
        <v>142547.77989594673</v>
      </c>
      <c r="BG184" s="127">
        <f t="shared" si="75"/>
        <v>145980.33043584114</v>
      </c>
    </row>
    <row r="185" spans="1:59" ht="13.75" customHeight="1">
      <c r="A185" s="171" t="s">
        <v>166</v>
      </c>
      <c r="B185" s="165" t="s">
        <v>245</v>
      </c>
      <c r="C185" s="165"/>
      <c r="D185" s="165" t="s">
        <v>168</v>
      </c>
      <c r="E185" s="167"/>
      <c r="F185" s="168" t="s">
        <v>304</v>
      </c>
      <c r="G185" s="168" t="s">
        <v>4</v>
      </c>
      <c r="H185" s="168"/>
      <c r="I185" s="168" t="s">
        <v>295</v>
      </c>
      <c r="V185" s="112">
        <v>4589</v>
      </c>
      <c r="W185" s="127">
        <v>4991</v>
      </c>
      <c r="X185" s="127">
        <v>4908</v>
      </c>
      <c r="Y185" s="127">
        <v>4806</v>
      </c>
      <c r="Z185" s="127">
        <v>4679</v>
      </c>
      <c r="AA185" s="127">
        <v>4863</v>
      </c>
      <c r="AB185" s="127">
        <v>4577.8868055555549</v>
      </c>
      <c r="AC185" s="127">
        <v>4332.1555555555542</v>
      </c>
      <c r="AD185" s="127">
        <v>4154.7399629094825</v>
      </c>
      <c r="AE185" s="127">
        <v>4269.864526285387</v>
      </c>
      <c r="AF185" s="127">
        <v>4336.4153579789618</v>
      </c>
      <c r="AG185" s="127">
        <v>4120</v>
      </c>
      <c r="AH185" s="127">
        <v>4136.9676638045794</v>
      </c>
      <c r="AI185" s="127">
        <v>4154.0052066419221</v>
      </c>
      <c r="AJ185" s="127">
        <v>4170.6212274684895</v>
      </c>
      <c r="AK185" s="127">
        <v>4187.3037123783633</v>
      </c>
      <c r="AL185" s="127">
        <v>4204.0529272278773</v>
      </c>
      <c r="AM185" s="127">
        <v>4220.8691389367887</v>
      </c>
      <c r="AN185" s="127">
        <v>4237.7526154925363</v>
      </c>
      <c r="AO185" s="127">
        <v>4254.7036259545066</v>
      </c>
      <c r="AP185" s="127">
        <v>4271.7224404583249</v>
      </c>
      <c r="AQ185" s="127">
        <v>4288.8093302201578</v>
      </c>
      <c r="AR185" s="127">
        <v>4305.9645675410384</v>
      </c>
      <c r="AS185" s="127">
        <v>4323.1884258112023</v>
      </c>
      <c r="AT185" s="127">
        <v>4340.4811795144469</v>
      </c>
      <c r="AU185" s="127">
        <v>4357.8431042325046</v>
      </c>
      <c r="AV185" s="127">
        <v>4375.2744766494343</v>
      </c>
      <c r="AW185" s="127">
        <v>4392.7755745560316</v>
      </c>
      <c r="AX185" s="127">
        <v>4410.3466768542557</v>
      </c>
      <c r="AY185" s="127">
        <v>4427.9880635616728</v>
      </c>
      <c r="AZ185" s="127">
        <v>4445.7000158159199</v>
      </c>
      <c r="BA185" s="127">
        <v>4463.4828158791834</v>
      </c>
      <c r="BB185" s="127">
        <v>4481.3367471427</v>
      </c>
      <c r="BC185" s="127">
        <f t="shared" si="75"/>
        <v>4499.2620941312707</v>
      </c>
      <c r="BD185" s="127">
        <f t="shared" si="75"/>
        <v>4517.2591425077962</v>
      </c>
      <c r="BE185" s="127">
        <f t="shared" si="75"/>
        <v>4535.3281790778274</v>
      </c>
      <c r="BF185" s="127">
        <f t="shared" si="75"/>
        <v>4553.4694917941388</v>
      </c>
      <c r="BG185" s="127">
        <f t="shared" si="75"/>
        <v>4571.6833697613156</v>
      </c>
    </row>
    <row r="186" spans="1:59" ht="13.75" customHeight="1">
      <c r="A186" s="171" t="s">
        <v>166</v>
      </c>
      <c r="B186" s="165" t="s">
        <v>245</v>
      </c>
      <c r="C186" s="165"/>
      <c r="D186" s="165" t="s">
        <v>168</v>
      </c>
      <c r="E186" s="167"/>
      <c r="F186" s="168" t="s">
        <v>305</v>
      </c>
      <c r="G186" s="168" t="s">
        <v>297</v>
      </c>
      <c r="H186" s="168"/>
      <c r="I186" s="168" t="s">
        <v>298</v>
      </c>
      <c r="V186" s="112"/>
      <c r="W186" s="127">
        <v>191554.58000000002</v>
      </c>
      <c r="X186" s="127">
        <v>299093.51999999996</v>
      </c>
      <c r="Y186" s="127">
        <v>322242.3</v>
      </c>
      <c r="Z186" s="127">
        <v>272777.20581538475</v>
      </c>
      <c r="AA186" s="127">
        <v>306011.03201052651</v>
      </c>
      <c r="AB186" s="127">
        <v>296298.73582881945</v>
      </c>
      <c r="AC186" s="127">
        <v>312883.82082590269</v>
      </c>
      <c r="AD186" s="127">
        <v>306229.48506420822</v>
      </c>
      <c r="AE186" s="127">
        <v>292727.20492481248</v>
      </c>
      <c r="AF186" s="127">
        <v>367292.60251634225</v>
      </c>
      <c r="AG186" s="127">
        <v>376794.5999999998</v>
      </c>
      <c r="AH186" s="127">
        <v>382628.13922528503</v>
      </c>
      <c r="AI186" s="127">
        <v>389188.74781028088</v>
      </c>
      <c r="AJ186" s="127">
        <v>398560.41285755247</v>
      </c>
      <c r="AK186" s="127">
        <v>408157.74759916234</v>
      </c>
      <c r="AL186" s="127">
        <v>417986.18616135023</v>
      </c>
      <c r="AM186" s="127">
        <v>428051.29352411552</v>
      </c>
      <c r="AN186" s="127">
        <v>438358.76867217629</v>
      </c>
      <c r="AO186" s="127">
        <v>448914.44782180234</v>
      </c>
      <c r="AP186" s="127">
        <v>459724.30772535142</v>
      </c>
      <c r="AQ186" s="127">
        <v>470794.46905537788</v>
      </c>
      <c r="AR186" s="127">
        <v>482131.19987023133</v>
      </c>
      <c r="AS186" s="127">
        <v>493740.91916310648</v>
      </c>
      <c r="AT186" s="127">
        <v>505630.20049655408</v>
      </c>
      <c r="AU186" s="127">
        <v>517805.77572451113</v>
      </c>
      <c r="AV186" s="127">
        <v>530274.53880395729</v>
      </c>
      <c r="AW186" s="127">
        <v>543043.54969835666</v>
      </c>
      <c r="AX186" s="127">
        <v>556120.03837509302</v>
      </c>
      <c r="AY186" s="127">
        <v>569511.40889916534</v>
      </c>
      <c r="AZ186" s="127">
        <v>583225.24362545728</v>
      </c>
      <c r="BA186" s="127">
        <v>597269.30749195826</v>
      </c>
      <c r="BB186" s="127">
        <v>611651.55241636466</v>
      </c>
      <c r="BC186" s="127">
        <f t="shared" si="75"/>
        <v>626380.12179855083</v>
      </c>
      <c r="BD186" s="127">
        <f t="shared" si="75"/>
        <v>641463.35513146</v>
      </c>
      <c r="BE186" s="127">
        <f t="shared" si="75"/>
        <v>656909.79272302566</v>
      </c>
      <c r="BF186" s="127">
        <f t="shared" si="75"/>
        <v>672728.18053179618</v>
      </c>
      <c r="BG186" s="127">
        <f t="shared" si="75"/>
        <v>688927.47511900193</v>
      </c>
    </row>
    <row r="187" spans="1:59" ht="13.75" customHeight="1" outlineLevel="1">
      <c r="A187" s="171" t="s">
        <v>166</v>
      </c>
      <c r="B187" s="165" t="s">
        <v>245</v>
      </c>
      <c r="C187" s="165"/>
      <c r="D187" s="165" t="s">
        <v>168</v>
      </c>
      <c r="E187" s="167"/>
      <c r="F187" s="168" t="s">
        <v>306</v>
      </c>
      <c r="G187" s="168" t="s">
        <v>247</v>
      </c>
      <c r="H187" s="168"/>
      <c r="I187" s="168"/>
      <c r="W187" s="125">
        <v>7.3541283333333327</v>
      </c>
      <c r="X187" s="125">
        <v>8.9003099999999993</v>
      </c>
      <c r="Y187" s="125">
        <v>9.4220333333333333</v>
      </c>
      <c r="Z187" s="125">
        <v>7.9033519174999984</v>
      </c>
      <c r="AA187" s="125">
        <v>8.6852742024999987</v>
      </c>
      <c r="AB187" s="125">
        <v>11.228012878787878</v>
      </c>
      <c r="AC187" s="125">
        <v>13.020615151515152</v>
      </c>
      <c r="AD187" s="125">
        <v>14.348793181818181</v>
      </c>
      <c r="AE187" s="125">
        <v>13.737011113636363</v>
      </c>
      <c r="AF187" s="125">
        <v>10.438509863825693</v>
      </c>
      <c r="AG187" s="125">
        <v>12.446070925125449</v>
      </c>
      <c r="AH187" s="125">
        <v>13.025147961788774</v>
      </c>
      <c r="AI187" s="125">
        <v>13.248479412821021</v>
      </c>
      <c r="AJ187" s="125">
        <v>13.567502797081751</v>
      </c>
      <c r="AK187" s="125">
        <v>13.894208264435481</v>
      </c>
      <c r="AL187" s="125">
        <v>14.228780799443088</v>
      </c>
      <c r="AM187" s="125">
        <v>14.571409841093677</v>
      </c>
      <c r="AN187" s="125">
        <v>14.922289390067213</v>
      </c>
      <c r="AO187" s="125">
        <v>15.281618118580033</v>
      </c>
      <c r="AP187" s="125">
        <v>15.649599482875441</v>
      </c>
      <c r="AQ187" s="125">
        <v>16.026441838423082</v>
      </c>
      <c r="AR187" s="125">
        <v>16.412358557892308</v>
      </c>
      <c r="AS187" s="125">
        <v>16.807568151966358</v>
      </c>
      <c r="AT187" s="125">
        <v>17.212294393065708</v>
      </c>
      <c r="AU187" s="125">
        <v>17.626766442050734</v>
      </c>
      <c r="AV187" s="125">
        <v>18.051218977975317</v>
      </c>
      <c r="AW187" s="125">
        <v>18.485892330964962</v>
      </c>
      <c r="AX187" s="125">
        <v>18.931032618294598</v>
      </c>
      <c r="AY187" s="125">
        <v>19.386891883743132</v>
      </c>
      <c r="AZ187" s="125">
        <v>19.853728240303667</v>
      </c>
      <c r="BA187" s="125">
        <v>20.33180601633018</v>
      </c>
      <c r="BB187" s="125">
        <v>20.82139590520341</v>
      </c>
      <c r="BC187" s="125">
        <f t="shared" si="75"/>
        <v>21.322775118600706</v>
      </c>
      <c r="BD187" s="125">
        <f t="shared" si="75"/>
        <v>21.836227543456609</v>
      </c>
      <c r="BE187" s="125">
        <f t="shared" si="75"/>
        <v>22.362043902703043</v>
      </c>
      <c r="BF187" s="125">
        <f t="shared" si="75"/>
        <v>22.900521919880131</v>
      </c>
      <c r="BG187" s="125">
        <f t="shared" si="75"/>
        <v>23.451966487710841</v>
      </c>
    </row>
    <row r="188" spans="1:59" ht="13.75" customHeight="1" outlineLevel="1">
      <c r="A188" s="171" t="s">
        <v>166</v>
      </c>
      <c r="B188" s="165" t="s">
        <v>245</v>
      </c>
      <c r="C188" s="165"/>
      <c r="D188" s="165" t="s">
        <v>168</v>
      </c>
      <c r="E188" s="167"/>
      <c r="F188" s="168" t="s">
        <v>307</v>
      </c>
      <c r="G188" s="168" t="s">
        <v>247</v>
      </c>
      <c r="H188" s="168"/>
      <c r="I188" s="168"/>
      <c r="W188" s="125">
        <v>52.876262626262623</v>
      </c>
      <c r="X188" s="125">
        <v>72.011363636363626</v>
      </c>
      <c r="Y188" s="125">
        <v>68.712121212121204</v>
      </c>
      <c r="Z188" s="125">
        <v>59.318181818181813</v>
      </c>
      <c r="AA188" s="125">
        <v>70.454545454545453</v>
      </c>
      <c r="AB188" s="125">
        <v>98.333333333333329</v>
      </c>
      <c r="AC188" s="125">
        <v>79.25</v>
      </c>
      <c r="AD188" s="125">
        <v>67.272727272727266</v>
      </c>
      <c r="AE188" s="125">
        <v>83.443181818181813</v>
      </c>
      <c r="AF188" s="125">
        <v>91.81283333333333</v>
      </c>
      <c r="AG188" s="125">
        <v>94.748709999999946</v>
      </c>
      <c r="AH188" s="125">
        <v>107.57453386042179</v>
      </c>
      <c r="AI188" s="125">
        <v>111.20968347157968</v>
      </c>
      <c r="AJ188" s="125">
        <v>115.47364511976095</v>
      </c>
      <c r="AK188" s="125">
        <v>119.90109405043059</v>
      </c>
      <c r="AL188" s="125">
        <v>124.49829863411834</v>
      </c>
      <c r="AM188" s="125">
        <v>129.27176758096022</v>
      </c>
      <c r="AN188" s="125">
        <v>134.22825915571306</v>
      </c>
      <c r="AO188" s="125">
        <v>139.37479074608814</v>
      </c>
      <c r="AP188" s="125">
        <v>144.71864879794998</v>
      </c>
      <c r="AQ188" s="125">
        <v>150.26739913144743</v>
      </c>
      <c r="AR188" s="125">
        <v>156.02889765268171</v>
      </c>
      <c r="AS188" s="125">
        <v>162.01130147607768</v>
      </c>
      <c r="AT188" s="125">
        <v>168.22308047320493</v>
      </c>
      <c r="AU188" s="125">
        <v>174.67302926439959</v>
      </c>
      <c r="AV188" s="125">
        <v>181.37027967016468</v>
      </c>
      <c r="AW188" s="125">
        <v>188.32431363997748</v>
      </c>
      <c r="AX188" s="125">
        <v>195.5449766768086</v>
      </c>
      <c r="AY188" s="125">
        <v>203.04249177635921</v>
      </c>
      <c r="AZ188" s="125">
        <v>210.82747390075136</v>
      </c>
      <c r="BA188" s="125">
        <v>218.91094500716338</v>
      </c>
      <c r="BB188" s="125">
        <v>227.30434965268785</v>
      </c>
      <c r="BC188" s="125">
        <f t="shared" si="75"/>
        <v>236.01957119750534</v>
      </c>
      <c r="BD188" s="125">
        <f t="shared" si="75"/>
        <v>245.06894862931449</v>
      </c>
      <c r="BE188" s="125">
        <f t="shared" si="75"/>
        <v>254.46529403283819</v>
      </c>
      <c r="BF188" s="125">
        <f t="shared" si="75"/>
        <v>264.22191072913944</v>
      </c>
      <c r="BG188" s="125">
        <f t="shared" si="75"/>
        <v>274.35261211042825</v>
      </c>
    </row>
    <row r="189" spans="1:59" ht="13.75" customHeight="1" outlineLevel="1">
      <c r="A189" s="171" t="s">
        <v>166</v>
      </c>
      <c r="B189" s="165" t="s">
        <v>245</v>
      </c>
      <c r="C189" s="165"/>
      <c r="D189" s="165" t="s">
        <v>168</v>
      </c>
      <c r="E189" s="167"/>
      <c r="F189" s="168" t="s">
        <v>308</v>
      </c>
      <c r="G189" s="168" t="s">
        <v>4</v>
      </c>
      <c r="H189" s="168"/>
      <c r="I189" s="168"/>
      <c r="W189" s="127">
        <v>1492.0833333333333</v>
      </c>
      <c r="X189" s="127">
        <v>1342.5</v>
      </c>
      <c r="Y189" s="127">
        <v>1165</v>
      </c>
      <c r="Z189" s="127">
        <v>1061.6666666666667</v>
      </c>
      <c r="AA189" s="127">
        <v>1300</v>
      </c>
      <c r="AB189" s="127">
        <v>1584.5833333333333</v>
      </c>
      <c r="AC189" s="127">
        <v>1267.9166666666665</v>
      </c>
      <c r="AD189" s="127">
        <v>1314.5833333333333</v>
      </c>
      <c r="AE189" s="127">
        <v>1508.3333333333333</v>
      </c>
      <c r="AF189" s="127">
        <v>1277.0833333333333</v>
      </c>
      <c r="AG189" s="127">
        <v>1250</v>
      </c>
      <c r="AH189" s="127">
        <v>1312.5</v>
      </c>
      <c r="AI189" s="127">
        <v>1339.526770319794</v>
      </c>
      <c r="AJ189" s="127">
        <v>1366.3173057261899</v>
      </c>
      <c r="AK189" s="127">
        <v>1393.6436518407138</v>
      </c>
      <c r="AL189" s="127">
        <v>1421.5165248775281</v>
      </c>
      <c r="AM189" s="127">
        <v>1449.9468553750787</v>
      </c>
      <c r="AN189" s="127">
        <v>1478.9457924825804</v>
      </c>
      <c r="AO189" s="127">
        <v>1508.524708332232</v>
      </c>
      <c r="AP189" s="127">
        <v>1538.6952024988766</v>
      </c>
      <c r="AQ189" s="127">
        <v>1569.4691065488541</v>
      </c>
      <c r="AR189" s="127">
        <v>1600.8584886798312</v>
      </c>
      <c r="AS189" s="127">
        <v>1632.8756584534278</v>
      </c>
      <c r="AT189" s="127">
        <v>1665.5331716224964</v>
      </c>
      <c r="AU189" s="127">
        <v>1698.8438350549463</v>
      </c>
      <c r="AV189" s="127">
        <v>1732.8207117560453</v>
      </c>
      <c r="AW189" s="127">
        <v>1767.4771259911663</v>
      </c>
      <c r="AX189" s="127">
        <v>1802.8266685109897</v>
      </c>
      <c r="AY189" s="127">
        <v>1838.8832018812095</v>
      </c>
      <c r="AZ189" s="127">
        <v>1875.6608659188337</v>
      </c>
      <c r="BA189" s="127">
        <v>1913.1740832372104</v>
      </c>
      <c r="BB189" s="127">
        <v>1951.4375649019546</v>
      </c>
      <c r="BC189" s="127">
        <f t="shared" si="75"/>
        <v>1990.4663161999938</v>
      </c>
      <c r="BD189" s="127">
        <f t="shared" si="75"/>
        <v>2030.2756425239936</v>
      </c>
      <c r="BE189" s="127">
        <f t="shared" si="75"/>
        <v>2070.8811553744736</v>
      </c>
      <c r="BF189" s="127">
        <f t="shared" si="75"/>
        <v>2112.2987784819629</v>
      </c>
      <c r="BG189" s="127">
        <f t="shared" si="75"/>
        <v>2154.544754051602</v>
      </c>
    </row>
    <row r="190" spans="1:59" ht="13.75" customHeight="1" outlineLevel="1">
      <c r="A190" s="171" t="s">
        <v>166</v>
      </c>
      <c r="B190" s="165" t="s">
        <v>245</v>
      </c>
      <c r="C190" s="165"/>
      <c r="D190" s="165" t="s">
        <v>168</v>
      </c>
      <c r="E190" s="167"/>
      <c r="F190" s="168" t="s">
        <v>309</v>
      </c>
      <c r="G190" s="168" t="s">
        <v>247</v>
      </c>
      <c r="H190" s="168"/>
      <c r="I190" s="168"/>
      <c r="W190" s="125">
        <v>28.143939393939391</v>
      </c>
      <c r="X190" s="125">
        <v>60.275252525252519</v>
      </c>
      <c r="Y190" s="125">
        <v>61.36363636363636</v>
      </c>
      <c r="Z190" s="125">
        <v>46.13636363636364</v>
      </c>
      <c r="AA190" s="125">
        <v>39.318181818181813</v>
      </c>
      <c r="AB190" s="125">
        <v>53.939393939393938</v>
      </c>
      <c r="AC190" s="125">
        <v>50.830303030303028</v>
      </c>
      <c r="AD190" s="125">
        <v>61.666666666666671</v>
      </c>
      <c r="AE190" s="125">
        <v>70.291666666666657</v>
      </c>
      <c r="AF190" s="125">
        <v>59.582575757575754</v>
      </c>
      <c r="AG190" s="125">
        <v>61.099999999999994</v>
      </c>
      <c r="AH190" s="125">
        <v>67.089223805802334</v>
      </c>
      <c r="AI190" s="125">
        <v>69.359078115490419</v>
      </c>
      <c r="AJ190" s="125">
        <v>72.161184871356227</v>
      </c>
      <c r="AK190" s="125">
        <v>75.07649674015903</v>
      </c>
      <c r="AL190" s="125">
        <v>78.109587208461463</v>
      </c>
      <c r="AM190" s="125">
        <v>81.265214531683299</v>
      </c>
      <c r="AN190" s="125">
        <v>84.548329198763298</v>
      </c>
      <c r="AO190" s="125">
        <v>87.964081698393343</v>
      </c>
      <c r="AP190" s="125">
        <v>91.517830599008448</v>
      </c>
      <c r="AQ190" s="125">
        <v>95.215150955208387</v>
      </c>
      <c r="AR190" s="125">
        <v>99.061843053798796</v>
      </c>
      <c r="AS190" s="125">
        <v>103.06394151317228</v>
      </c>
      <c r="AT190" s="125">
        <v>107.22772475030445</v>
      </c>
      <c r="AU190" s="125">
        <v>111.55972483021675</v>
      </c>
      <c r="AV190" s="125">
        <v>116.06673771335751</v>
      </c>
      <c r="AW190" s="125">
        <v>120.75583391697717</v>
      </c>
      <c r="AX190" s="125">
        <v>125.63436960722305</v>
      </c>
      <c r="AY190" s="125">
        <v>130.70999813935487</v>
      </c>
      <c r="AZ190" s="125">
        <v>135.9906820641848</v>
      </c>
      <c r="BA190" s="125">
        <v>141.48470561957788</v>
      </c>
      <c r="BB190" s="125">
        <v>147.20068772660883</v>
      </c>
      <c r="BC190" s="125">
        <f t="shared" si="75"/>
        <v>153.14759551076384</v>
      </c>
      <c r="BD190" s="125">
        <f t="shared" si="75"/>
        <v>159.33475836939868</v>
      </c>
      <c r="BE190" s="125">
        <f t="shared" si="75"/>
        <v>165.7718826075224</v>
      </c>
      <c r="BF190" s="125">
        <f t="shared" si="75"/>
        <v>172.46906666486629</v>
      </c>
      <c r="BG190" s="125">
        <f t="shared" si="75"/>
        <v>179.43681695812688</v>
      </c>
    </row>
    <row r="191" spans="1:59" ht="13.75" customHeight="1" outlineLevel="1">
      <c r="A191" s="171" t="s">
        <v>166</v>
      </c>
      <c r="B191" s="165" t="s">
        <v>245</v>
      </c>
      <c r="C191" s="165"/>
      <c r="D191" s="165" t="s">
        <v>168</v>
      </c>
      <c r="E191" s="167"/>
      <c r="F191" s="168" t="s">
        <v>310</v>
      </c>
      <c r="G191" s="168" t="s">
        <v>247</v>
      </c>
      <c r="H191" s="168"/>
      <c r="I191" s="168"/>
      <c r="W191" s="125">
        <v>72.48</v>
      </c>
      <c r="X191" s="125">
        <v>79.290000000000006</v>
      </c>
      <c r="Y191" s="125">
        <v>79.849999999999994</v>
      </c>
      <c r="Z191" s="125">
        <v>81.2589775</v>
      </c>
      <c r="AA191" s="125">
        <v>74.271000000000001</v>
      </c>
      <c r="AB191" s="125">
        <v>80.172308333333348</v>
      </c>
      <c r="AC191" s="125">
        <v>73.506501666666651</v>
      </c>
      <c r="AD191" s="125">
        <v>83.566870833333326</v>
      </c>
      <c r="AE191" s="125">
        <v>89.763695000000013</v>
      </c>
      <c r="AF191" s="125">
        <v>103.08108686680769</v>
      </c>
      <c r="AG191" s="125">
        <v>107.19133120550359</v>
      </c>
      <c r="AH191" s="125">
        <v>109.77</v>
      </c>
      <c r="AI191" s="125">
        <v>112.54</v>
      </c>
      <c r="AJ191" s="125">
        <v>115.88</v>
      </c>
      <c r="AK191" s="125">
        <v>119.32</v>
      </c>
      <c r="AL191" s="125">
        <v>122.87</v>
      </c>
      <c r="AM191" s="125">
        <v>126.54</v>
      </c>
      <c r="AN191" s="125">
        <v>130.33620000000002</v>
      </c>
      <c r="AO191" s="125">
        <v>134.24628600000003</v>
      </c>
      <c r="AP191" s="125">
        <v>138.27367458000003</v>
      </c>
      <c r="AQ191" s="125">
        <v>142.42188481740004</v>
      </c>
      <c r="AR191" s="125">
        <v>146.69454136192203</v>
      </c>
      <c r="AS191" s="125">
        <v>151.09537760277971</v>
      </c>
      <c r="AT191" s="125">
        <v>155.62823893086309</v>
      </c>
      <c r="AU191" s="125">
        <v>160.29708609878898</v>
      </c>
      <c r="AV191" s="125">
        <v>165.10599868175265</v>
      </c>
      <c r="AW191" s="125">
        <v>170.05917864220524</v>
      </c>
      <c r="AX191" s="125">
        <v>175.1609540014714</v>
      </c>
      <c r="AY191" s="125">
        <v>180.41578262151555</v>
      </c>
      <c r="AZ191" s="125">
        <v>185.82825610016101</v>
      </c>
      <c r="BA191" s="125">
        <v>191.40310378316585</v>
      </c>
      <c r="BB191" s="125">
        <v>197.14519689666082</v>
      </c>
      <c r="BC191" s="125">
        <f t="shared" si="75"/>
        <v>203.05955280356065</v>
      </c>
      <c r="BD191" s="125">
        <f t="shared" si="75"/>
        <v>209.15133938766746</v>
      </c>
      <c r="BE191" s="125">
        <f t="shared" si="75"/>
        <v>215.42587956929748</v>
      </c>
      <c r="BF191" s="125">
        <f t="shared" si="75"/>
        <v>221.8886559563764</v>
      </c>
      <c r="BG191" s="125">
        <f t="shared" si="75"/>
        <v>228.54531563506768</v>
      </c>
    </row>
    <row r="192" spans="1:59" ht="13.75" customHeight="1" outlineLevel="1">
      <c r="A192" s="171" t="s">
        <v>166</v>
      </c>
      <c r="B192" s="165" t="s">
        <v>245</v>
      </c>
      <c r="C192" s="165"/>
      <c r="D192" s="165" t="s">
        <v>168</v>
      </c>
      <c r="E192" s="167"/>
      <c r="F192" s="168" t="s">
        <v>311</v>
      </c>
      <c r="G192" s="168" t="s">
        <v>247</v>
      </c>
      <c r="H192" s="168"/>
      <c r="I192" s="168"/>
      <c r="W192" s="125">
        <v>71.28</v>
      </c>
      <c r="X192" s="125">
        <v>90.86</v>
      </c>
      <c r="Y192" s="125">
        <v>91.29</v>
      </c>
      <c r="Z192" s="125">
        <v>93.726542499999994</v>
      </c>
      <c r="AA192" s="125">
        <v>87.795000000000002</v>
      </c>
      <c r="AB192" s="125">
        <v>97.130935000000008</v>
      </c>
      <c r="AC192" s="125">
        <v>95.016915833333343</v>
      </c>
      <c r="AD192" s="125">
        <v>104.60346416666667</v>
      </c>
      <c r="AE192" s="125">
        <v>111.02915416666666</v>
      </c>
      <c r="AF192" s="125">
        <v>126.35298245024354</v>
      </c>
      <c r="AG192" s="125">
        <v>135.48421539107804</v>
      </c>
      <c r="AH192" s="125">
        <v>138.56</v>
      </c>
      <c r="AI192" s="125">
        <v>141.88999999999999</v>
      </c>
      <c r="AJ192" s="125">
        <v>145.97</v>
      </c>
      <c r="AK192" s="125">
        <v>150.18</v>
      </c>
      <c r="AL192" s="125">
        <v>154.52000000000001</v>
      </c>
      <c r="AM192" s="125">
        <v>158.99</v>
      </c>
      <c r="AN192" s="125">
        <v>163.75970000000001</v>
      </c>
      <c r="AO192" s="125">
        <v>168.67249100000001</v>
      </c>
      <c r="AP192" s="125">
        <v>173.73266573000001</v>
      </c>
      <c r="AQ192" s="125">
        <v>178.94464570190001</v>
      </c>
      <c r="AR192" s="125">
        <v>184.31298507295702</v>
      </c>
      <c r="AS192" s="125">
        <v>189.84237462514574</v>
      </c>
      <c r="AT192" s="125">
        <v>195.53764586390011</v>
      </c>
      <c r="AU192" s="125">
        <v>201.40377523981712</v>
      </c>
      <c r="AV192" s="125">
        <v>207.44588849701165</v>
      </c>
      <c r="AW192" s="125">
        <v>213.66926515192202</v>
      </c>
      <c r="AX192" s="125">
        <v>220.07934310647968</v>
      </c>
      <c r="AY192" s="125">
        <v>226.68172339967407</v>
      </c>
      <c r="AZ192" s="125">
        <v>233.4821751016643</v>
      </c>
      <c r="BA192" s="125">
        <v>240.48664035471424</v>
      </c>
      <c r="BB192" s="125">
        <v>247.70123956535568</v>
      </c>
      <c r="BC192" s="125">
        <f t="shared" si="75"/>
        <v>255.13227675231636</v>
      </c>
      <c r="BD192" s="125">
        <f t="shared" si="75"/>
        <v>262.78624505488585</v>
      </c>
      <c r="BE192" s="125">
        <f t="shared" si="75"/>
        <v>270.66983240653246</v>
      </c>
      <c r="BF192" s="125">
        <f t="shared" si="75"/>
        <v>278.78992737872846</v>
      </c>
      <c r="BG192" s="125">
        <f t="shared" si="75"/>
        <v>287.15362520009035</v>
      </c>
    </row>
    <row r="193" spans="1:59" ht="13.75" customHeight="1" outlineLevel="1">
      <c r="A193" s="171" t="s">
        <v>166</v>
      </c>
      <c r="B193" s="165" t="s">
        <v>245</v>
      </c>
      <c r="C193" s="165"/>
      <c r="D193" s="165" t="s">
        <v>168</v>
      </c>
      <c r="E193" s="167"/>
      <c r="F193" s="168" t="s">
        <v>312</v>
      </c>
      <c r="G193" s="168" t="s">
        <v>247</v>
      </c>
      <c r="H193" s="168"/>
      <c r="I193" s="168"/>
      <c r="W193" s="125">
        <v>202.57417249999995</v>
      </c>
      <c r="X193" s="125">
        <v>206.62042583333331</v>
      </c>
      <c r="Y193" s="125">
        <v>213.99965</v>
      </c>
      <c r="Z193" s="125">
        <v>187.41547166666669</v>
      </c>
      <c r="AA193" s="125">
        <v>208.136</v>
      </c>
      <c r="AB193" s="125">
        <v>219.69926250000003</v>
      </c>
      <c r="AC193" s="125">
        <v>218.74244916666669</v>
      </c>
      <c r="AD193" s="125">
        <v>232.925085</v>
      </c>
      <c r="AE193" s="125">
        <v>264.34417083333335</v>
      </c>
      <c r="AF193" s="125">
        <v>270.42789845246108</v>
      </c>
      <c r="AG193" s="125">
        <v>281.36827179625067</v>
      </c>
      <c r="AH193" s="125">
        <v>299.83542225263102</v>
      </c>
      <c r="AI193" s="125">
        <v>307.4724410595656</v>
      </c>
      <c r="AJ193" s="125">
        <v>316.08166940923343</v>
      </c>
      <c r="AK193" s="125">
        <v>324.93195615269195</v>
      </c>
      <c r="AL193" s="125">
        <v>334.03005092496733</v>
      </c>
      <c r="AM193" s="125">
        <v>343.38289235086643</v>
      </c>
      <c r="AN193" s="125">
        <v>352.99761333669068</v>
      </c>
      <c r="AO193" s="125">
        <v>362.88154651011803</v>
      </c>
      <c r="AP193" s="125">
        <v>373.04222981240133</v>
      </c>
      <c r="AQ193" s="125">
        <v>383.4874122471486</v>
      </c>
      <c r="AR193" s="125">
        <v>394.22505979006877</v>
      </c>
      <c r="AS193" s="125">
        <v>405.26336146419072</v>
      </c>
      <c r="AT193" s="125">
        <v>416.61073558518808</v>
      </c>
      <c r="AU193" s="125">
        <v>428.27583618157337</v>
      </c>
      <c r="AV193" s="125">
        <v>440.26755959465743</v>
      </c>
      <c r="AW193" s="125">
        <v>452.59505126330782</v>
      </c>
      <c r="AX193" s="125">
        <v>465.26771269868044</v>
      </c>
      <c r="AY193" s="125">
        <v>478.29520865424348</v>
      </c>
      <c r="AZ193" s="125">
        <v>491.68747449656229</v>
      </c>
      <c r="BA193" s="125">
        <v>505.45472378246603</v>
      </c>
      <c r="BB193" s="125">
        <v>519.60745604837507</v>
      </c>
      <c r="BC193" s="125">
        <f t="shared" si="75"/>
        <v>534.15646481772956</v>
      </c>
      <c r="BD193" s="125">
        <f t="shared" si="75"/>
        <v>549.11284583262602</v>
      </c>
      <c r="BE193" s="125">
        <f t="shared" si="75"/>
        <v>564.48800551593956</v>
      </c>
      <c r="BF193" s="125">
        <f t="shared" si="75"/>
        <v>580.29366967038584</v>
      </c>
      <c r="BG193" s="125">
        <f t="shared" si="75"/>
        <v>596.5418924211566</v>
      </c>
    </row>
    <row r="194" spans="1:59" ht="13.75" customHeight="1">
      <c r="A194" s="171" t="s">
        <v>166</v>
      </c>
      <c r="B194" s="165" t="s">
        <v>313</v>
      </c>
      <c r="C194" s="165"/>
      <c r="D194" s="165" t="s">
        <v>98</v>
      </c>
      <c r="E194" s="167"/>
      <c r="F194" s="168" t="s">
        <v>314</v>
      </c>
      <c r="G194" s="168" t="s">
        <v>315</v>
      </c>
      <c r="H194" s="168"/>
      <c r="I194" s="168" t="s">
        <v>316</v>
      </c>
      <c r="J194" s="112"/>
      <c r="K194" s="112"/>
      <c r="L194" s="112"/>
      <c r="M194" s="112"/>
      <c r="N194" s="112"/>
      <c r="O194" s="112"/>
      <c r="P194" s="112"/>
      <c r="Q194" s="112"/>
      <c r="R194" s="112"/>
      <c r="S194" s="112">
        <v>79.73</v>
      </c>
      <c r="T194" s="112">
        <v>111.05</v>
      </c>
      <c r="U194" s="112">
        <v>111.94</v>
      </c>
      <c r="V194" s="112">
        <v>108.79</v>
      </c>
      <c r="W194" s="112">
        <v>98.88</v>
      </c>
      <c r="X194" s="112">
        <v>52.31</v>
      </c>
      <c r="Y194" s="112">
        <v>44.11</v>
      </c>
      <c r="Z194" s="112">
        <v>54.35</v>
      </c>
      <c r="AA194" s="112">
        <v>71.150000000000006</v>
      </c>
      <c r="AB194" s="112">
        <v>64.164900000000003</v>
      </c>
      <c r="AC194" s="112">
        <v>42.299401083819561</v>
      </c>
      <c r="AD194" s="112">
        <v>70.745833333333337</v>
      </c>
      <c r="AE194" s="112">
        <v>99.085135658914794</v>
      </c>
      <c r="AF194" s="112">
        <v>85.074139473397565</v>
      </c>
      <c r="AG194" s="112">
        <v>86.552628471066342</v>
      </c>
      <c r="AH194" s="112">
        <v>80.905914874384735</v>
      </c>
      <c r="AI194" s="112">
        <v>79.853201833016726</v>
      </c>
      <c r="AJ194" s="112">
        <v>80.172614640348797</v>
      </c>
      <c r="AK194" s="112">
        <v>80.493305098910199</v>
      </c>
      <c r="AL194" s="112">
        <v>80.815278319305833</v>
      </c>
      <c r="AM194" s="112">
        <v>81.138539432583059</v>
      </c>
      <c r="AN194" s="112">
        <v>81.463093590313392</v>
      </c>
      <c r="AO194" s="112">
        <v>81.788945964674639</v>
      </c>
      <c r="AP194" s="112">
        <v>82.116101748533339</v>
      </c>
      <c r="AQ194" s="112">
        <v>82.444566155527468</v>
      </c>
      <c r="AR194" s="112">
        <v>82.774344420149575</v>
      </c>
      <c r="AS194" s="112">
        <v>83.105441797830167</v>
      </c>
      <c r="AT194" s="112">
        <v>83.437863565021487</v>
      </c>
      <c r="AU194" s="112">
        <v>83.771615019281569</v>
      </c>
      <c r="AV194" s="112">
        <v>84.106701479358691</v>
      </c>
      <c r="AW194" s="112">
        <v>84.443128285276131</v>
      </c>
      <c r="AX194" s="112">
        <v>84.780900798417235</v>
      </c>
      <c r="AY194" s="112">
        <v>85.120024401610905</v>
      </c>
      <c r="AZ194" s="112">
        <v>85.46050449921735</v>
      </c>
      <c r="BA194" s="112">
        <v>85.802346517214218</v>
      </c>
      <c r="BB194" s="112">
        <v>86.145555903283082</v>
      </c>
      <c r="BC194" s="112">
        <f t="shared" si="75"/>
        <v>86.490138126896213</v>
      </c>
      <c r="BD194" s="112">
        <f t="shared" si="75"/>
        <v>86.836098679403804</v>
      </c>
      <c r="BE194" s="112">
        <f t="shared" si="75"/>
        <v>87.183443074121413</v>
      </c>
      <c r="BF194" s="112">
        <f t="shared" si="75"/>
        <v>87.532176846417897</v>
      </c>
      <c r="BG194" s="112">
        <f t="shared" si="75"/>
        <v>87.882305553803576</v>
      </c>
    </row>
    <row r="195" spans="1:59" ht="13.75" customHeight="1">
      <c r="A195" s="171" t="s">
        <v>166</v>
      </c>
      <c r="B195" s="165" t="s">
        <v>313</v>
      </c>
      <c r="C195" s="165"/>
      <c r="D195" s="165" t="s">
        <v>168</v>
      </c>
      <c r="E195" s="167"/>
      <c r="F195" s="168" t="s">
        <v>317</v>
      </c>
      <c r="G195" s="168" t="s">
        <v>318</v>
      </c>
      <c r="H195" s="168"/>
      <c r="I195" s="168" t="s">
        <v>319</v>
      </c>
      <c r="U195" s="112">
        <v>446</v>
      </c>
      <c r="V195" s="112">
        <v>470</v>
      </c>
      <c r="W195" s="112">
        <v>493</v>
      </c>
      <c r="X195" s="128">
        <v>766</v>
      </c>
      <c r="Y195" s="128">
        <v>857</v>
      </c>
      <c r="Z195" s="128">
        <v>919</v>
      </c>
      <c r="AA195" s="128">
        <v>919</v>
      </c>
      <c r="AB195" s="128">
        <v>919</v>
      </c>
      <c r="AC195" s="128">
        <v>919</v>
      </c>
      <c r="AD195" s="128">
        <v>919</v>
      </c>
      <c r="AE195" s="128">
        <v>919</v>
      </c>
      <c r="AF195" s="128">
        <v>919</v>
      </c>
      <c r="AG195" s="128">
        <v>919</v>
      </c>
      <c r="AH195" s="128">
        <v>919</v>
      </c>
      <c r="AI195" s="128">
        <v>919</v>
      </c>
      <c r="AJ195" s="128">
        <v>919</v>
      </c>
      <c r="AK195" s="128">
        <v>919</v>
      </c>
      <c r="AL195" s="128">
        <v>919</v>
      </c>
      <c r="AM195" s="128">
        <v>919</v>
      </c>
      <c r="AN195" s="109">
        <v>919</v>
      </c>
      <c r="AO195" s="109">
        <v>919</v>
      </c>
      <c r="AP195" s="109">
        <v>919</v>
      </c>
      <c r="AQ195" s="109">
        <v>919</v>
      </c>
      <c r="AR195" s="109">
        <v>919</v>
      </c>
      <c r="AS195" s="109">
        <v>919</v>
      </c>
      <c r="AT195" s="109">
        <v>919</v>
      </c>
      <c r="AU195" s="109">
        <v>919</v>
      </c>
      <c r="AV195" s="109">
        <v>919</v>
      </c>
      <c r="AW195" s="109">
        <v>919</v>
      </c>
      <c r="AX195" s="109">
        <v>919</v>
      </c>
      <c r="AY195" s="109">
        <v>919</v>
      </c>
      <c r="AZ195" s="109">
        <f>AY195</f>
        <v>919</v>
      </c>
      <c r="BA195" s="109">
        <f t="shared" ref="BA195:BG195" si="76">AZ195</f>
        <v>919</v>
      </c>
      <c r="BB195" s="109">
        <f t="shared" si="76"/>
        <v>919</v>
      </c>
      <c r="BC195" s="109">
        <f t="shared" si="76"/>
        <v>919</v>
      </c>
      <c r="BD195" s="109">
        <f t="shared" si="76"/>
        <v>919</v>
      </c>
      <c r="BE195" s="109">
        <f t="shared" si="76"/>
        <v>919</v>
      </c>
      <c r="BF195" s="109">
        <f t="shared" si="76"/>
        <v>919</v>
      </c>
      <c r="BG195" s="109">
        <f t="shared" si="76"/>
        <v>919</v>
      </c>
    </row>
    <row r="196" spans="1:59" ht="13.75" customHeight="1">
      <c r="A196" s="171" t="s">
        <v>166</v>
      </c>
      <c r="B196" s="165" t="s">
        <v>313</v>
      </c>
      <c r="C196" s="165"/>
      <c r="D196" s="165" t="s">
        <v>168</v>
      </c>
      <c r="E196" s="167"/>
      <c r="F196" s="168" t="s">
        <v>320</v>
      </c>
      <c r="G196" s="168" t="s">
        <v>318</v>
      </c>
      <c r="H196" s="168"/>
      <c r="I196" s="168" t="s">
        <v>321</v>
      </c>
      <c r="U196" s="112">
        <v>7975</v>
      </c>
      <c r="V196" s="112">
        <v>10100</v>
      </c>
      <c r="W196" s="112">
        <v>11110</v>
      </c>
      <c r="X196" s="128">
        <v>7300</v>
      </c>
      <c r="Y196" s="128">
        <v>7530</v>
      </c>
      <c r="Z196" s="128">
        <v>13100</v>
      </c>
      <c r="AA196" s="128">
        <v>13100</v>
      </c>
      <c r="AB196" s="128">
        <v>13100</v>
      </c>
      <c r="AC196" s="128">
        <v>13100</v>
      </c>
      <c r="AD196" s="128">
        <v>13624</v>
      </c>
      <c r="AE196" s="128">
        <v>14169</v>
      </c>
      <c r="AF196" s="128">
        <v>14736</v>
      </c>
      <c r="AG196" s="128">
        <v>15458</v>
      </c>
      <c r="AH196" s="128">
        <v>16076</v>
      </c>
      <c r="AI196" s="128">
        <v>16719</v>
      </c>
      <c r="AJ196" s="128">
        <f t="shared" ref="AJ196:AY208" si="77">AI196*(1+AJ$3)</f>
        <v>17387.760000000002</v>
      </c>
      <c r="AK196" s="128">
        <f t="shared" si="77"/>
        <v>18083.270400000001</v>
      </c>
      <c r="AL196" s="128">
        <f t="shared" si="77"/>
        <v>18806.601216000003</v>
      </c>
      <c r="AM196" s="128">
        <f t="shared" si="77"/>
        <v>19558.865264640004</v>
      </c>
      <c r="AN196" s="128">
        <f t="shared" si="77"/>
        <v>20341.219875225604</v>
      </c>
      <c r="AO196" s="128">
        <f t="shared" si="77"/>
        <v>21154.868670234628</v>
      </c>
      <c r="AP196" s="128">
        <f t="shared" si="77"/>
        <v>22001.063417044013</v>
      </c>
      <c r="AQ196" s="128">
        <f t="shared" si="77"/>
        <v>22881.105953725775</v>
      </c>
      <c r="AR196" s="128">
        <f t="shared" si="77"/>
        <v>23796.350191874808</v>
      </c>
      <c r="AS196" s="128">
        <f t="shared" si="77"/>
        <v>24748.2041995498</v>
      </c>
      <c r="AT196" s="128">
        <f t="shared" si="77"/>
        <v>25738.132367531794</v>
      </c>
      <c r="AU196" s="128">
        <f t="shared" si="77"/>
        <v>26767.657662233069</v>
      </c>
      <c r="AV196" s="128">
        <f t="shared" si="77"/>
        <v>27838.363968722391</v>
      </c>
      <c r="AW196" s="128">
        <f t="shared" si="77"/>
        <v>28951.898527471287</v>
      </c>
      <c r="AX196" s="128">
        <f t="shared" si="77"/>
        <v>30109.974468570141</v>
      </c>
      <c r="AY196" s="128">
        <f t="shared" si="77"/>
        <v>31314.373447312948</v>
      </c>
      <c r="AZ196" s="129">
        <f t="shared" ref="AZ196:BG208" si="78">AY196*(1+AZ$3)</f>
        <v>32566.948385205465</v>
      </c>
      <c r="BA196" s="129">
        <f t="shared" si="78"/>
        <v>33869.626320613686</v>
      </c>
      <c r="BB196" s="129">
        <f t="shared" si="78"/>
        <v>35224.411373438234</v>
      </c>
      <c r="BC196" s="129">
        <f t="shared" si="78"/>
        <v>36633.387828375766</v>
      </c>
      <c r="BD196" s="129">
        <f t="shared" si="78"/>
        <v>38098.723341510798</v>
      </c>
      <c r="BE196" s="129">
        <f t="shared" si="78"/>
        <v>39622.67227517123</v>
      </c>
      <c r="BF196" s="129">
        <f t="shared" si="78"/>
        <v>41207.579166178082</v>
      </c>
      <c r="BG196" s="129">
        <f t="shared" si="78"/>
        <v>42855.882332825204</v>
      </c>
    </row>
    <row r="197" spans="1:59" ht="13.75" customHeight="1">
      <c r="A197" s="171" t="s">
        <v>166</v>
      </c>
      <c r="B197" s="165" t="s">
        <v>313</v>
      </c>
      <c r="C197" s="165"/>
      <c r="D197" s="165" t="s">
        <v>168</v>
      </c>
      <c r="E197" s="167"/>
      <c r="F197" s="168" t="s">
        <v>322</v>
      </c>
      <c r="G197" s="168" t="s">
        <v>318</v>
      </c>
      <c r="H197" s="168"/>
      <c r="I197" s="168" t="s">
        <v>321</v>
      </c>
      <c r="U197" s="112">
        <v>7632</v>
      </c>
      <c r="V197" s="112">
        <v>9750</v>
      </c>
      <c r="W197" s="112">
        <v>10725</v>
      </c>
      <c r="X197" s="128">
        <v>7300</v>
      </c>
      <c r="Y197" s="128">
        <v>7530</v>
      </c>
      <c r="Z197" s="128">
        <v>13100</v>
      </c>
      <c r="AA197" s="128">
        <v>13100</v>
      </c>
      <c r="AB197" s="128">
        <v>13100</v>
      </c>
      <c r="AC197" s="128">
        <v>13100</v>
      </c>
      <c r="AD197" s="128">
        <v>13624</v>
      </c>
      <c r="AE197" s="128">
        <v>14169</v>
      </c>
      <c r="AF197" s="128">
        <v>14736</v>
      </c>
      <c r="AG197" s="128">
        <f>AG196</f>
        <v>15458</v>
      </c>
      <c r="AH197" s="128">
        <f t="shared" ref="AH197:AI198" si="79">AH196</f>
        <v>16076</v>
      </c>
      <c r="AI197" s="128">
        <f t="shared" si="79"/>
        <v>16719</v>
      </c>
      <c r="AJ197" s="128">
        <f t="shared" si="77"/>
        <v>17387.760000000002</v>
      </c>
      <c r="AK197" s="128">
        <f t="shared" si="77"/>
        <v>18083.270400000001</v>
      </c>
      <c r="AL197" s="128">
        <f t="shared" si="77"/>
        <v>18806.601216000003</v>
      </c>
      <c r="AM197" s="128">
        <f t="shared" si="77"/>
        <v>19558.865264640004</v>
      </c>
      <c r="AN197" s="128">
        <f t="shared" si="77"/>
        <v>20341.219875225604</v>
      </c>
      <c r="AO197" s="128">
        <f t="shared" si="77"/>
        <v>21154.868670234628</v>
      </c>
      <c r="AP197" s="128">
        <f t="shared" si="77"/>
        <v>22001.063417044013</v>
      </c>
      <c r="AQ197" s="128">
        <f t="shared" si="77"/>
        <v>22881.105953725775</v>
      </c>
      <c r="AR197" s="128">
        <f t="shared" si="77"/>
        <v>23796.350191874808</v>
      </c>
      <c r="AS197" s="128">
        <f t="shared" si="77"/>
        <v>24748.2041995498</v>
      </c>
      <c r="AT197" s="128">
        <f t="shared" si="77"/>
        <v>25738.132367531794</v>
      </c>
      <c r="AU197" s="128">
        <f t="shared" si="77"/>
        <v>26767.657662233069</v>
      </c>
      <c r="AV197" s="128">
        <f t="shared" si="77"/>
        <v>27838.363968722391</v>
      </c>
      <c r="AW197" s="128">
        <f t="shared" si="77"/>
        <v>28951.898527471287</v>
      </c>
      <c r="AX197" s="128">
        <f t="shared" si="77"/>
        <v>30109.974468570141</v>
      </c>
      <c r="AY197" s="128">
        <f t="shared" si="77"/>
        <v>31314.373447312948</v>
      </c>
      <c r="AZ197" s="129">
        <f t="shared" si="78"/>
        <v>32566.948385205465</v>
      </c>
      <c r="BA197" s="129">
        <f t="shared" si="78"/>
        <v>33869.626320613686</v>
      </c>
      <c r="BB197" s="129">
        <f t="shared" si="78"/>
        <v>35224.411373438234</v>
      </c>
      <c r="BC197" s="129">
        <f t="shared" si="78"/>
        <v>36633.387828375766</v>
      </c>
      <c r="BD197" s="129">
        <f t="shared" si="78"/>
        <v>38098.723341510798</v>
      </c>
      <c r="BE197" s="129">
        <f t="shared" si="78"/>
        <v>39622.67227517123</v>
      </c>
      <c r="BF197" s="129">
        <f t="shared" si="78"/>
        <v>41207.579166178082</v>
      </c>
      <c r="BG197" s="129">
        <f t="shared" si="78"/>
        <v>42855.882332825204</v>
      </c>
    </row>
    <row r="198" spans="1:59" ht="13.75" customHeight="1">
      <c r="A198" s="171" t="s">
        <v>166</v>
      </c>
      <c r="B198" s="165" t="s">
        <v>313</v>
      </c>
      <c r="C198" s="165"/>
      <c r="D198" s="165" t="s">
        <v>168</v>
      </c>
      <c r="E198" s="167"/>
      <c r="F198" s="168" t="s">
        <v>323</v>
      </c>
      <c r="G198" s="168" t="s">
        <v>318</v>
      </c>
      <c r="H198" s="168"/>
      <c r="I198" s="168" t="s">
        <v>321</v>
      </c>
      <c r="U198" s="112">
        <v>6822</v>
      </c>
      <c r="V198" s="112">
        <v>8760</v>
      </c>
      <c r="W198" s="112">
        <v>9916</v>
      </c>
      <c r="X198" s="128">
        <v>7300</v>
      </c>
      <c r="Y198" s="128">
        <v>7530</v>
      </c>
      <c r="Z198" s="128">
        <v>13100</v>
      </c>
      <c r="AA198" s="128">
        <v>13100</v>
      </c>
      <c r="AB198" s="128">
        <v>13100</v>
      </c>
      <c r="AC198" s="128">
        <v>13100</v>
      </c>
      <c r="AD198" s="128">
        <v>13624</v>
      </c>
      <c r="AE198" s="128">
        <v>14169</v>
      </c>
      <c r="AF198" s="128">
        <v>14736</v>
      </c>
      <c r="AG198" s="128">
        <f>AG197</f>
        <v>15458</v>
      </c>
      <c r="AH198" s="128">
        <f t="shared" si="79"/>
        <v>16076</v>
      </c>
      <c r="AI198" s="128">
        <f t="shared" si="79"/>
        <v>16719</v>
      </c>
      <c r="AJ198" s="128">
        <f t="shared" si="77"/>
        <v>17387.760000000002</v>
      </c>
      <c r="AK198" s="128">
        <f t="shared" si="77"/>
        <v>18083.270400000001</v>
      </c>
      <c r="AL198" s="128">
        <f t="shared" si="77"/>
        <v>18806.601216000003</v>
      </c>
      <c r="AM198" s="128">
        <f t="shared" si="77"/>
        <v>19558.865264640004</v>
      </c>
      <c r="AN198" s="128">
        <f t="shared" si="77"/>
        <v>20341.219875225604</v>
      </c>
      <c r="AO198" s="128">
        <f t="shared" si="77"/>
        <v>21154.868670234628</v>
      </c>
      <c r="AP198" s="128">
        <f t="shared" si="77"/>
        <v>22001.063417044013</v>
      </c>
      <c r="AQ198" s="128">
        <f t="shared" si="77"/>
        <v>22881.105953725775</v>
      </c>
      <c r="AR198" s="128">
        <f t="shared" si="77"/>
        <v>23796.350191874808</v>
      </c>
      <c r="AS198" s="128">
        <f t="shared" si="77"/>
        <v>24748.2041995498</v>
      </c>
      <c r="AT198" s="128">
        <f t="shared" si="77"/>
        <v>25738.132367531794</v>
      </c>
      <c r="AU198" s="128">
        <f t="shared" si="77"/>
        <v>26767.657662233069</v>
      </c>
      <c r="AV198" s="128">
        <f t="shared" si="77"/>
        <v>27838.363968722391</v>
      </c>
      <c r="AW198" s="128">
        <f t="shared" si="77"/>
        <v>28951.898527471287</v>
      </c>
      <c r="AX198" s="128">
        <f t="shared" si="77"/>
        <v>30109.974468570141</v>
      </c>
      <c r="AY198" s="128">
        <f t="shared" si="77"/>
        <v>31314.373447312948</v>
      </c>
      <c r="AZ198" s="129">
        <f t="shared" si="78"/>
        <v>32566.948385205465</v>
      </c>
      <c r="BA198" s="129">
        <f t="shared" si="78"/>
        <v>33869.626320613686</v>
      </c>
      <c r="BB198" s="129">
        <f t="shared" si="78"/>
        <v>35224.411373438234</v>
      </c>
      <c r="BC198" s="129">
        <f t="shared" si="78"/>
        <v>36633.387828375766</v>
      </c>
      <c r="BD198" s="129">
        <f t="shared" si="78"/>
        <v>38098.723341510798</v>
      </c>
      <c r="BE198" s="129">
        <f t="shared" si="78"/>
        <v>39622.67227517123</v>
      </c>
      <c r="BF198" s="129">
        <f t="shared" si="78"/>
        <v>41207.579166178082</v>
      </c>
      <c r="BG198" s="129">
        <f t="shared" si="78"/>
        <v>42855.882332825204</v>
      </c>
    </row>
    <row r="199" spans="1:59" ht="13.75" customHeight="1">
      <c r="A199" s="171" t="s">
        <v>166</v>
      </c>
      <c r="B199" s="165" t="s">
        <v>313</v>
      </c>
      <c r="C199" s="165"/>
      <c r="D199" s="165" t="s">
        <v>168</v>
      </c>
      <c r="E199" s="167"/>
      <c r="F199" s="168" t="s">
        <v>324</v>
      </c>
      <c r="G199" s="168" t="s">
        <v>318</v>
      </c>
      <c r="H199" s="168"/>
      <c r="I199" s="168" t="s">
        <v>321</v>
      </c>
      <c r="U199" s="112">
        <v>5983</v>
      </c>
      <c r="V199" s="112">
        <v>5446</v>
      </c>
      <c r="W199" s="112">
        <v>6450</v>
      </c>
      <c r="X199" s="128">
        <v>5530</v>
      </c>
      <c r="Y199" s="128">
        <v>7530</v>
      </c>
      <c r="Z199" s="128">
        <v>10130</v>
      </c>
      <c r="AA199" s="128">
        <v>11552.5</v>
      </c>
      <c r="AB199" s="128">
        <v>12314</v>
      </c>
      <c r="AC199" s="128">
        <v>12752</v>
      </c>
      <c r="AD199" s="128">
        <v>13262</v>
      </c>
      <c r="AE199" s="128">
        <v>13793</v>
      </c>
      <c r="AF199" s="128">
        <v>14345</v>
      </c>
      <c r="AG199" s="128">
        <v>15048</v>
      </c>
      <c r="AH199" s="128">
        <v>15650</v>
      </c>
      <c r="AI199" s="128">
        <v>16276</v>
      </c>
      <c r="AJ199" s="128">
        <f t="shared" si="77"/>
        <v>16927.04</v>
      </c>
      <c r="AK199" s="128">
        <f t="shared" si="77"/>
        <v>17604.121600000002</v>
      </c>
      <c r="AL199" s="128">
        <f t="shared" si="77"/>
        <v>18308.286464000004</v>
      </c>
      <c r="AM199" s="128">
        <f t="shared" si="77"/>
        <v>19040.617922560006</v>
      </c>
      <c r="AN199" s="128">
        <f t="shared" si="77"/>
        <v>19802.242639462409</v>
      </c>
      <c r="AO199" s="128">
        <f t="shared" si="77"/>
        <v>20594.332345040904</v>
      </c>
      <c r="AP199" s="128">
        <f t="shared" si="77"/>
        <v>21418.105638842542</v>
      </c>
      <c r="AQ199" s="128">
        <f t="shared" si="77"/>
        <v>22274.829864396244</v>
      </c>
      <c r="AR199" s="128">
        <f t="shared" si="77"/>
        <v>23165.823058972095</v>
      </c>
      <c r="AS199" s="128">
        <f t="shared" si="77"/>
        <v>24092.455981330979</v>
      </c>
      <c r="AT199" s="128">
        <f t="shared" si="77"/>
        <v>25056.15422058422</v>
      </c>
      <c r="AU199" s="128">
        <f t="shared" si="77"/>
        <v>26058.40038940759</v>
      </c>
      <c r="AV199" s="128">
        <f t="shared" si="77"/>
        <v>27100.736404983894</v>
      </c>
      <c r="AW199" s="128">
        <f t="shared" si="77"/>
        <v>28184.765861183252</v>
      </c>
      <c r="AX199" s="128">
        <f t="shared" si="77"/>
        <v>29312.156495630585</v>
      </c>
      <c r="AY199" s="128">
        <f t="shared" si="77"/>
        <v>30484.64275545581</v>
      </c>
      <c r="AZ199" s="129">
        <f t="shared" si="78"/>
        <v>31704.028465674044</v>
      </c>
      <c r="BA199" s="129">
        <f t="shared" si="78"/>
        <v>32972.189604301006</v>
      </c>
      <c r="BB199" s="129">
        <f t="shared" si="78"/>
        <v>34291.077188473049</v>
      </c>
      <c r="BC199" s="129">
        <f t="shared" si="78"/>
        <v>35662.720276011969</v>
      </c>
      <c r="BD199" s="129">
        <f t="shared" si="78"/>
        <v>37089.229087052452</v>
      </c>
      <c r="BE199" s="129">
        <f t="shared" si="78"/>
        <v>38572.79825053455</v>
      </c>
      <c r="BF199" s="129">
        <f t="shared" si="78"/>
        <v>40115.710180555936</v>
      </c>
      <c r="BG199" s="129">
        <f t="shared" si="78"/>
        <v>41720.338587778177</v>
      </c>
    </row>
    <row r="200" spans="1:59" ht="13.75" customHeight="1">
      <c r="A200" s="171" t="s">
        <v>166</v>
      </c>
      <c r="B200" s="165" t="s">
        <v>313</v>
      </c>
      <c r="C200" s="165"/>
      <c r="D200" s="165" t="s">
        <v>168</v>
      </c>
      <c r="E200" s="167"/>
      <c r="F200" s="168" t="s">
        <v>325</v>
      </c>
      <c r="G200" s="168" t="s">
        <v>318</v>
      </c>
      <c r="H200" s="168"/>
      <c r="I200" s="168" t="s">
        <v>321</v>
      </c>
      <c r="U200" s="112">
        <v>7824</v>
      </c>
      <c r="V200" s="112">
        <v>10229</v>
      </c>
      <c r="W200" s="112">
        <v>11252</v>
      </c>
      <c r="X200" s="128">
        <v>11300</v>
      </c>
      <c r="Y200" s="128">
        <v>10500</v>
      </c>
      <c r="Z200" s="128">
        <v>13100</v>
      </c>
      <c r="AA200" s="128">
        <v>13100</v>
      </c>
      <c r="AB200" s="128">
        <v>13912.455</v>
      </c>
      <c r="AC200" s="128">
        <v>14720.045</v>
      </c>
      <c r="AD200" s="128">
        <v>15532.5</v>
      </c>
      <c r="AE200" s="128">
        <v>16344.955</v>
      </c>
      <c r="AF200" s="128">
        <v>17152.544999999998</v>
      </c>
      <c r="AG200" s="128">
        <v>17965</v>
      </c>
      <c r="AH200" s="128">
        <f>AG200*(1+AH$3)</f>
        <v>18532.507584830328</v>
      </c>
      <c r="AI200" s="128">
        <f t="shared" ref="AI200:AX201" si="80">AH200*(1+AI$3)</f>
        <v>19267.611434630879</v>
      </c>
      <c r="AJ200" s="128">
        <f t="shared" si="80"/>
        <v>20038.315892016115</v>
      </c>
      <c r="AK200" s="128">
        <f t="shared" si="80"/>
        <v>20839.848527696759</v>
      </c>
      <c r="AL200" s="128">
        <f t="shared" si="80"/>
        <v>21673.442468804631</v>
      </c>
      <c r="AM200" s="128">
        <f t="shared" si="80"/>
        <v>22540.380167556817</v>
      </c>
      <c r="AN200" s="128">
        <f t="shared" si="80"/>
        <v>23441.995374259091</v>
      </c>
      <c r="AO200" s="128">
        <f t="shared" si="80"/>
        <v>24379.675189229456</v>
      </c>
      <c r="AP200" s="128">
        <f t="shared" si="80"/>
        <v>25354.862196798636</v>
      </c>
      <c r="AQ200" s="128">
        <f t="shared" si="80"/>
        <v>26369.056684670584</v>
      </c>
      <c r="AR200" s="128">
        <f t="shared" si="80"/>
        <v>27423.818952057409</v>
      </c>
      <c r="AS200" s="128">
        <f t="shared" si="80"/>
        <v>28520.771710139707</v>
      </c>
      <c r="AT200" s="128">
        <f t="shared" si="80"/>
        <v>29661.602578545295</v>
      </c>
      <c r="AU200" s="128">
        <f t="shared" si="80"/>
        <v>30848.066681687109</v>
      </c>
      <c r="AV200" s="128">
        <f t="shared" si="80"/>
        <v>32081.989348954594</v>
      </c>
      <c r="AW200" s="128">
        <f t="shared" si="77"/>
        <v>33365.268922912779</v>
      </c>
      <c r="AX200" s="128">
        <f t="shared" si="77"/>
        <v>34699.87967982929</v>
      </c>
      <c r="AY200" s="128">
        <f t="shared" si="77"/>
        <v>36087.87486702246</v>
      </c>
      <c r="AZ200" s="129">
        <f t="shared" si="78"/>
        <v>37531.389861703356</v>
      </c>
      <c r="BA200" s="129">
        <f t="shared" si="78"/>
        <v>39032.645456171493</v>
      </c>
      <c r="BB200" s="129">
        <f t="shared" si="78"/>
        <v>40593.951274418352</v>
      </c>
      <c r="BC200" s="129">
        <f t="shared" si="78"/>
        <v>42217.709325395088</v>
      </c>
      <c r="BD200" s="129">
        <f t="shared" si="78"/>
        <v>43906.417698410893</v>
      </c>
      <c r="BE200" s="129">
        <f t="shared" si="78"/>
        <v>45662.674406347331</v>
      </c>
      <c r="BF200" s="129">
        <f t="shared" si="78"/>
        <v>47489.181382601222</v>
      </c>
      <c r="BG200" s="129">
        <f t="shared" si="78"/>
        <v>49388.748637905272</v>
      </c>
    </row>
    <row r="201" spans="1:59" ht="13.75" customHeight="1">
      <c r="A201" s="171" t="s">
        <v>166</v>
      </c>
      <c r="B201" s="165" t="s">
        <v>313</v>
      </c>
      <c r="C201" s="165"/>
      <c r="D201" s="165" t="s">
        <v>168</v>
      </c>
      <c r="E201" s="167"/>
      <c r="F201" s="168" t="s">
        <v>326</v>
      </c>
      <c r="G201" s="168" t="s">
        <v>318</v>
      </c>
      <c r="H201" s="168"/>
      <c r="I201" s="168" t="s">
        <v>321</v>
      </c>
      <c r="U201" s="112">
        <v>4199</v>
      </c>
      <c r="V201" s="112">
        <v>5860</v>
      </c>
      <c r="W201" s="112">
        <v>6446</v>
      </c>
      <c r="X201" s="128">
        <v>3450</v>
      </c>
      <c r="Y201" s="128">
        <v>4150</v>
      </c>
      <c r="Z201" s="128">
        <v>6800</v>
      </c>
      <c r="AA201" s="128">
        <v>7961.5</v>
      </c>
      <c r="AB201" s="128">
        <v>8541</v>
      </c>
      <c r="AC201" s="128">
        <v>8835</v>
      </c>
      <c r="AD201" s="128">
        <v>9188</v>
      </c>
      <c r="AE201" s="128">
        <v>9556</v>
      </c>
      <c r="AF201" s="128">
        <v>9938</v>
      </c>
      <c r="AG201" s="128">
        <v>10425</v>
      </c>
      <c r="AH201" s="128">
        <v>10842</v>
      </c>
      <c r="AI201" s="128">
        <v>11276</v>
      </c>
      <c r="AJ201" s="128">
        <f t="shared" si="80"/>
        <v>11727.04</v>
      </c>
      <c r="AK201" s="128">
        <f t="shared" si="80"/>
        <v>12196.121600000002</v>
      </c>
      <c r="AL201" s="128">
        <f t="shared" si="80"/>
        <v>12683.966464000003</v>
      </c>
      <c r="AM201" s="128">
        <f t="shared" si="80"/>
        <v>13191.325122560003</v>
      </c>
      <c r="AN201" s="128">
        <f t="shared" si="80"/>
        <v>13718.978127462404</v>
      </c>
      <c r="AO201" s="128">
        <f t="shared" si="80"/>
        <v>14267.737252560901</v>
      </c>
      <c r="AP201" s="128">
        <f t="shared" si="80"/>
        <v>14838.446742663336</v>
      </c>
      <c r="AQ201" s="128">
        <f t="shared" si="80"/>
        <v>15431.98461236987</v>
      </c>
      <c r="AR201" s="128">
        <f t="shared" si="80"/>
        <v>16049.263996864665</v>
      </c>
      <c r="AS201" s="128">
        <f t="shared" si="80"/>
        <v>16691.234556739251</v>
      </c>
      <c r="AT201" s="128">
        <f t="shared" si="80"/>
        <v>17358.883939008821</v>
      </c>
      <c r="AU201" s="128">
        <f t="shared" si="80"/>
        <v>18053.239296569176</v>
      </c>
      <c r="AV201" s="128">
        <f t="shared" si="80"/>
        <v>18775.368868431942</v>
      </c>
      <c r="AW201" s="128">
        <f t="shared" si="80"/>
        <v>19526.383623169222</v>
      </c>
      <c r="AX201" s="128">
        <f t="shared" si="80"/>
        <v>20307.43896809599</v>
      </c>
      <c r="AY201" s="128">
        <f t="shared" si="77"/>
        <v>21119.73652681983</v>
      </c>
      <c r="AZ201" s="129">
        <f t="shared" si="78"/>
        <v>21964.525987892623</v>
      </c>
      <c r="BA201" s="129">
        <f t="shared" si="78"/>
        <v>22843.107027408329</v>
      </c>
      <c r="BB201" s="129">
        <f t="shared" si="78"/>
        <v>23756.831308504661</v>
      </c>
      <c r="BC201" s="129">
        <f t="shared" si="78"/>
        <v>24707.104560844848</v>
      </c>
      <c r="BD201" s="129">
        <f t="shared" si="78"/>
        <v>25695.388743278643</v>
      </c>
      <c r="BE201" s="129">
        <f t="shared" si="78"/>
        <v>26723.204293009789</v>
      </c>
      <c r="BF201" s="129">
        <f t="shared" si="78"/>
        <v>27792.132464730181</v>
      </c>
      <c r="BG201" s="129">
        <f t="shared" si="78"/>
        <v>28903.817763319388</v>
      </c>
    </row>
    <row r="202" spans="1:59" ht="13.75" customHeight="1">
      <c r="A202" s="171" t="s">
        <v>166</v>
      </c>
      <c r="B202" s="165" t="s">
        <v>313</v>
      </c>
      <c r="C202" s="165"/>
      <c r="D202" s="165" t="s">
        <v>168</v>
      </c>
      <c r="E202" s="167"/>
      <c r="F202" s="168" t="s">
        <v>327</v>
      </c>
      <c r="G202" s="168" t="s">
        <v>318</v>
      </c>
      <c r="H202" s="168"/>
      <c r="I202" s="168" t="s">
        <v>321</v>
      </c>
      <c r="U202" s="112">
        <v>4057</v>
      </c>
      <c r="V202" s="112">
        <v>5860</v>
      </c>
      <c r="W202" s="112">
        <v>6446</v>
      </c>
      <c r="X202" s="128">
        <v>3450</v>
      </c>
      <c r="Y202" s="128">
        <v>4150</v>
      </c>
      <c r="Z202" s="128">
        <v>6800</v>
      </c>
      <c r="AA202" s="128">
        <v>7961.5</v>
      </c>
      <c r="AB202" s="128">
        <v>8541</v>
      </c>
      <c r="AC202" s="128">
        <v>8835</v>
      </c>
      <c r="AD202" s="128">
        <v>9188</v>
      </c>
      <c r="AE202" s="128">
        <v>9556</v>
      </c>
      <c r="AF202" s="128">
        <v>9938</v>
      </c>
      <c r="AG202" s="128">
        <f>AG201</f>
        <v>10425</v>
      </c>
      <c r="AH202" s="128">
        <f t="shared" ref="AH202:AI204" si="81">AH201</f>
        <v>10842</v>
      </c>
      <c r="AI202" s="128">
        <f t="shared" si="81"/>
        <v>11276</v>
      </c>
      <c r="AJ202" s="128">
        <f t="shared" si="77"/>
        <v>11727.04</v>
      </c>
      <c r="AK202" s="128">
        <f t="shared" si="77"/>
        <v>12196.121600000002</v>
      </c>
      <c r="AL202" s="128">
        <f t="shared" si="77"/>
        <v>12683.966464000003</v>
      </c>
      <c r="AM202" s="128">
        <f t="shared" si="77"/>
        <v>13191.325122560003</v>
      </c>
      <c r="AN202" s="128">
        <f t="shared" si="77"/>
        <v>13718.978127462404</v>
      </c>
      <c r="AO202" s="128">
        <f t="shared" si="77"/>
        <v>14267.737252560901</v>
      </c>
      <c r="AP202" s="128">
        <f t="shared" si="77"/>
        <v>14838.446742663336</v>
      </c>
      <c r="AQ202" s="128">
        <f t="shared" si="77"/>
        <v>15431.98461236987</v>
      </c>
      <c r="AR202" s="128">
        <f t="shared" si="77"/>
        <v>16049.263996864665</v>
      </c>
      <c r="AS202" s="128">
        <f t="shared" si="77"/>
        <v>16691.234556739251</v>
      </c>
      <c r="AT202" s="128">
        <f t="shared" si="77"/>
        <v>17358.883939008821</v>
      </c>
      <c r="AU202" s="128">
        <f t="shared" si="77"/>
        <v>18053.239296569176</v>
      </c>
      <c r="AV202" s="128">
        <f t="shared" si="77"/>
        <v>18775.368868431942</v>
      </c>
      <c r="AW202" s="128">
        <f t="shared" si="77"/>
        <v>19526.383623169222</v>
      </c>
      <c r="AX202" s="128">
        <f t="shared" si="77"/>
        <v>20307.43896809599</v>
      </c>
      <c r="AY202" s="128">
        <f t="shared" si="77"/>
        <v>21119.73652681983</v>
      </c>
      <c r="AZ202" s="129">
        <f t="shared" si="78"/>
        <v>21964.525987892623</v>
      </c>
      <c r="BA202" s="129">
        <f t="shared" si="78"/>
        <v>22843.107027408329</v>
      </c>
      <c r="BB202" s="129">
        <f t="shared" si="78"/>
        <v>23756.831308504661</v>
      </c>
      <c r="BC202" s="129">
        <f t="shared" si="78"/>
        <v>24707.104560844848</v>
      </c>
      <c r="BD202" s="129">
        <f t="shared" si="78"/>
        <v>25695.388743278643</v>
      </c>
      <c r="BE202" s="129">
        <f t="shared" si="78"/>
        <v>26723.204293009789</v>
      </c>
      <c r="BF202" s="129">
        <f t="shared" si="78"/>
        <v>27792.132464730181</v>
      </c>
      <c r="BG202" s="129">
        <f t="shared" si="78"/>
        <v>28903.817763319388</v>
      </c>
    </row>
    <row r="203" spans="1:59" ht="13.75" customHeight="1">
      <c r="A203" s="171" t="s">
        <v>166</v>
      </c>
      <c r="B203" s="165" t="s">
        <v>313</v>
      </c>
      <c r="C203" s="165"/>
      <c r="D203" s="165" t="s">
        <v>168</v>
      </c>
      <c r="E203" s="167"/>
      <c r="F203" s="168" t="s">
        <v>328</v>
      </c>
      <c r="G203" s="168" t="s">
        <v>318</v>
      </c>
      <c r="H203" s="168"/>
      <c r="I203" s="168" t="s">
        <v>321</v>
      </c>
      <c r="U203" s="112">
        <v>3562</v>
      </c>
      <c r="V203" s="112">
        <v>5017</v>
      </c>
      <c r="W203" s="112">
        <v>5427</v>
      </c>
      <c r="X203" s="128">
        <v>3450</v>
      </c>
      <c r="Y203" s="128">
        <v>4150</v>
      </c>
      <c r="Z203" s="128">
        <v>6800</v>
      </c>
      <c r="AA203" s="128">
        <v>7961.5</v>
      </c>
      <c r="AB203" s="128">
        <v>8541</v>
      </c>
      <c r="AC203" s="128">
        <v>8835</v>
      </c>
      <c r="AD203" s="128">
        <v>9188</v>
      </c>
      <c r="AE203" s="128">
        <v>9556</v>
      </c>
      <c r="AF203" s="128">
        <v>9938</v>
      </c>
      <c r="AG203" s="128">
        <f t="shared" ref="AG203:AG204" si="82">AG202</f>
        <v>10425</v>
      </c>
      <c r="AH203" s="128">
        <f t="shared" si="81"/>
        <v>10842</v>
      </c>
      <c r="AI203" s="128">
        <f t="shared" si="81"/>
        <v>11276</v>
      </c>
      <c r="AJ203" s="128">
        <f t="shared" si="77"/>
        <v>11727.04</v>
      </c>
      <c r="AK203" s="128">
        <f t="shared" si="77"/>
        <v>12196.121600000002</v>
      </c>
      <c r="AL203" s="128">
        <f t="shared" si="77"/>
        <v>12683.966464000003</v>
      </c>
      <c r="AM203" s="128">
        <f t="shared" si="77"/>
        <v>13191.325122560003</v>
      </c>
      <c r="AN203" s="128">
        <f t="shared" si="77"/>
        <v>13718.978127462404</v>
      </c>
      <c r="AO203" s="128">
        <f t="shared" si="77"/>
        <v>14267.737252560901</v>
      </c>
      <c r="AP203" s="128">
        <f t="shared" si="77"/>
        <v>14838.446742663336</v>
      </c>
      <c r="AQ203" s="128">
        <f t="shared" si="77"/>
        <v>15431.98461236987</v>
      </c>
      <c r="AR203" s="128">
        <f t="shared" si="77"/>
        <v>16049.263996864665</v>
      </c>
      <c r="AS203" s="128">
        <f t="shared" si="77"/>
        <v>16691.234556739251</v>
      </c>
      <c r="AT203" s="128">
        <f t="shared" si="77"/>
        <v>17358.883939008821</v>
      </c>
      <c r="AU203" s="128">
        <f t="shared" si="77"/>
        <v>18053.239296569176</v>
      </c>
      <c r="AV203" s="128">
        <f t="shared" si="77"/>
        <v>18775.368868431942</v>
      </c>
      <c r="AW203" s="128">
        <f t="shared" si="77"/>
        <v>19526.383623169222</v>
      </c>
      <c r="AX203" s="128">
        <f t="shared" si="77"/>
        <v>20307.43896809599</v>
      </c>
      <c r="AY203" s="128">
        <f t="shared" si="77"/>
        <v>21119.73652681983</v>
      </c>
      <c r="AZ203" s="129">
        <f t="shared" si="78"/>
        <v>21964.525987892623</v>
      </c>
      <c r="BA203" s="129">
        <f t="shared" si="78"/>
        <v>22843.107027408329</v>
      </c>
      <c r="BB203" s="129">
        <f t="shared" si="78"/>
        <v>23756.831308504661</v>
      </c>
      <c r="BC203" s="129">
        <f t="shared" si="78"/>
        <v>24707.104560844848</v>
      </c>
      <c r="BD203" s="129">
        <f t="shared" si="78"/>
        <v>25695.388743278643</v>
      </c>
      <c r="BE203" s="129">
        <f t="shared" si="78"/>
        <v>26723.204293009789</v>
      </c>
      <c r="BF203" s="129">
        <f t="shared" si="78"/>
        <v>27792.132464730181</v>
      </c>
      <c r="BG203" s="129">
        <f t="shared" si="78"/>
        <v>28903.817763319388</v>
      </c>
    </row>
    <row r="204" spans="1:59" ht="13.75" customHeight="1">
      <c r="A204" s="171" t="s">
        <v>166</v>
      </c>
      <c r="B204" s="165" t="s">
        <v>313</v>
      </c>
      <c r="C204" s="165"/>
      <c r="D204" s="165" t="s">
        <v>168</v>
      </c>
      <c r="E204" s="167"/>
      <c r="F204" s="168" t="s">
        <v>329</v>
      </c>
      <c r="G204" s="168" t="s">
        <v>318</v>
      </c>
      <c r="H204" s="168"/>
      <c r="I204" s="168" t="s">
        <v>321</v>
      </c>
      <c r="U204" s="112">
        <v>3262</v>
      </c>
      <c r="V204" s="112">
        <v>4417</v>
      </c>
      <c r="W204" s="112">
        <v>4767</v>
      </c>
      <c r="X204" s="128">
        <v>3450</v>
      </c>
      <c r="Y204" s="128">
        <v>4150</v>
      </c>
      <c r="Z204" s="128">
        <v>6800</v>
      </c>
      <c r="AA204" s="128">
        <v>7961.5</v>
      </c>
      <c r="AB204" s="128">
        <v>8541</v>
      </c>
      <c r="AC204" s="128">
        <v>8835</v>
      </c>
      <c r="AD204" s="128">
        <v>9188</v>
      </c>
      <c r="AE204" s="128">
        <v>9556</v>
      </c>
      <c r="AF204" s="128">
        <v>9938</v>
      </c>
      <c r="AG204" s="128">
        <f t="shared" si="82"/>
        <v>10425</v>
      </c>
      <c r="AH204" s="128">
        <f t="shared" si="81"/>
        <v>10842</v>
      </c>
      <c r="AI204" s="128">
        <f t="shared" si="81"/>
        <v>11276</v>
      </c>
      <c r="AJ204" s="128">
        <f t="shared" si="77"/>
        <v>11727.04</v>
      </c>
      <c r="AK204" s="128">
        <f t="shared" si="77"/>
        <v>12196.121600000002</v>
      </c>
      <c r="AL204" s="128">
        <f t="shared" si="77"/>
        <v>12683.966464000003</v>
      </c>
      <c r="AM204" s="128">
        <f t="shared" si="77"/>
        <v>13191.325122560003</v>
      </c>
      <c r="AN204" s="128">
        <f t="shared" si="77"/>
        <v>13718.978127462404</v>
      </c>
      <c r="AO204" s="128">
        <f t="shared" si="77"/>
        <v>14267.737252560901</v>
      </c>
      <c r="AP204" s="128">
        <f t="shared" si="77"/>
        <v>14838.446742663336</v>
      </c>
      <c r="AQ204" s="128">
        <f t="shared" si="77"/>
        <v>15431.98461236987</v>
      </c>
      <c r="AR204" s="128">
        <f t="shared" si="77"/>
        <v>16049.263996864665</v>
      </c>
      <c r="AS204" s="128">
        <f t="shared" si="77"/>
        <v>16691.234556739251</v>
      </c>
      <c r="AT204" s="128">
        <f t="shared" si="77"/>
        <v>17358.883939008821</v>
      </c>
      <c r="AU204" s="128">
        <f t="shared" si="77"/>
        <v>18053.239296569176</v>
      </c>
      <c r="AV204" s="128">
        <f t="shared" si="77"/>
        <v>18775.368868431942</v>
      </c>
      <c r="AW204" s="128">
        <f t="shared" si="77"/>
        <v>19526.383623169222</v>
      </c>
      <c r="AX204" s="128">
        <f t="shared" si="77"/>
        <v>20307.43896809599</v>
      </c>
      <c r="AY204" s="128">
        <f t="shared" si="77"/>
        <v>21119.73652681983</v>
      </c>
      <c r="AZ204" s="129">
        <f t="shared" si="78"/>
        <v>21964.525987892623</v>
      </c>
      <c r="BA204" s="129">
        <f t="shared" si="78"/>
        <v>22843.107027408329</v>
      </c>
      <c r="BB204" s="129">
        <f t="shared" si="78"/>
        <v>23756.831308504661</v>
      </c>
      <c r="BC204" s="129">
        <f t="shared" si="78"/>
        <v>24707.104560844848</v>
      </c>
      <c r="BD204" s="129">
        <f t="shared" si="78"/>
        <v>25695.388743278643</v>
      </c>
      <c r="BE204" s="129">
        <f t="shared" si="78"/>
        <v>26723.204293009789</v>
      </c>
      <c r="BF204" s="129">
        <f t="shared" si="78"/>
        <v>27792.132464730181</v>
      </c>
      <c r="BG204" s="129">
        <f t="shared" si="78"/>
        <v>28903.817763319388</v>
      </c>
    </row>
    <row r="205" spans="1:59" ht="13.75" customHeight="1">
      <c r="A205" s="171" t="s">
        <v>166</v>
      </c>
      <c r="B205" s="165" t="s">
        <v>313</v>
      </c>
      <c r="C205" s="165"/>
      <c r="D205" s="165" t="s">
        <v>168</v>
      </c>
      <c r="E205" s="167"/>
      <c r="F205" s="168" t="s">
        <v>330</v>
      </c>
      <c r="G205" s="168" t="s">
        <v>318</v>
      </c>
      <c r="H205" s="168"/>
      <c r="I205" s="168" t="s">
        <v>321</v>
      </c>
      <c r="U205" s="112">
        <v>6072</v>
      </c>
      <c r="V205" s="112">
        <v>7509</v>
      </c>
      <c r="W205" s="112">
        <v>8260</v>
      </c>
      <c r="X205" s="128">
        <v>6500</v>
      </c>
      <c r="Y205" s="128">
        <v>6000</v>
      </c>
      <c r="Z205" s="128">
        <v>5400</v>
      </c>
      <c r="AA205" s="128">
        <v>5400</v>
      </c>
      <c r="AB205" s="128">
        <v>5400</v>
      </c>
      <c r="AC205" s="128">
        <v>5616</v>
      </c>
      <c r="AD205" s="128">
        <v>5841</v>
      </c>
      <c r="AE205" s="128">
        <v>6075</v>
      </c>
      <c r="AF205" s="128">
        <v>6318</v>
      </c>
      <c r="AG205" s="128">
        <v>6628</v>
      </c>
      <c r="AH205" s="128">
        <v>6893</v>
      </c>
      <c r="AI205" s="128">
        <v>7169</v>
      </c>
      <c r="AJ205" s="128">
        <f t="shared" si="77"/>
        <v>7455.76</v>
      </c>
      <c r="AK205" s="128">
        <f t="shared" si="77"/>
        <v>7753.9904000000006</v>
      </c>
      <c r="AL205" s="128">
        <f t="shared" si="77"/>
        <v>8064.1500160000005</v>
      </c>
      <c r="AM205" s="128">
        <f t="shared" si="77"/>
        <v>8386.7160166400008</v>
      </c>
      <c r="AN205" s="128">
        <f t="shared" si="77"/>
        <v>8722.1846573056009</v>
      </c>
      <c r="AO205" s="128">
        <f t="shared" si="77"/>
        <v>9071.0720435978255</v>
      </c>
      <c r="AP205" s="128">
        <f t="shared" si="77"/>
        <v>9433.9149253417381</v>
      </c>
      <c r="AQ205" s="128">
        <f t="shared" si="77"/>
        <v>9811.2715223554078</v>
      </c>
      <c r="AR205" s="128">
        <f t="shared" si="77"/>
        <v>10203.722383249624</v>
      </c>
      <c r="AS205" s="128">
        <f t="shared" si="77"/>
        <v>10611.871278579609</v>
      </c>
      <c r="AT205" s="128">
        <f t="shared" si="77"/>
        <v>11036.346129722793</v>
      </c>
      <c r="AU205" s="128">
        <f t="shared" si="77"/>
        <v>11477.799974911706</v>
      </c>
      <c r="AV205" s="128">
        <f t="shared" si="77"/>
        <v>11936.911973908174</v>
      </c>
      <c r="AW205" s="128">
        <f t="shared" si="77"/>
        <v>12414.388452864501</v>
      </c>
      <c r="AX205" s="128">
        <f t="shared" si="77"/>
        <v>12910.963990979082</v>
      </c>
      <c r="AY205" s="128">
        <f t="shared" si="77"/>
        <v>13427.402550618246</v>
      </c>
      <c r="AZ205" s="129">
        <f t="shared" si="78"/>
        <v>13964.498652642977</v>
      </c>
      <c r="BA205" s="129">
        <f t="shared" si="78"/>
        <v>14523.078598748696</v>
      </c>
      <c r="BB205" s="129">
        <f t="shared" si="78"/>
        <v>15104.001742698645</v>
      </c>
      <c r="BC205" s="129">
        <f t="shared" si="78"/>
        <v>15708.161812406592</v>
      </c>
      <c r="BD205" s="129">
        <f t="shared" si="78"/>
        <v>16336.488284902856</v>
      </c>
      <c r="BE205" s="129">
        <f t="shared" si="78"/>
        <v>16989.947816298973</v>
      </c>
      <c r="BF205" s="129">
        <f t="shared" si="78"/>
        <v>17669.545728950932</v>
      </c>
      <c r="BG205" s="129">
        <f t="shared" si="78"/>
        <v>18376.327558108969</v>
      </c>
    </row>
    <row r="206" spans="1:59" ht="13.75" customHeight="1">
      <c r="A206" s="171" t="s">
        <v>166</v>
      </c>
      <c r="B206" s="165" t="s">
        <v>313</v>
      </c>
      <c r="C206" s="165"/>
      <c r="D206" s="165" t="s">
        <v>168</v>
      </c>
      <c r="E206" s="167"/>
      <c r="F206" s="168" t="s">
        <v>331</v>
      </c>
      <c r="G206" s="168" t="s">
        <v>318</v>
      </c>
      <c r="H206" s="168"/>
      <c r="I206" s="168" t="s">
        <v>332</v>
      </c>
      <c r="U206" s="112">
        <v>0</v>
      </c>
      <c r="V206" s="112">
        <v>5860</v>
      </c>
      <c r="W206" s="112">
        <v>6446</v>
      </c>
      <c r="X206" s="128">
        <v>3000</v>
      </c>
      <c r="Y206" s="128">
        <v>3000</v>
      </c>
      <c r="Z206" s="128">
        <v>7800</v>
      </c>
      <c r="AA206" s="128">
        <v>8662</v>
      </c>
      <c r="AB206" s="128">
        <v>9241</v>
      </c>
      <c r="AC206" s="128">
        <v>9535</v>
      </c>
      <c r="AD206" s="128">
        <v>9916</v>
      </c>
      <c r="AE206" s="128">
        <v>10114.32</v>
      </c>
      <c r="AF206" s="128">
        <v>10316.606400000001</v>
      </c>
      <c r="AG206" s="128">
        <v>10522.938528000001</v>
      </c>
      <c r="AH206" s="128">
        <v>10733.397298560001</v>
      </c>
      <c r="AI206" s="128">
        <v>10948.065244531201</v>
      </c>
      <c r="AJ206" s="128">
        <f t="shared" si="77"/>
        <v>11385.987854312449</v>
      </c>
      <c r="AK206" s="128">
        <f t="shared" si="77"/>
        <v>11841.427368484947</v>
      </c>
      <c r="AL206" s="128">
        <f t="shared" si="77"/>
        <v>12315.084463224344</v>
      </c>
      <c r="AM206" s="128">
        <f t="shared" si="77"/>
        <v>12807.687841753319</v>
      </c>
      <c r="AN206" s="128">
        <f t="shared" si="77"/>
        <v>13319.995355423453</v>
      </c>
      <c r="AO206" s="128">
        <f t="shared" si="77"/>
        <v>13852.795169640391</v>
      </c>
      <c r="AP206" s="128">
        <f t="shared" si="77"/>
        <v>14406.906976426008</v>
      </c>
      <c r="AQ206" s="128">
        <f t="shared" si="77"/>
        <v>14983.183255483049</v>
      </c>
      <c r="AR206" s="128">
        <f t="shared" si="77"/>
        <v>15582.510585702372</v>
      </c>
      <c r="AS206" s="128">
        <f t="shared" si="77"/>
        <v>16205.811009130468</v>
      </c>
      <c r="AT206" s="128">
        <f t="shared" si="77"/>
        <v>16854.043449495686</v>
      </c>
      <c r="AU206" s="128">
        <f t="shared" si="77"/>
        <v>17528.205187475513</v>
      </c>
      <c r="AV206" s="128">
        <f t="shared" si="77"/>
        <v>18229.333394974532</v>
      </c>
      <c r="AW206" s="128">
        <f t="shared" si="77"/>
        <v>18958.506730773515</v>
      </c>
      <c r="AX206" s="128">
        <f t="shared" si="77"/>
        <v>19716.847000004458</v>
      </c>
      <c r="AY206" s="128">
        <f t="shared" si="77"/>
        <v>20505.520880004638</v>
      </c>
      <c r="AZ206" s="128">
        <f t="shared" si="78"/>
        <v>21325.741715204826</v>
      </c>
      <c r="BA206" s="128">
        <f t="shared" si="78"/>
        <v>22178.771383813018</v>
      </c>
      <c r="BB206" s="128">
        <f t="shared" si="78"/>
        <v>23065.922239165538</v>
      </c>
      <c r="BC206" s="128">
        <f t="shared" si="78"/>
        <v>23988.559128732162</v>
      </c>
      <c r="BD206" s="128">
        <f t="shared" si="78"/>
        <v>24948.101493881448</v>
      </c>
      <c r="BE206" s="128">
        <f t="shared" si="78"/>
        <v>25946.025553636708</v>
      </c>
      <c r="BF206" s="128">
        <f t="shared" si="78"/>
        <v>26983.866575782176</v>
      </c>
      <c r="BG206" s="128">
        <f t="shared" si="78"/>
        <v>28063.221238813465</v>
      </c>
    </row>
    <row r="207" spans="1:59" ht="13.75" customHeight="1">
      <c r="A207" s="171" t="s">
        <v>166</v>
      </c>
      <c r="B207" s="165" t="s">
        <v>313</v>
      </c>
      <c r="C207" s="165"/>
      <c r="D207" s="165" t="s">
        <v>168</v>
      </c>
      <c r="E207" s="167"/>
      <c r="F207" s="168" t="s">
        <v>333</v>
      </c>
      <c r="G207" s="168" t="s">
        <v>318</v>
      </c>
      <c r="H207" s="168"/>
      <c r="I207" s="168" t="s">
        <v>321</v>
      </c>
      <c r="U207" s="112">
        <v>0</v>
      </c>
      <c r="V207" s="112">
        <v>0</v>
      </c>
      <c r="W207" s="112">
        <v>0</v>
      </c>
      <c r="X207" s="128">
        <v>2300</v>
      </c>
      <c r="Y207" s="128">
        <v>3000</v>
      </c>
      <c r="Z207" s="128">
        <v>2800</v>
      </c>
      <c r="AA207" s="128">
        <v>2800</v>
      </c>
      <c r="AB207" s="128">
        <v>2929.2579999999998</v>
      </c>
      <c r="AC207" s="128">
        <v>3057.7420000000002</v>
      </c>
      <c r="AD207" s="128">
        <v>3187</v>
      </c>
      <c r="AE207" s="128">
        <v>3316.2579999999998</v>
      </c>
      <c r="AF207" s="128">
        <v>3444.7420000000002</v>
      </c>
      <c r="AG207" s="128">
        <v>3574</v>
      </c>
      <c r="AH207" s="129">
        <f t="shared" ref="AH207:AW207" si="83">AG207*(1+AH$3)</f>
        <v>3686.9013141209903</v>
      </c>
      <c r="AI207" s="129">
        <f t="shared" si="83"/>
        <v>3833.1446294111192</v>
      </c>
      <c r="AJ207" s="129">
        <f t="shared" si="83"/>
        <v>3986.4704145875639</v>
      </c>
      <c r="AK207" s="129">
        <f t="shared" si="83"/>
        <v>4145.9292311710669</v>
      </c>
      <c r="AL207" s="129">
        <f t="shared" si="83"/>
        <v>4311.7664004179096</v>
      </c>
      <c r="AM207" s="129">
        <f t="shared" si="83"/>
        <v>4484.2370564346265</v>
      </c>
      <c r="AN207" s="129">
        <f t="shared" si="83"/>
        <v>4663.6065386920118</v>
      </c>
      <c r="AO207" s="129">
        <f t="shared" si="83"/>
        <v>4850.1508002396922</v>
      </c>
      <c r="AP207" s="129">
        <f t="shared" si="83"/>
        <v>5044.1568322492803</v>
      </c>
      <c r="AQ207" s="129">
        <f t="shared" si="83"/>
        <v>5245.923105539252</v>
      </c>
      <c r="AR207" s="129">
        <f t="shared" si="83"/>
        <v>5455.7600297608224</v>
      </c>
      <c r="AS207" s="129">
        <f t="shared" si="83"/>
        <v>5673.9904309512558</v>
      </c>
      <c r="AT207" s="129">
        <f t="shared" si="83"/>
        <v>5900.9500481893065</v>
      </c>
      <c r="AU207" s="129">
        <f t="shared" si="83"/>
        <v>6136.9880501168791</v>
      </c>
      <c r="AV207" s="129">
        <f t="shared" si="83"/>
        <v>6382.4675721215544</v>
      </c>
      <c r="AW207" s="129">
        <f t="shared" si="83"/>
        <v>6637.7662750064164</v>
      </c>
      <c r="AX207" s="129">
        <f t="shared" si="77"/>
        <v>6903.2769260066734</v>
      </c>
      <c r="AY207" s="129">
        <f t="shared" si="77"/>
        <v>7179.4080030469404</v>
      </c>
      <c r="AZ207" s="129">
        <f t="shared" si="78"/>
        <v>7466.5843231688186</v>
      </c>
      <c r="BA207" s="129">
        <f t="shared" si="78"/>
        <v>7765.2476960955719</v>
      </c>
      <c r="BB207" s="129">
        <f t="shared" si="78"/>
        <v>8075.8576039393947</v>
      </c>
      <c r="BC207" s="129">
        <f t="shared" si="78"/>
        <v>8398.8919080969699</v>
      </c>
      <c r="BD207" s="129">
        <f t="shared" si="78"/>
        <v>8734.8475844208497</v>
      </c>
      <c r="BE207" s="129">
        <f t="shared" si="78"/>
        <v>9084.2414877976844</v>
      </c>
      <c r="BF207" s="129">
        <f t="shared" si="78"/>
        <v>9447.6111473095916</v>
      </c>
      <c r="BG207" s="129">
        <f t="shared" si="78"/>
        <v>9825.5155932019752</v>
      </c>
    </row>
    <row r="208" spans="1:59" ht="13.75" customHeight="1">
      <c r="A208" s="171" t="s">
        <v>166</v>
      </c>
      <c r="B208" s="165" t="s">
        <v>313</v>
      </c>
      <c r="C208" s="165"/>
      <c r="D208" s="165" t="s">
        <v>168</v>
      </c>
      <c r="F208" s="168" t="s">
        <v>334</v>
      </c>
      <c r="G208" s="168" t="s">
        <v>318</v>
      </c>
      <c r="I208" s="168" t="s">
        <v>321</v>
      </c>
      <c r="U208" s="112">
        <v>0</v>
      </c>
      <c r="V208" s="112">
        <v>0</v>
      </c>
      <c r="W208" s="112">
        <v>0</v>
      </c>
      <c r="X208" s="128">
        <v>2300</v>
      </c>
      <c r="Y208" s="128">
        <v>3000</v>
      </c>
      <c r="Z208" s="128">
        <v>2800</v>
      </c>
      <c r="AA208" s="128">
        <v>2800</v>
      </c>
      <c r="AB208" s="128">
        <v>2800</v>
      </c>
      <c r="AC208" s="128">
        <v>2800</v>
      </c>
      <c r="AD208" s="128">
        <v>2800</v>
      </c>
      <c r="AE208" s="128">
        <v>2800</v>
      </c>
      <c r="AF208" s="128">
        <v>2800</v>
      </c>
      <c r="AG208" s="128">
        <v>2800</v>
      </c>
      <c r="AH208" s="128">
        <v>2800</v>
      </c>
      <c r="AI208" s="128">
        <v>2800</v>
      </c>
      <c r="AJ208" s="128">
        <f t="shared" si="77"/>
        <v>2912</v>
      </c>
      <c r="AK208" s="128">
        <f t="shared" si="77"/>
        <v>3028.48</v>
      </c>
      <c r="AL208" s="128">
        <f t="shared" si="77"/>
        <v>3149.6192000000001</v>
      </c>
      <c r="AM208" s="128">
        <f t="shared" si="77"/>
        <v>3275.6039680000004</v>
      </c>
      <c r="AN208" s="128">
        <f t="shared" si="77"/>
        <v>3406.6281267200006</v>
      </c>
      <c r="AO208" s="128">
        <f t="shared" si="77"/>
        <v>3542.8932517888006</v>
      </c>
      <c r="AP208" s="128">
        <f t="shared" si="77"/>
        <v>3684.6089818603527</v>
      </c>
      <c r="AQ208" s="128">
        <f t="shared" si="77"/>
        <v>3831.993341134767</v>
      </c>
      <c r="AR208" s="128">
        <f t="shared" si="77"/>
        <v>3985.2730747801579</v>
      </c>
      <c r="AS208" s="128">
        <f t="shared" si="77"/>
        <v>4144.6839977713644</v>
      </c>
      <c r="AT208" s="128">
        <f t="shared" si="77"/>
        <v>4310.4713576822187</v>
      </c>
      <c r="AU208" s="128">
        <f t="shared" si="77"/>
        <v>4482.8902119895074</v>
      </c>
      <c r="AV208" s="128">
        <f t="shared" si="77"/>
        <v>4662.2058204690875</v>
      </c>
      <c r="AW208" s="128">
        <f t="shared" si="77"/>
        <v>4848.6940532878516</v>
      </c>
      <c r="AX208" s="128">
        <f t="shared" si="77"/>
        <v>5042.6418154193661</v>
      </c>
      <c r="AY208" s="128">
        <f t="shared" si="77"/>
        <v>5244.3474880361409</v>
      </c>
      <c r="AZ208" s="129">
        <f>AY208*(1+AZ$3)</f>
        <v>5454.1213875575868</v>
      </c>
      <c r="BA208" s="129">
        <f t="shared" si="78"/>
        <v>5672.2862430598907</v>
      </c>
      <c r="BB208" s="129">
        <f t="shared" si="78"/>
        <v>5899.1776927822866</v>
      </c>
      <c r="BC208" s="129">
        <f t="shared" si="78"/>
        <v>6135.1448004935783</v>
      </c>
      <c r="BD208" s="129">
        <f t="shared" si="78"/>
        <v>6380.550592513322</v>
      </c>
      <c r="BE208" s="129">
        <f t="shared" si="78"/>
        <v>6635.7726162138551</v>
      </c>
      <c r="BF208" s="129">
        <f t="shared" si="78"/>
        <v>6901.2035208624093</v>
      </c>
      <c r="BG208" s="129">
        <f t="shared" si="78"/>
        <v>7177.251661696906</v>
      </c>
    </row>
    <row r="209" spans="1:59" ht="13.75" customHeight="1">
      <c r="A209" s="171" t="s">
        <v>166</v>
      </c>
      <c r="B209" s="165" t="s">
        <v>313</v>
      </c>
      <c r="C209" s="165"/>
      <c r="D209" s="165" t="s">
        <v>168</v>
      </c>
      <c r="E209" s="167"/>
      <c r="F209" s="168" t="s">
        <v>335</v>
      </c>
      <c r="G209" s="168" t="s">
        <v>3</v>
      </c>
      <c r="H209" s="168"/>
      <c r="I209" s="168" t="s">
        <v>336</v>
      </c>
      <c r="U209" s="107"/>
      <c r="V209" s="107"/>
      <c r="W209" s="107"/>
      <c r="X209" s="107">
        <v>0.42</v>
      </c>
      <c r="Y209" s="107">
        <v>0.42</v>
      </c>
      <c r="Z209" s="107">
        <v>0.3</v>
      </c>
      <c r="AA209" s="107">
        <v>0.3</v>
      </c>
      <c r="AB209" s="107">
        <v>0.3</v>
      </c>
      <c r="AC209" s="107">
        <v>0.3</v>
      </c>
      <c r="AD209" s="107">
        <v>0.3</v>
      </c>
      <c r="AE209" s="107">
        <v>0.3</v>
      </c>
      <c r="AF209" s="107">
        <v>0.3</v>
      </c>
      <c r="AG209" s="107">
        <v>0.3</v>
      </c>
      <c r="AH209" s="107">
        <v>0.3</v>
      </c>
      <c r="AI209" s="107">
        <v>0.3</v>
      </c>
      <c r="AJ209" s="107">
        <v>0.3</v>
      </c>
      <c r="AK209" s="107">
        <v>0.3</v>
      </c>
      <c r="AL209" s="107">
        <v>0.3</v>
      </c>
      <c r="AM209" s="107">
        <v>0.3</v>
      </c>
      <c r="AN209" s="107">
        <v>0.3</v>
      </c>
      <c r="AO209" s="107">
        <v>0.3</v>
      </c>
      <c r="AP209" s="107">
        <v>0.3</v>
      </c>
      <c r="AQ209" s="107">
        <v>0.3</v>
      </c>
      <c r="AR209" s="107">
        <v>0.3</v>
      </c>
      <c r="AS209" s="107">
        <v>0.3</v>
      </c>
      <c r="AT209" s="107">
        <v>0.3</v>
      </c>
      <c r="AU209" s="107">
        <v>0.3</v>
      </c>
      <c r="AV209" s="107">
        <v>0.3</v>
      </c>
      <c r="AW209" s="107">
        <v>0.3</v>
      </c>
      <c r="AX209" s="107">
        <v>0.3</v>
      </c>
      <c r="AY209" s="107">
        <v>0.3</v>
      </c>
      <c r="AZ209" s="107">
        <f t="shared" ref="AZ209:BG215" si="84">AY209</f>
        <v>0.3</v>
      </c>
      <c r="BA209" s="107">
        <f t="shared" si="84"/>
        <v>0.3</v>
      </c>
      <c r="BB209" s="107">
        <f t="shared" si="84"/>
        <v>0.3</v>
      </c>
      <c r="BC209" s="107">
        <f t="shared" si="84"/>
        <v>0.3</v>
      </c>
      <c r="BD209" s="107">
        <f t="shared" si="84"/>
        <v>0.3</v>
      </c>
      <c r="BE209" s="107">
        <f t="shared" si="84"/>
        <v>0.3</v>
      </c>
      <c r="BF209" s="107">
        <f t="shared" si="84"/>
        <v>0.3</v>
      </c>
      <c r="BG209" s="107">
        <f t="shared" si="84"/>
        <v>0.3</v>
      </c>
    </row>
    <row r="210" spans="1:59" ht="13.75" customHeight="1">
      <c r="A210" s="171" t="s">
        <v>166</v>
      </c>
      <c r="B210" s="165" t="s">
        <v>313</v>
      </c>
      <c r="C210" s="165"/>
      <c r="D210" s="165" t="s">
        <v>168</v>
      </c>
      <c r="E210" s="167"/>
      <c r="F210" s="168" t="s">
        <v>337</v>
      </c>
      <c r="G210" s="168" t="s">
        <v>3</v>
      </c>
      <c r="H210" s="168"/>
      <c r="I210" s="168" t="s">
        <v>338</v>
      </c>
      <c r="U210" s="107"/>
      <c r="V210" s="107"/>
      <c r="W210" s="107"/>
      <c r="X210" s="107">
        <v>0.48</v>
      </c>
      <c r="Y210" s="107">
        <v>0.4</v>
      </c>
      <c r="Z210" s="107">
        <v>0.3</v>
      </c>
      <c r="AA210" s="107">
        <v>0.3</v>
      </c>
      <c r="AB210" s="107">
        <v>0.3</v>
      </c>
      <c r="AC210" s="107">
        <v>0.3</v>
      </c>
      <c r="AD210" s="107">
        <v>0.3</v>
      </c>
      <c r="AE210" s="107">
        <v>0.3</v>
      </c>
      <c r="AF210" s="107">
        <v>0.3</v>
      </c>
      <c r="AG210" s="107">
        <v>0.3</v>
      </c>
      <c r="AH210" s="107">
        <v>0.3</v>
      </c>
      <c r="AI210" s="107">
        <v>0.3</v>
      </c>
      <c r="AJ210" s="107">
        <v>0.3</v>
      </c>
      <c r="AK210" s="107">
        <v>0.3</v>
      </c>
      <c r="AL210" s="107">
        <v>0.3</v>
      </c>
      <c r="AM210" s="107">
        <v>0.3</v>
      </c>
      <c r="AN210" s="107">
        <v>0.3</v>
      </c>
      <c r="AO210" s="107">
        <v>0.3</v>
      </c>
      <c r="AP210" s="107">
        <v>0.3</v>
      </c>
      <c r="AQ210" s="107">
        <v>0.3</v>
      </c>
      <c r="AR210" s="107">
        <v>0.3</v>
      </c>
      <c r="AS210" s="107">
        <v>0.3</v>
      </c>
      <c r="AT210" s="107">
        <v>0.3</v>
      </c>
      <c r="AU210" s="107">
        <v>0.3</v>
      </c>
      <c r="AV210" s="107">
        <v>0.3</v>
      </c>
      <c r="AW210" s="107">
        <v>0.3</v>
      </c>
      <c r="AX210" s="107">
        <v>0.3</v>
      </c>
      <c r="AY210" s="107">
        <v>0.3</v>
      </c>
      <c r="AZ210" s="107">
        <f t="shared" si="84"/>
        <v>0.3</v>
      </c>
      <c r="BA210" s="107">
        <f t="shared" si="84"/>
        <v>0.3</v>
      </c>
      <c r="BB210" s="107">
        <f t="shared" si="84"/>
        <v>0.3</v>
      </c>
      <c r="BC210" s="107">
        <f t="shared" si="84"/>
        <v>0.3</v>
      </c>
      <c r="BD210" s="107">
        <f t="shared" si="84"/>
        <v>0.3</v>
      </c>
      <c r="BE210" s="107">
        <f t="shared" si="84"/>
        <v>0.3</v>
      </c>
      <c r="BF210" s="107">
        <f t="shared" si="84"/>
        <v>0.3</v>
      </c>
      <c r="BG210" s="107">
        <f t="shared" si="84"/>
        <v>0.3</v>
      </c>
    </row>
    <row r="211" spans="1:59" ht="13.75" customHeight="1">
      <c r="A211" s="171" t="s">
        <v>166</v>
      </c>
      <c r="B211" s="165" t="s">
        <v>313</v>
      </c>
      <c r="C211" s="165"/>
      <c r="D211" s="165" t="s">
        <v>168</v>
      </c>
      <c r="E211" s="167"/>
      <c r="F211" s="168" t="s">
        <v>339</v>
      </c>
      <c r="G211" s="168" t="s">
        <v>3</v>
      </c>
      <c r="H211" s="168"/>
      <c r="I211" s="168" t="s">
        <v>338</v>
      </c>
      <c r="U211" s="107"/>
      <c r="V211" s="107"/>
      <c r="W211" s="107"/>
      <c r="X211" s="107">
        <v>0.78</v>
      </c>
      <c r="Y211" s="107">
        <v>0.61</v>
      </c>
      <c r="Z211" s="107">
        <v>0.3</v>
      </c>
      <c r="AA211" s="107">
        <v>0.3</v>
      </c>
      <c r="AB211" s="107">
        <v>0.3</v>
      </c>
      <c r="AC211" s="107">
        <v>0.3</v>
      </c>
      <c r="AD211" s="107">
        <v>0.3</v>
      </c>
      <c r="AE211" s="107">
        <v>0.3</v>
      </c>
      <c r="AF211" s="107">
        <v>0.3</v>
      </c>
      <c r="AG211" s="107">
        <v>0.3</v>
      </c>
      <c r="AH211" s="107">
        <v>0.3</v>
      </c>
      <c r="AI211" s="107">
        <v>0.3</v>
      </c>
      <c r="AJ211" s="107">
        <v>0.3</v>
      </c>
      <c r="AK211" s="107">
        <v>0.3</v>
      </c>
      <c r="AL211" s="107">
        <v>0.3</v>
      </c>
      <c r="AM211" s="107">
        <v>0.3</v>
      </c>
      <c r="AN211" s="107">
        <v>0.3</v>
      </c>
      <c r="AO211" s="107">
        <v>0.3</v>
      </c>
      <c r="AP211" s="107">
        <v>0.3</v>
      </c>
      <c r="AQ211" s="107">
        <v>0.3</v>
      </c>
      <c r="AR211" s="107">
        <v>0.3</v>
      </c>
      <c r="AS211" s="107">
        <v>0.3</v>
      </c>
      <c r="AT211" s="107">
        <v>0.3</v>
      </c>
      <c r="AU211" s="107">
        <v>0.3</v>
      </c>
      <c r="AV211" s="107">
        <v>0.3</v>
      </c>
      <c r="AW211" s="107">
        <v>0.3</v>
      </c>
      <c r="AX211" s="107">
        <v>0.3</v>
      </c>
      <c r="AY211" s="107">
        <v>0.3</v>
      </c>
      <c r="AZ211" s="107">
        <f t="shared" si="84"/>
        <v>0.3</v>
      </c>
      <c r="BA211" s="107">
        <f t="shared" si="84"/>
        <v>0.3</v>
      </c>
      <c r="BB211" s="107">
        <f t="shared" si="84"/>
        <v>0.3</v>
      </c>
      <c r="BC211" s="107">
        <f t="shared" si="84"/>
        <v>0.3</v>
      </c>
      <c r="BD211" s="107">
        <f t="shared" si="84"/>
        <v>0.3</v>
      </c>
      <c r="BE211" s="107">
        <f t="shared" si="84"/>
        <v>0.3</v>
      </c>
      <c r="BF211" s="107">
        <f t="shared" si="84"/>
        <v>0.3</v>
      </c>
      <c r="BG211" s="107">
        <f t="shared" si="84"/>
        <v>0.3</v>
      </c>
    </row>
    <row r="212" spans="1:59" ht="13.75" customHeight="1">
      <c r="A212" s="171" t="s">
        <v>166</v>
      </c>
      <c r="B212" s="165" t="s">
        <v>313</v>
      </c>
      <c r="C212" s="165"/>
      <c r="D212" s="165" t="s">
        <v>168</v>
      </c>
      <c r="E212" s="167"/>
      <c r="F212" s="168" t="s">
        <v>340</v>
      </c>
      <c r="G212" s="168" t="s">
        <v>3</v>
      </c>
      <c r="H212" s="168"/>
      <c r="I212" s="168" t="s">
        <v>338</v>
      </c>
      <c r="U212" s="107"/>
      <c r="V212" s="107"/>
      <c r="W212" s="107"/>
      <c r="X212" s="107">
        <v>0.85</v>
      </c>
      <c r="Y212" s="107">
        <v>0.71</v>
      </c>
      <c r="Z212" s="107">
        <v>0.55000000000000004</v>
      </c>
      <c r="AA212" s="107">
        <v>0.55000000000000004</v>
      </c>
      <c r="AB212" s="107">
        <v>0.55000000000000004</v>
      </c>
      <c r="AC212" s="107">
        <v>0.55000000000000004</v>
      </c>
      <c r="AD212" s="107">
        <v>0.55000000000000004</v>
      </c>
      <c r="AE212" s="107">
        <v>0.55000000000000004</v>
      </c>
      <c r="AF212" s="107">
        <v>0.55000000000000004</v>
      </c>
      <c r="AG212" s="107">
        <v>0.55000000000000004</v>
      </c>
      <c r="AH212" s="107">
        <v>0.55000000000000004</v>
      </c>
      <c r="AI212" s="107">
        <v>0.55000000000000004</v>
      </c>
      <c r="AJ212" s="107">
        <v>0.55000000000000004</v>
      </c>
      <c r="AK212" s="107">
        <v>0.55000000000000004</v>
      </c>
      <c r="AL212" s="107">
        <v>0.55000000000000004</v>
      </c>
      <c r="AM212" s="107">
        <v>0.55000000000000004</v>
      </c>
      <c r="AN212" s="107">
        <v>0.55000000000000004</v>
      </c>
      <c r="AO212" s="107">
        <v>0.55000000000000004</v>
      </c>
      <c r="AP212" s="107">
        <v>0.55000000000000004</v>
      </c>
      <c r="AQ212" s="107">
        <v>0.55000000000000004</v>
      </c>
      <c r="AR212" s="107">
        <v>0.55000000000000004</v>
      </c>
      <c r="AS212" s="107">
        <v>0.55000000000000004</v>
      </c>
      <c r="AT212" s="107">
        <v>0.55000000000000004</v>
      </c>
      <c r="AU212" s="107">
        <v>0.55000000000000004</v>
      </c>
      <c r="AV212" s="107">
        <v>0.55000000000000004</v>
      </c>
      <c r="AW212" s="107">
        <v>0.55000000000000004</v>
      </c>
      <c r="AX212" s="107">
        <v>0.55000000000000004</v>
      </c>
      <c r="AY212" s="107">
        <v>0.55000000000000004</v>
      </c>
      <c r="AZ212" s="107">
        <f t="shared" si="84"/>
        <v>0.55000000000000004</v>
      </c>
      <c r="BA212" s="107">
        <f t="shared" si="84"/>
        <v>0.55000000000000004</v>
      </c>
      <c r="BB212" s="107">
        <f t="shared" si="84"/>
        <v>0.55000000000000004</v>
      </c>
      <c r="BC212" s="107">
        <f t="shared" si="84"/>
        <v>0.55000000000000004</v>
      </c>
      <c r="BD212" s="107">
        <f t="shared" si="84"/>
        <v>0.55000000000000004</v>
      </c>
      <c r="BE212" s="107">
        <f t="shared" si="84"/>
        <v>0.55000000000000004</v>
      </c>
      <c r="BF212" s="107">
        <f t="shared" si="84"/>
        <v>0.55000000000000004</v>
      </c>
      <c r="BG212" s="107">
        <f t="shared" si="84"/>
        <v>0.55000000000000004</v>
      </c>
    </row>
    <row r="213" spans="1:59" ht="13.75" customHeight="1">
      <c r="A213" s="171" t="s">
        <v>166</v>
      </c>
      <c r="B213" s="165" t="s">
        <v>313</v>
      </c>
      <c r="C213" s="165"/>
      <c r="D213" s="165" t="s">
        <v>168</v>
      </c>
      <c r="E213" s="167"/>
      <c r="F213" s="168" t="s">
        <v>341</v>
      </c>
      <c r="G213" s="168" t="s">
        <v>3</v>
      </c>
      <c r="H213" s="168"/>
      <c r="I213" s="168" t="s">
        <v>338</v>
      </c>
      <c r="U213" s="107"/>
      <c r="V213" s="107"/>
      <c r="W213" s="107"/>
      <c r="X213" s="107">
        <v>0.76</v>
      </c>
      <c r="Y213" s="107">
        <v>0.82</v>
      </c>
      <c r="Z213" s="107">
        <v>1</v>
      </c>
      <c r="AA213" s="107">
        <v>1</v>
      </c>
      <c r="AB213" s="107">
        <v>1</v>
      </c>
      <c r="AC213" s="107">
        <v>1</v>
      </c>
      <c r="AD213" s="107">
        <v>1</v>
      </c>
      <c r="AE213" s="107">
        <v>1</v>
      </c>
      <c r="AF213" s="107">
        <v>1</v>
      </c>
      <c r="AG213" s="107">
        <v>1</v>
      </c>
      <c r="AH213" s="107">
        <v>1</v>
      </c>
      <c r="AI213" s="107">
        <v>1</v>
      </c>
      <c r="AJ213" s="107">
        <v>1</v>
      </c>
      <c r="AK213" s="107">
        <v>1</v>
      </c>
      <c r="AL213" s="107">
        <v>1</v>
      </c>
      <c r="AM213" s="107">
        <v>1</v>
      </c>
      <c r="AN213" s="107">
        <v>1</v>
      </c>
      <c r="AO213" s="107">
        <v>1</v>
      </c>
      <c r="AP213" s="107">
        <v>1</v>
      </c>
      <c r="AQ213" s="107">
        <v>1</v>
      </c>
      <c r="AR213" s="107">
        <v>1</v>
      </c>
      <c r="AS213" s="107">
        <v>1</v>
      </c>
      <c r="AT213" s="107">
        <v>1</v>
      </c>
      <c r="AU213" s="107">
        <v>1</v>
      </c>
      <c r="AV213" s="107">
        <v>1</v>
      </c>
      <c r="AW213" s="107">
        <v>1</v>
      </c>
      <c r="AX213" s="107">
        <v>1</v>
      </c>
      <c r="AY213" s="107">
        <v>1</v>
      </c>
      <c r="AZ213" s="107">
        <f t="shared" si="84"/>
        <v>1</v>
      </c>
      <c r="BA213" s="107">
        <f t="shared" si="84"/>
        <v>1</v>
      </c>
      <c r="BB213" s="107">
        <f t="shared" si="84"/>
        <v>1</v>
      </c>
      <c r="BC213" s="107">
        <f t="shared" si="84"/>
        <v>1</v>
      </c>
      <c r="BD213" s="107">
        <f t="shared" si="84"/>
        <v>1</v>
      </c>
      <c r="BE213" s="107">
        <f t="shared" si="84"/>
        <v>1</v>
      </c>
      <c r="BF213" s="107">
        <f t="shared" si="84"/>
        <v>1</v>
      </c>
      <c r="BG213" s="107">
        <f t="shared" si="84"/>
        <v>1</v>
      </c>
    </row>
    <row r="214" spans="1:59" ht="13.75" customHeight="1">
      <c r="A214" s="171" t="s">
        <v>166</v>
      </c>
      <c r="B214" s="165" t="s">
        <v>313</v>
      </c>
      <c r="C214" s="165"/>
      <c r="D214" s="165" t="s">
        <v>168</v>
      </c>
      <c r="E214" s="167"/>
      <c r="F214" s="168" t="s">
        <v>342</v>
      </c>
      <c r="G214" s="168" t="s">
        <v>3</v>
      </c>
      <c r="H214" s="168"/>
      <c r="I214" s="168" t="s">
        <v>338</v>
      </c>
      <c r="U214" s="107"/>
      <c r="V214" s="107"/>
      <c r="W214" s="107"/>
      <c r="X214" s="107">
        <v>0.48</v>
      </c>
      <c r="Y214" s="107">
        <v>0.4</v>
      </c>
      <c r="Z214" s="107">
        <v>0.3</v>
      </c>
      <c r="AA214" s="107">
        <v>0.3</v>
      </c>
      <c r="AB214" s="107">
        <v>0.3</v>
      </c>
      <c r="AC214" s="107">
        <v>0.3</v>
      </c>
      <c r="AD214" s="107">
        <v>0.3</v>
      </c>
      <c r="AE214" s="107">
        <v>0.3</v>
      </c>
      <c r="AF214" s="107">
        <v>0.3</v>
      </c>
      <c r="AG214" s="107">
        <v>0.3</v>
      </c>
      <c r="AH214" s="107">
        <v>0.3</v>
      </c>
      <c r="AI214" s="107">
        <v>0.3</v>
      </c>
      <c r="AJ214" s="107">
        <v>0.3</v>
      </c>
      <c r="AK214" s="107">
        <v>0.3</v>
      </c>
      <c r="AL214" s="107">
        <v>0.3</v>
      </c>
      <c r="AM214" s="107">
        <v>0.3</v>
      </c>
      <c r="AN214" s="107">
        <v>0.3</v>
      </c>
      <c r="AO214" s="107">
        <v>0.3</v>
      </c>
      <c r="AP214" s="107">
        <v>0.3</v>
      </c>
      <c r="AQ214" s="107">
        <v>0.3</v>
      </c>
      <c r="AR214" s="107">
        <v>0.3</v>
      </c>
      <c r="AS214" s="107">
        <v>0.3</v>
      </c>
      <c r="AT214" s="107">
        <v>0.3</v>
      </c>
      <c r="AU214" s="107">
        <v>0.3</v>
      </c>
      <c r="AV214" s="107">
        <v>0.3</v>
      </c>
      <c r="AW214" s="107">
        <v>0.3</v>
      </c>
      <c r="AX214" s="107">
        <v>0.3</v>
      </c>
      <c r="AY214" s="107">
        <v>0.3</v>
      </c>
      <c r="AZ214" s="107">
        <f t="shared" si="84"/>
        <v>0.3</v>
      </c>
      <c r="BA214" s="107">
        <f t="shared" si="84"/>
        <v>0.3</v>
      </c>
      <c r="BB214" s="107">
        <f t="shared" si="84"/>
        <v>0.3</v>
      </c>
      <c r="BC214" s="107">
        <f t="shared" si="84"/>
        <v>0.3</v>
      </c>
      <c r="BD214" s="107">
        <f t="shared" si="84"/>
        <v>0.3</v>
      </c>
      <c r="BE214" s="107">
        <f t="shared" si="84"/>
        <v>0.3</v>
      </c>
      <c r="BF214" s="107">
        <f t="shared" si="84"/>
        <v>0.3</v>
      </c>
      <c r="BG214" s="107">
        <f t="shared" si="84"/>
        <v>0.3</v>
      </c>
    </row>
    <row r="215" spans="1:59" ht="13.75" customHeight="1">
      <c r="A215" s="171" t="s">
        <v>166</v>
      </c>
      <c r="B215" s="165" t="s">
        <v>313</v>
      </c>
      <c r="C215" s="165"/>
      <c r="D215" s="165" t="s">
        <v>168</v>
      </c>
      <c r="E215" s="167"/>
      <c r="F215" s="168" t="s">
        <v>343</v>
      </c>
      <c r="G215" s="168" t="s">
        <v>3</v>
      </c>
      <c r="H215" s="168"/>
      <c r="I215" s="168" t="s">
        <v>338</v>
      </c>
      <c r="U215" s="107"/>
      <c r="V215" s="107"/>
      <c r="W215" s="107"/>
      <c r="X215" s="107">
        <v>6.5000000000000002E-2</v>
      </c>
      <c r="Y215" s="107">
        <v>6.5000000000000002E-2</v>
      </c>
      <c r="Z215" s="107">
        <v>6.5000000000000002E-2</v>
      </c>
      <c r="AA215" s="107">
        <v>6.5000000000000002E-2</v>
      </c>
      <c r="AB215" s="107">
        <v>6.5000000000000002E-2</v>
      </c>
      <c r="AC215" s="107">
        <v>6.5000000000000002E-2</v>
      </c>
      <c r="AD215" s="107">
        <v>6.5000000000000002E-2</v>
      </c>
      <c r="AE215" s="107">
        <v>6.5000000000000002E-2</v>
      </c>
      <c r="AF215" s="107">
        <v>6.5000000000000002E-2</v>
      </c>
      <c r="AG215" s="107">
        <v>6.5000000000000002E-2</v>
      </c>
      <c r="AH215" s="107">
        <v>6.5000000000000002E-2</v>
      </c>
      <c r="AI215" s="107">
        <v>6.5000000000000002E-2</v>
      </c>
      <c r="AJ215" s="107">
        <v>6.5000000000000002E-2</v>
      </c>
      <c r="AK215" s="107">
        <v>6.5000000000000002E-2</v>
      </c>
      <c r="AL215" s="107">
        <v>6.5000000000000002E-2</v>
      </c>
      <c r="AM215" s="107">
        <v>6.5000000000000002E-2</v>
      </c>
      <c r="AN215" s="107">
        <v>6.5000000000000002E-2</v>
      </c>
      <c r="AO215" s="107">
        <v>6.5000000000000002E-2</v>
      </c>
      <c r="AP215" s="107">
        <v>6.5000000000000002E-2</v>
      </c>
      <c r="AQ215" s="107">
        <v>6.5000000000000002E-2</v>
      </c>
      <c r="AR215" s="107">
        <v>6.5000000000000002E-2</v>
      </c>
      <c r="AS215" s="107">
        <v>6.5000000000000002E-2</v>
      </c>
      <c r="AT215" s="107">
        <v>6.5000000000000002E-2</v>
      </c>
      <c r="AU215" s="107">
        <v>6.5000000000000002E-2</v>
      </c>
      <c r="AV215" s="107">
        <v>6.5000000000000002E-2</v>
      </c>
      <c r="AW215" s="107">
        <v>6.5000000000000002E-2</v>
      </c>
      <c r="AX215" s="107">
        <v>6.5000000000000002E-2</v>
      </c>
      <c r="AY215" s="107">
        <v>6.5000000000000002E-2</v>
      </c>
      <c r="AZ215" s="107">
        <f>AY215</f>
        <v>6.5000000000000002E-2</v>
      </c>
      <c r="BA215" s="107">
        <f t="shared" si="84"/>
        <v>6.5000000000000002E-2</v>
      </c>
      <c r="BB215" s="107">
        <f t="shared" si="84"/>
        <v>6.5000000000000002E-2</v>
      </c>
      <c r="BC215" s="107">
        <f t="shared" si="84"/>
        <v>6.5000000000000002E-2</v>
      </c>
      <c r="BD215" s="107">
        <f t="shared" si="84"/>
        <v>6.5000000000000002E-2</v>
      </c>
      <c r="BE215" s="107">
        <f t="shared" si="84"/>
        <v>6.5000000000000002E-2</v>
      </c>
      <c r="BF215" s="107">
        <f t="shared" si="84"/>
        <v>6.5000000000000002E-2</v>
      </c>
      <c r="BG215" s="107">
        <f t="shared" si="84"/>
        <v>6.5000000000000002E-2</v>
      </c>
    </row>
    <row r="216" spans="1:59" ht="13.75" customHeight="1">
      <c r="A216" s="171" t="s">
        <v>166</v>
      </c>
      <c r="B216" s="165" t="s">
        <v>313</v>
      </c>
      <c r="C216" s="165"/>
      <c r="D216" s="165" t="s">
        <v>87</v>
      </c>
      <c r="E216" s="167"/>
      <c r="F216" s="168" t="s">
        <v>344</v>
      </c>
      <c r="G216" s="168" t="s">
        <v>315</v>
      </c>
      <c r="H216" s="168"/>
      <c r="I216" s="168" t="s">
        <v>345</v>
      </c>
      <c r="S216" s="115">
        <v>78.081027667984188</v>
      </c>
      <c r="T216" s="115">
        <v>109.58242063492062</v>
      </c>
      <c r="U216" s="115">
        <v>110.63688235294121</v>
      </c>
      <c r="V216" s="115">
        <v>107.97051181102361</v>
      </c>
      <c r="W216" s="115">
        <v>97.595118577075112</v>
      </c>
      <c r="X216" s="112">
        <v>50.926936758893277</v>
      </c>
      <c r="Y216" s="112">
        <v>41.569031620553368</v>
      </c>
      <c r="Z216" s="112">
        <v>52.995509803921564</v>
      </c>
      <c r="AA216" s="140">
        <v>70.025866141732266</v>
      </c>
      <c r="AB216" s="140">
        <v>63.918039215686299</v>
      </c>
      <c r="AC216" s="140">
        <v>41.557499999999997</v>
      </c>
      <c r="AD216" s="140">
        <v>68.823333333333323</v>
      </c>
      <c r="AE216" s="112">
        <v>76.030833333333334</v>
      </c>
      <c r="AF216" s="112">
        <v>64.212499999999991</v>
      </c>
      <c r="AG216" s="112">
        <v>72.375</v>
      </c>
      <c r="AH216" s="112">
        <v>67.75</v>
      </c>
      <c r="AI216" s="112">
        <v>67</v>
      </c>
      <c r="AJ216" s="112">
        <v>69.479785233892073</v>
      </c>
      <c r="AK216" s="112">
        <v>69.726912796083624</v>
      </c>
      <c r="AL216" s="112">
        <v>69.973849207021772</v>
      </c>
      <c r="AM216" s="112">
        <v>70.220570055555839</v>
      </c>
      <c r="AN216" s="112">
        <v>70.467050358675806</v>
      </c>
      <c r="AO216" s="112">
        <v>70.713264549709621</v>
      </c>
      <c r="AP216" s="112">
        <v>70.959186466282361</v>
      </c>
      <c r="AQ216" s="112">
        <v>71.204789338032199</v>
      </c>
      <c r="AR216" s="112">
        <v>71.450045774078546</v>
      </c>
      <c r="AS216" s="112">
        <v>71.694927750237255</v>
      </c>
      <c r="AT216" s="112">
        <v>71.939406595977744</v>
      </c>
      <c r="AU216" s="112">
        <v>72.183452981116943</v>
      </c>
      <c r="AV216" s="112">
        <v>72.427036902244822</v>
      </c>
      <c r="AW216" s="112">
        <v>72.670127668875892</v>
      </c>
      <c r="AX216" s="112">
        <v>72.912693889321403</v>
      </c>
      <c r="AY216" s="112">
        <v>73.154703456276508</v>
      </c>
      <c r="AZ216" s="112">
        <v>73.39612353211659</v>
      </c>
      <c r="BA216" s="112">
        <v>73.636920533897083</v>
      </c>
      <c r="BB216" s="112">
        <v>73.877060118050707</v>
      </c>
      <c r="BC216" s="112">
        <f t="shared" ref="BC216:BG216" si="85">BB216*(1+((BB216-BA216)/BA216))</f>
        <v>74.117982828650398</v>
      </c>
      <c r="BD216" s="112">
        <f t="shared" si="85"/>
        <v>74.359691219573449</v>
      </c>
      <c r="BE216" s="112">
        <f t="shared" si="85"/>
        <v>74.602187853025683</v>
      </c>
      <c r="BF216" s="112">
        <f t="shared" si="85"/>
        <v>74.845475299568605</v>
      </c>
      <c r="BG216" s="112">
        <f t="shared" si="85"/>
        <v>75.089556138146648</v>
      </c>
    </row>
    <row r="217" spans="1:59" ht="13.75" customHeight="1">
      <c r="A217" s="171" t="s">
        <v>166</v>
      </c>
      <c r="B217" s="165" t="s">
        <v>313</v>
      </c>
      <c r="C217" s="165"/>
      <c r="D217" s="165" t="s">
        <v>168</v>
      </c>
      <c r="E217" s="167"/>
      <c r="F217" s="168" t="s">
        <v>346</v>
      </c>
      <c r="G217" s="168" t="s">
        <v>318</v>
      </c>
      <c r="H217" s="168"/>
      <c r="I217" s="168" t="s">
        <v>347</v>
      </c>
      <c r="U217" s="112">
        <v>0</v>
      </c>
      <c r="V217" s="112">
        <v>5860</v>
      </c>
      <c r="W217" s="112">
        <v>6446</v>
      </c>
      <c r="X217" s="128">
        <v>0</v>
      </c>
      <c r="Y217" s="128">
        <v>0</v>
      </c>
      <c r="Z217" s="128">
        <v>7800</v>
      </c>
      <c r="AA217" s="128">
        <v>8662</v>
      </c>
      <c r="AB217" s="128">
        <v>9241</v>
      </c>
      <c r="AC217" s="128">
        <v>9535</v>
      </c>
      <c r="AD217" s="128">
        <v>9916</v>
      </c>
      <c r="AE217" s="128">
        <v>10114.32</v>
      </c>
      <c r="AF217" s="128">
        <v>10316.606400000001</v>
      </c>
      <c r="AG217" s="128">
        <v>10522.938528000001</v>
      </c>
      <c r="AH217" s="128">
        <v>10733.397298560001</v>
      </c>
      <c r="AI217" s="128">
        <v>10948.065244531201</v>
      </c>
      <c r="AJ217" s="128">
        <v>11167.026549421826</v>
      </c>
      <c r="AK217" s="128">
        <v>11390.367080410262</v>
      </c>
      <c r="AL217" s="128">
        <v>11618.174422018468</v>
      </c>
      <c r="AM217" s="128">
        <v>11850.537910458837</v>
      </c>
      <c r="AN217" s="112">
        <v>11897.940062100673</v>
      </c>
      <c r="AO217" s="112">
        <v>11945.531822349076</v>
      </c>
      <c r="AP217" s="112">
        <v>11993.313949638472</v>
      </c>
      <c r="AQ217" s="112">
        <v>12041.287205437025</v>
      </c>
      <c r="AR217" s="112">
        <v>12089.452354258774</v>
      </c>
      <c r="AS217" s="112">
        <v>12137.810163675809</v>
      </c>
      <c r="AT217" s="112">
        <v>12186.361404330513</v>
      </c>
      <c r="AU217" s="112">
        <v>12235.106849947835</v>
      </c>
      <c r="AV217" s="112">
        <v>12284.047277347627</v>
      </c>
      <c r="AW217" s="112">
        <v>12333.183466457018</v>
      </c>
      <c r="AX217" s="112">
        <v>12382.516200322845</v>
      </c>
      <c r="AY217" s="112">
        <v>12432.046265124136</v>
      </c>
      <c r="AZ217" s="129">
        <f>AY217*(1+AZ$3)</f>
        <v>12929.328115729102</v>
      </c>
      <c r="BA217" s="129">
        <f t="shared" ref="BA217:BG217" si="86">AZ217*(1+BA$3)</f>
        <v>13446.501240358266</v>
      </c>
      <c r="BB217" s="129">
        <f t="shared" si="86"/>
        <v>13984.361289972598</v>
      </c>
      <c r="BC217" s="129">
        <f t="shared" si="86"/>
        <v>14543.735741571501</v>
      </c>
      <c r="BD217" s="129">
        <f t="shared" si="86"/>
        <v>15125.485171234362</v>
      </c>
      <c r="BE217" s="129">
        <f t="shared" si="86"/>
        <v>15730.504578083737</v>
      </c>
      <c r="BF217" s="129">
        <f t="shared" si="86"/>
        <v>16359.724761207088</v>
      </c>
      <c r="BG217" s="129">
        <f t="shared" si="86"/>
        <v>17014.113751655372</v>
      </c>
    </row>
    <row r="218" spans="1:59" ht="13.75" customHeight="1">
      <c r="A218" s="171" t="s">
        <v>166</v>
      </c>
      <c r="B218" s="165" t="s">
        <v>313</v>
      </c>
      <c r="C218" s="165"/>
      <c r="D218" s="165" t="s">
        <v>168</v>
      </c>
      <c r="E218" s="167"/>
      <c r="F218" s="168" t="s">
        <v>348</v>
      </c>
      <c r="G218" s="168" t="s">
        <v>318</v>
      </c>
      <c r="H218" s="168"/>
      <c r="I218" s="168"/>
      <c r="X218" s="128">
        <v>0</v>
      </c>
      <c r="Y218" s="128">
        <v>0</v>
      </c>
      <c r="Z218" s="128">
        <v>306</v>
      </c>
      <c r="AA218" s="128">
        <v>357</v>
      </c>
      <c r="AB218" s="128">
        <v>428</v>
      </c>
      <c r="AC218" s="128">
        <v>428</v>
      </c>
      <c r="AD218" s="151">
        <v>428</v>
      </c>
      <c r="AE218" s="151">
        <v>428</v>
      </c>
      <c r="AF218" s="151">
        <v>428</v>
      </c>
      <c r="AG218" s="151">
        <v>428</v>
      </c>
      <c r="AH218" s="151">
        <v>428</v>
      </c>
      <c r="AI218" s="151">
        <v>428</v>
      </c>
      <c r="AJ218" s="151">
        <v>428</v>
      </c>
      <c r="AK218" s="151">
        <v>428</v>
      </c>
      <c r="AL218" s="151">
        <v>428</v>
      </c>
      <c r="AM218" s="151">
        <v>428</v>
      </c>
      <c r="AN218" s="151">
        <v>428</v>
      </c>
      <c r="AO218" s="151">
        <v>428</v>
      </c>
      <c r="AP218" s="151">
        <v>428</v>
      </c>
      <c r="AQ218" s="151">
        <v>428</v>
      </c>
      <c r="AR218" s="151">
        <v>428</v>
      </c>
      <c r="AS218" s="151">
        <v>428</v>
      </c>
      <c r="AT218" s="151">
        <v>428</v>
      </c>
      <c r="AU218" s="151">
        <v>428</v>
      </c>
      <c r="AV218" s="151">
        <v>428</v>
      </c>
      <c r="AW218" s="151">
        <v>428</v>
      </c>
      <c r="AX218" s="151">
        <v>428</v>
      </c>
      <c r="AY218" s="151">
        <v>428</v>
      </c>
      <c r="AZ218" s="151">
        <f>AY218</f>
        <v>428</v>
      </c>
      <c r="BA218" s="151">
        <f t="shared" ref="BA218:BG220" si="87">AZ218</f>
        <v>428</v>
      </c>
      <c r="BB218" s="151">
        <f t="shared" si="87"/>
        <v>428</v>
      </c>
      <c r="BC218" s="151">
        <f t="shared" si="87"/>
        <v>428</v>
      </c>
      <c r="BD218" s="151">
        <f t="shared" si="87"/>
        <v>428</v>
      </c>
      <c r="BE218" s="151">
        <f t="shared" si="87"/>
        <v>428</v>
      </c>
      <c r="BF218" s="151">
        <f t="shared" si="87"/>
        <v>428</v>
      </c>
      <c r="BG218" s="151">
        <f t="shared" si="87"/>
        <v>428</v>
      </c>
    </row>
    <row r="219" spans="1:59" ht="13.75" customHeight="1">
      <c r="A219" s="171" t="s">
        <v>166</v>
      </c>
      <c r="B219" s="165" t="s">
        <v>313</v>
      </c>
      <c r="C219" s="165"/>
      <c r="D219" s="165" t="s">
        <v>168</v>
      </c>
      <c r="E219" s="167"/>
      <c r="F219" s="168" t="s">
        <v>349</v>
      </c>
      <c r="G219" s="168"/>
      <c r="H219" s="168"/>
      <c r="I219" s="168"/>
      <c r="X219" s="120"/>
      <c r="Y219" s="120"/>
      <c r="Z219" s="120"/>
      <c r="AA219" s="120"/>
      <c r="AB219" s="152">
        <v>0.83299999999999996</v>
      </c>
      <c r="AC219" s="152">
        <v>0.66700000000000004</v>
      </c>
      <c r="AD219" s="152">
        <v>0.5</v>
      </c>
      <c r="AE219" s="152">
        <v>0.33300000000000002</v>
      </c>
      <c r="AF219" s="152">
        <v>0.16700000000000001</v>
      </c>
      <c r="AG219" s="152">
        <v>0</v>
      </c>
      <c r="AH219" s="146">
        <v>0</v>
      </c>
      <c r="AI219" s="146">
        <v>0</v>
      </c>
      <c r="AJ219" s="146">
        <v>0</v>
      </c>
      <c r="AK219" s="146">
        <v>0</v>
      </c>
      <c r="AL219" s="146">
        <v>0</v>
      </c>
      <c r="AM219" s="146">
        <v>0</v>
      </c>
      <c r="AN219" s="146">
        <v>0</v>
      </c>
      <c r="AO219" s="146">
        <v>0</v>
      </c>
      <c r="AP219" s="146">
        <v>0</v>
      </c>
      <c r="AQ219" s="146">
        <v>0</v>
      </c>
      <c r="AR219" s="146">
        <v>0</v>
      </c>
      <c r="AS219" s="146">
        <v>0</v>
      </c>
      <c r="AT219" s="146">
        <v>0</v>
      </c>
      <c r="AU219" s="146">
        <v>0</v>
      </c>
      <c r="AV219" s="146">
        <v>0</v>
      </c>
      <c r="AW219" s="146">
        <v>0</v>
      </c>
      <c r="AX219" s="146">
        <v>0</v>
      </c>
      <c r="AY219" s="146">
        <v>0</v>
      </c>
      <c r="AZ219" s="146">
        <f>AY219</f>
        <v>0</v>
      </c>
      <c r="BA219" s="146">
        <f t="shared" si="87"/>
        <v>0</v>
      </c>
      <c r="BB219" s="146">
        <f t="shared" si="87"/>
        <v>0</v>
      </c>
      <c r="BC219" s="146">
        <f t="shared" si="87"/>
        <v>0</v>
      </c>
      <c r="BD219" s="146">
        <f t="shared" si="87"/>
        <v>0</v>
      </c>
      <c r="BE219" s="146">
        <f t="shared" si="87"/>
        <v>0</v>
      </c>
      <c r="BF219" s="146">
        <f t="shared" si="87"/>
        <v>0</v>
      </c>
      <c r="BG219" s="146">
        <f t="shared" si="87"/>
        <v>0</v>
      </c>
    </row>
    <row r="220" spans="1:59" ht="13.75" customHeight="1">
      <c r="A220" s="171" t="s">
        <v>166</v>
      </c>
      <c r="B220" s="165" t="s">
        <v>313</v>
      </c>
      <c r="C220" s="165"/>
      <c r="D220" s="165" t="s">
        <v>168</v>
      </c>
      <c r="E220" s="167"/>
      <c r="F220" s="168" t="s">
        <v>350</v>
      </c>
      <c r="G220" s="168"/>
      <c r="H220" s="168"/>
      <c r="I220" s="168"/>
      <c r="X220" s="120"/>
      <c r="Y220" s="120"/>
      <c r="Z220" s="120"/>
      <c r="AA220" s="120"/>
      <c r="AB220" s="152">
        <v>0.16700000000000001</v>
      </c>
      <c r="AC220" s="152">
        <v>0.33300000000000002</v>
      </c>
      <c r="AD220" s="152">
        <v>0.5</v>
      </c>
      <c r="AE220" s="152">
        <v>0.66700000000000004</v>
      </c>
      <c r="AF220" s="152">
        <v>0.83299999999999996</v>
      </c>
      <c r="AG220" s="152">
        <v>1</v>
      </c>
      <c r="AH220" s="119">
        <v>1</v>
      </c>
      <c r="AI220" s="119">
        <v>1</v>
      </c>
      <c r="AJ220" s="119">
        <v>1</v>
      </c>
      <c r="AK220" s="119">
        <v>1</v>
      </c>
      <c r="AL220" s="119">
        <v>1</v>
      </c>
      <c r="AM220" s="119">
        <v>1</v>
      </c>
      <c r="AN220" s="119">
        <v>1</v>
      </c>
      <c r="AO220" s="119">
        <v>1</v>
      </c>
      <c r="AP220" s="119">
        <v>1</v>
      </c>
      <c r="AQ220" s="119">
        <v>1</v>
      </c>
      <c r="AR220" s="119">
        <v>1</v>
      </c>
      <c r="AS220" s="119">
        <v>1</v>
      </c>
      <c r="AT220" s="119">
        <v>1</v>
      </c>
      <c r="AU220" s="119">
        <v>1</v>
      </c>
      <c r="AV220" s="119">
        <v>1</v>
      </c>
      <c r="AW220" s="119">
        <v>1</v>
      </c>
      <c r="AX220" s="119">
        <v>1</v>
      </c>
      <c r="AY220" s="119">
        <v>1</v>
      </c>
      <c r="AZ220" s="119">
        <f>AY220</f>
        <v>1</v>
      </c>
      <c r="BA220" s="119">
        <f t="shared" si="87"/>
        <v>1</v>
      </c>
      <c r="BB220" s="119">
        <f t="shared" si="87"/>
        <v>1</v>
      </c>
      <c r="BC220" s="119">
        <f t="shared" si="87"/>
        <v>1</v>
      </c>
      <c r="BD220" s="119">
        <f t="shared" si="87"/>
        <v>1</v>
      </c>
      <c r="BE220" s="119">
        <f t="shared" si="87"/>
        <v>1</v>
      </c>
      <c r="BF220" s="119">
        <f t="shared" si="87"/>
        <v>1</v>
      </c>
      <c r="BG220" s="119">
        <f t="shared" si="87"/>
        <v>1</v>
      </c>
    </row>
    <row r="221" spans="1:59" ht="13.75" customHeight="1">
      <c r="A221" s="171" t="s">
        <v>166</v>
      </c>
      <c r="B221" s="165" t="s">
        <v>313</v>
      </c>
      <c r="C221" s="165"/>
      <c r="D221" s="165" t="s">
        <v>168</v>
      </c>
      <c r="E221" s="167"/>
      <c r="F221" s="168" t="s">
        <v>351</v>
      </c>
      <c r="G221" s="168" t="s">
        <v>4</v>
      </c>
      <c r="H221" s="168"/>
      <c r="I221" s="168"/>
      <c r="P221" s="119"/>
      <c r="Q221" s="119"/>
      <c r="R221" s="119"/>
      <c r="S221" s="119"/>
      <c r="T221" s="119"/>
      <c r="U221" s="119"/>
      <c r="V221" s="119"/>
      <c r="W221" s="119"/>
      <c r="X221" s="153">
        <v>489.03583333333341</v>
      </c>
      <c r="Y221" s="153">
        <v>390.00749999999999</v>
      </c>
      <c r="Z221" s="153">
        <v>482.41166666666663</v>
      </c>
      <c r="AA221" s="153">
        <v>624.85333333333335</v>
      </c>
      <c r="AB221" s="153">
        <v>580.02333333333331</v>
      </c>
      <c r="AC221" s="153">
        <v>359.72409048945127</v>
      </c>
      <c r="AD221" s="153">
        <v>571.97409653745706</v>
      </c>
      <c r="AE221" s="150">
        <v>1041.4864320932536</v>
      </c>
      <c r="AF221" s="150">
        <v>844.68216462305213</v>
      </c>
      <c r="AG221" s="150">
        <v>813.08208160268634</v>
      </c>
      <c r="AH221" s="150">
        <v>754.29936898916162</v>
      </c>
      <c r="AI221" s="150">
        <v>729.15879493808359</v>
      </c>
      <c r="AJ221" s="150">
        <v>715.7451401383737</v>
      </c>
      <c r="AK221" s="150">
        <v>716.36233225322076</v>
      </c>
      <c r="AL221" s="150">
        <v>719.71061336819798</v>
      </c>
      <c r="AM221" s="150">
        <v>723.8335175774248</v>
      </c>
      <c r="AN221" s="150">
        <v>725.87002371789163</v>
      </c>
      <c r="AO221" s="150">
        <v>727.99483457621034</v>
      </c>
      <c r="AP221" s="150">
        <v>730.78180212092423</v>
      </c>
      <c r="AQ221" s="150">
        <v>733.83214370524524</v>
      </c>
      <c r="AR221" s="150">
        <v>737.37725758362058</v>
      </c>
      <c r="AS221" s="150">
        <v>740.28530537870074</v>
      </c>
      <c r="AT221" s="150">
        <v>743.64584501920797</v>
      </c>
      <c r="AU221" s="150">
        <v>747.94205994083666</v>
      </c>
      <c r="AV221" s="150">
        <v>752.29848154315016</v>
      </c>
      <c r="AW221" s="150">
        <v>756.972137527776</v>
      </c>
      <c r="AX221" s="150">
        <v>762.28861373489156</v>
      </c>
      <c r="AY221" s="150">
        <v>767.04373739167363</v>
      </c>
      <c r="AZ221" s="150">
        <v>769.60755252665012</v>
      </c>
      <c r="BA221" s="150">
        <v>772.18162292216653</v>
      </c>
      <c r="BB221" s="150">
        <v>774.76598959926503</v>
      </c>
      <c r="BC221" s="150">
        <f t="shared" ref="BC221:BG222" si="88">BB221*(1+((BB221-BA221)/BA221))</f>
        <v>777.3590057325581</v>
      </c>
      <c r="BD221" s="150">
        <f t="shared" si="88"/>
        <v>779.96070027037308</v>
      </c>
      <c r="BE221" s="150">
        <f t="shared" si="88"/>
        <v>782.57110225792258</v>
      </c>
      <c r="BF221" s="150">
        <f t="shared" si="88"/>
        <v>785.19024083762883</v>
      </c>
      <c r="BG221" s="150">
        <f t="shared" si="88"/>
        <v>787.81814524944912</v>
      </c>
    </row>
    <row r="222" spans="1:59" ht="13.75" customHeight="1">
      <c r="A222" s="171" t="s">
        <v>166</v>
      </c>
      <c r="B222" s="165" t="s">
        <v>313</v>
      </c>
      <c r="C222" s="165"/>
      <c r="D222" s="165" t="s">
        <v>168</v>
      </c>
      <c r="E222" s="167"/>
      <c r="F222" s="168" t="s">
        <v>352</v>
      </c>
      <c r="G222" s="168" t="s">
        <v>4</v>
      </c>
      <c r="H222" s="168"/>
      <c r="I222" s="168"/>
      <c r="S222" s="119"/>
      <c r="T222" s="119"/>
      <c r="U222" s="119"/>
      <c r="V222" s="119"/>
      <c r="W222" s="119"/>
      <c r="X222" s="119">
        <v>560.99416666666673</v>
      </c>
      <c r="Y222" s="119">
        <v>451.36000000000007</v>
      </c>
      <c r="Z222" s="119">
        <v>547.33499999999992</v>
      </c>
      <c r="AA222" s="119">
        <v>653.46749999999986</v>
      </c>
      <c r="AB222" s="119">
        <v>588.89358333333337</v>
      </c>
      <c r="AC222" s="119">
        <v>373.61</v>
      </c>
      <c r="AD222" s="153">
        <v>659.45566753936066</v>
      </c>
      <c r="AE222" s="119">
        <v>1030.9458070932535</v>
      </c>
      <c r="AF222" s="119">
        <v>876.72010020856396</v>
      </c>
      <c r="AG222" s="119">
        <v>817.44372328282225</v>
      </c>
      <c r="AH222" s="119">
        <v>770.76531757169084</v>
      </c>
      <c r="AI222" s="119">
        <v>763.26509088599119</v>
      </c>
      <c r="AJ222" s="119">
        <v>760.69845572765917</v>
      </c>
      <c r="AK222" s="119">
        <v>769.87952852552701</v>
      </c>
      <c r="AL222" s="119">
        <v>783.80303353045281</v>
      </c>
      <c r="AM222" s="119">
        <v>788.2146008723447</v>
      </c>
      <c r="AN222" s="112">
        <v>790.61810760673484</v>
      </c>
      <c r="AO222" s="112">
        <v>793.17950707989644</v>
      </c>
      <c r="AP222" s="112">
        <v>796.09357140358577</v>
      </c>
      <c r="AQ222" s="112">
        <v>798.97328155080754</v>
      </c>
      <c r="AR222" s="112">
        <v>802.47518614969522</v>
      </c>
      <c r="AS222" s="112">
        <v>805.90828844601128</v>
      </c>
      <c r="AT222" s="112">
        <v>809.41947818270773</v>
      </c>
      <c r="AU222" s="112">
        <v>812.15873049173126</v>
      </c>
      <c r="AV222" s="112">
        <v>814.77597115665344</v>
      </c>
      <c r="AW222" s="112">
        <v>817.42348508920554</v>
      </c>
      <c r="AX222" s="112">
        <v>816.87225000420915</v>
      </c>
      <c r="AY222" s="112">
        <v>816.90649583942104</v>
      </c>
      <c r="AZ222" s="112">
        <v>819.47031097439753</v>
      </c>
      <c r="BA222" s="112">
        <v>822.04438136991394</v>
      </c>
      <c r="BB222" s="112">
        <v>824.62874804701244</v>
      </c>
      <c r="BC222" s="112">
        <f t="shared" si="88"/>
        <v>827.22123953011044</v>
      </c>
      <c r="BD222" s="112">
        <f t="shared" si="88"/>
        <v>829.821881362206</v>
      </c>
      <c r="BE222" s="112">
        <f t="shared" si="88"/>
        <v>832.43069916659965</v>
      </c>
      <c r="BF222" s="112">
        <f t="shared" si="88"/>
        <v>835.04771864714746</v>
      </c>
      <c r="BG222" s="112">
        <f t="shared" si="88"/>
        <v>837.67296558851376</v>
      </c>
    </row>
    <row r="223" spans="1:59" ht="13.75" customHeight="1">
      <c r="A223" s="171" t="s">
        <v>166</v>
      </c>
      <c r="B223" s="165" t="s">
        <v>313</v>
      </c>
      <c r="C223" s="165"/>
      <c r="D223" s="165" t="s">
        <v>168</v>
      </c>
      <c r="E223" s="167"/>
      <c r="F223" s="168" t="s">
        <v>353</v>
      </c>
      <c r="G223" s="168" t="s">
        <v>4</v>
      </c>
      <c r="H223" s="168"/>
      <c r="I223" s="168"/>
      <c r="X223" s="120"/>
      <c r="Y223" s="120"/>
      <c r="Z223" s="120"/>
      <c r="AA223" s="120"/>
      <c r="AB223" s="128">
        <v>46000</v>
      </c>
      <c r="AC223" s="128">
        <v>48300</v>
      </c>
      <c r="AD223" s="128">
        <v>50700</v>
      </c>
      <c r="AE223" s="128">
        <v>52250</v>
      </c>
      <c r="AF223" s="128">
        <v>53850</v>
      </c>
      <c r="AG223" s="128">
        <v>55500</v>
      </c>
      <c r="AH223" s="129">
        <v>57200</v>
      </c>
      <c r="AI223" s="129">
        <v>58950</v>
      </c>
      <c r="AJ223" s="128">
        <f t="shared" ref="AJ223:AY224" si="89">AI223*(1+AJ$3)</f>
        <v>61308</v>
      </c>
      <c r="AK223" s="128">
        <f t="shared" si="89"/>
        <v>63760.32</v>
      </c>
      <c r="AL223" s="128">
        <f t="shared" si="89"/>
        <v>66310.732799999998</v>
      </c>
      <c r="AM223" s="128">
        <f t="shared" si="89"/>
        <v>68963.162112000005</v>
      </c>
      <c r="AN223" s="128">
        <f t="shared" si="89"/>
        <v>71721.688596480002</v>
      </c>
      <c r="AO223" s="128">
        <f t="shared" si="89"/>
        <v>74590.556140339206</v>
      </c>
      <c r="AP223" s="128">
        <f t="shared" si="89"/>
        <v>77574.178385952779</v>
      </c>
      <c r="AQ223" s="128">
        <f t="shared" si="89"/>
        <v>80677.145521390892</v>
      </c>
      <c r="AR223" s="128">
        <f t="shared" si="89"/>
        <v>83904.231342246538</v>
      </c>
      <c r="AS223" s="128">
        <f t="shared" si="89"/>
        <v>87260.4005959364</v>
      </c>
      <c r="AT223" s="128">
        <f t="shared" si="89"/>
        <v>90750.816619773861</v>
      </c>
      <c r="AU223" s="128">
        <f t="shared" si="89"/>
        <v>94380.849284564814</v>
      </c>
      <c r="AV223" s="128">
        <f t="shared" si="89"/>
        <v>98156.083255947407</v>
      </c>
      <c r="AW223" s="128">
        <f t="shared" si="89"/>
        <v>102082.32658618531</v>
      </c>
      <c r="AX223" s="128">
        <f t="shared" si="89"/>
        <v>106165.61964963273</v>
      </c>
      <c r="AY223" s="128">
        <f t="shared" si="89"/>
        <v>110412.24443561805</v>
      </c>
      <c r="AZ223" s="128">
        <f t="shared" ref="AZ223:BG224" si="90">AY223*(1+AZ$3)</f>
        <v>114828.73421304277</v>
      </c>
      <c r="BA223" s="128">
        <f t="shared" si="90"/>
        <v>119421.88358156449</v>
      </c>
      <c r="BB223" s="128">
        <f t="shared" si="90"/>
        <v>124198.75892482707</v>
      </c>
      <c r="BC223" s="128">
        <f t="shared" si="90"/>
        <v>129166.70928182015</v>
      </c>
      <c r="BD223" s="128">
        <f t="shared" si="90"/>
        <v>134333.37765309296</v>
      </c>
      <c r="BE223" s="128">
        <f t="shared" si="90"/>
        <v>139706.71275921669</v>
      </c>
      <c r="BF223" s="128">
        <f t="shared" si="90"/>
        <v>145294.98126958538</v>
      </c>
      <c r="BG223" s="128">
        <f t="shared" si="90"/>
        <v>151106.7805203688</v>
      </c>
    </row>
    <row r="224" spans="1:59" ht="13.75" customHeight="1">
      <c r="A224" s="171" t="s">
        <v>166</v>
      </c>
      <c r="B224" s="165" t="s">
        <v>313</v>
      </c>
      <c r="C224" s="165"/>
      <c r="D224" s="165" t="s">
        <v>168</v>
      </c>
      <c r="E224" s="167"/>
      <c r="F224" s="168" t="s">
        <v>354</v>
      </c>
      <c r="G224" s="168" t="s">
        <v>4</v>
      </c>
      <c r="H224" s="168"/>
      <c r="I224" s="168"/>
      <c r="X224" s="120"/>
      <c r="Y224" s="120"/>
      <c r="Z224" s="120"/>
      <c r="AA224" s="120"/>
      <c r="AB224" s="128">
        <v>51000</v>
      </c>
      <c r="AC224" s="128">
        <v>53600</v>
      </c>
      <c r="AD224" s="128">
        <v>53633.333333333328</v>
      </c>
      <c r="AE224" s="128">
        <v>55200</v>
      </c>
      <c r="AF224" s="128">
        <v>56900</v>
      </c>
      <c r="AG224" s="128">
        <v>58650</v>
      </c>
      <c r="AH224" s="129">
        <v>60450</v>
      </c>
      <c r="AI224" s="129">
        <v>67300</v>
      </c>
      <c r="AJ224" s="128">
        <f t="shared" si="89"/>
        <v>69992</v>
      </c>
      <c r="AK224" s="128">
        <f t="shared" si="89"/>
        <v>72791.680000000008</v>
      </c>
      <c r="AL224" s="128">
        <f t="shared" si="89"/>
        <v>75703.347200000004</v>
      </c>
      <c r="AM224" s="128">
        <f t="shared" si="89"/>
        <v>78731.481088</v>
      </c>
      <c r="AN224" s="128">
        <f t="shared" si="89"/>
        <v>81880.740331520006</v>
      </c>
      <c r="AO224" s="128">
        <f t="shared" si="89"/>
        <v>85155.969944780809</v>
      </c>
      <c r="AP224" s="128">
        <f t="shared" si="89"/>
        <v>88562.208742572038</v>
      </c>
      <c r="AQ224" s="128">
        <f t="shared" si="89"/>
        <v>92104.697092274917</v>
      </c>
      <c r="AR224" s="128">
        <f t="shared" si="89"/>
        <v>95788.884975965921</v>
      </c>
      <c r="AS224" s="128">
        <f t="shared" si="89"/>
        <v>99620.44037500456</v>
      </c>
      <c r="AT224" s="128">
        <f t="shared" si="89"/>
        <v>103605.25799000474</v>
      </c>
      <c r="AU224" s="128">
        <f t="shared" si="89"/>
        <v>107749.46830960494</v>
      </c>
      <c r="AV224" s="128">
        <f t="shared" si="89"/>
        <v>112059.44704198914</v>
      </c>
      <c r="AW224" s="128">
        <f t="shared" si="89"/>
        <v>116541.82492366871</v>
      </c>
      <c r="AX224" s="128">
        <f t="shared" si="89"/>
        <v>121203.49792061547</v>
      </c>
      <c r="AY224" s="128">
        <f t="shared" si="89"/>
        <v>126051.6378374401</v>
      </c>
      <c r="AZ224" s="128">
        <f t="shared" si="90"/>
        <v>131093.70335093769</v>
      </c>
      <c r="BA224" s="128">
        <f t="shared" si="90"/>
        <v>136337.4514849752</v>
      </c>
      <c r="BB224" s="128">
        <f t="shared" si="90"/>
        <v>141790.94954437422</v>
      </c>
      <c r="BC224" s="128">
        <f t="shared" si="90"/>
        <v>147462.5875261492</v>
      </c>
      <c r="BD224" s="128">
        <f t="shared" si="90"/>
        <v>153361.09102719519</v>
      </c>
      <c r="BE224" s="128">
        <f t="shared" si="90"/>
        <v>159495.53466828301</v>
      </c>
      <c r="BF224" s="128">
        <f t="shared" si="90"/>
        <v>165875.35605501433</v>
      </c>
      <c r="BG224" s="128">
        <f t="shared" si="90"/>
        <v>172510.37029721492</v>
      </c>
    </row>
    <row r="225" spans="1:59" ht="13.75" customHeight="1" outlineLevel="1">
      <c r="A225" s="171" t="s">
        <v>166</v>
      </c>
      <c r="B225" s="165" t="s">
        <v>313</v>
      </c>
      <c r="C225" s="165"/>
      <c r="D225" s="165" t="s">
        <v>168</v>
      </c>
      <c r="E225" s="167"/>
      <c r="F225" s="168" t="s">
        <v>355</v>
      </c>
      <c r="G225" s="168" t="s">
        <v>315</v>
      </c>
      <c r="H225" s="168"/>
      <c r="I225" s="168"/>
      <c r="X225" s="120"/>
      <c r="Y225" s="116">
        <v>40.083784860557756</v>
      </c>
      <c r="Z225" s="116">
        <v>51.832560000000015</v>
      </c>
      <c r="AA225" s="116">
        <v>68.78443775100402</v>
      </c>
      <c r="AB225" s="116">
        <v>62.026159999999997</v>
      </c>
      <c r="AC225" s="116">
        <v>40.58442231075697</v>
      </c>
      <c r="AD225" s="116">
        <v>67.85027307188335</v>
      </c>
      <c r="AE225" s="116">
        <v>73.380576923076916</v>
      </c>
      <c r="AF225" s="112">
        <v>62.045672380531975</v>
      </c>
      <c r="AG225" s="112">
        <v>70.08965889363968</v>
      </c>
      <c r="AH225" s="112">
        <v>66.206259650008263</v>
      </c>
      <c r="AI225" s="112">
        <v>65.424471218867211</v>
      </c>
      <c r="AJ225" s="112">
        <v>67.872745877136623</v>
      </c>
      <c r="AK225" s="112">
        <v>68.087732652193068</v>
      </c>
      <c r="AL225" s="112">
        <v>68.301885460253402</v>
      </c>
      <c r="AM225" s="112">
        <v>68.515167033852109</v>
      </c>
      <c r="AN225" s="112">
        <v>68.72753927653801</v>
      </c>
      <c r="AO225" s="112">
        <v>68.93896324592906</v>
      </c>
      <c r="AP225" s="112">
        <v>69.149399136426183</v>
      </c>
      <c r="AQ225" s="112">
        <v>69.358806261578891</v>
      </c>
      <c r="AR225" s="112">
        <v>69.567143036096184</v>
      </c>
      <c r="AS225" s="112">
        <v>69.774366957495246</v>
      </c>
      <c r="AT225" s="112">
        <v>69.980434587380898</v>
      </c>
      <c r="AU225" s="112">
        <v>70.185301532348163</v>
      </c>
      <c r="AV225" s="112">
        <v>70.388922424500663</v>
      </c>
      <c r="AW225" s="112">
        <v>70.591250901576842</v>
      </c>
      <c r="AX225" s="112">
        <v>70.792239586676374</v>
      </c>
      <c r="AY225" s="112">
        <v>70.991840067578579</v>
      </c>
      <c r="AZ225" s="112">
        <v>71.190002875644694</v>
      </c>
      <c r="BA225" s="112">
        <v>71.386677464295758</v>
      </c>
      <c r="BB225" s="112">
        <v>71.581812187057352</v>
      </c>
      <c r="BC225" s="112">
        <f t="shared" ref="BC225:BG238" si="91">BB225*(1+((BB225-BA225)/BA225))</f>
        <v>71.777480308505929</v>
      </c>
      <c r="BD225" s="112">
        <f t="shared" si="91"/>
        <v>71.973683286681123</v>
      </c>
      <c r="BE225" s="112">
        <f t="shared" si="91"/>
        <v>72.170422583608087</v>
      </c>
      <c r="BF225" s="112">
        <f t="shared" si="91"/>
        <v>72.367699665308436</v>
      </c>
      <c r="BG225" s="112">
        <f t="shared" si="91"/>
        <v>72.565516001811105</v>
      </c>
    </row>
    <row r="226" spans="1:59" ht="13.75" customHeight="1" outlineLevel="1">
      <c r="A226" s="171" t="s">
        <v>166</v>
      </c>
      <c r="B226" s="165" t="s">
        <v>313</v>
      </c>
      <c r="C226" s="165"/>
      <c r="D226" s="165" t="s">
        <v>168</v>
      </c>
      <c r="E226" s="167"/>
      <c r="F226" s="168" t="s">
        <v>356</v>
      </c>
      <c r="G226" s="168" t="s">
        <v>315</v>
      </c>
      <c r="H226" s="168"/>
      <c r="I226" s="168"/>
      <c r="X226" s="120"/>
      <c r="Y226" s="116">
        <v>45.58</v>
      </c>
      <c r="Z226" s="116">
        <v>52.127791164658653</v>
      </c>
      <c r="AA226" s="116">
        <v>68.810341365461866</v>
      </c>
      <c r="AB226" s="116">
        <v>62.32820000000001</v>
      </c>
      <c r="AC226" s="116">
        <v>40.703904382470149</v>
      </c>
      <c r="AD226" s="116">
        <v>67.911453785434986</v>
      </c>
      <c r="AE226" s="116">
        <v>74.751153846153827</v>
      </c>
      <c r="AF226" s="112">
        <v>62.396846486932965</v>
      </c>
      <c r="AG226" s="112">
        <v>71.610596639541484</v>
      </c>
      <c r="AH226" s="130">
        <v>67.303537470928688</v>
      </c>
      <c r="AI226" s="130">
        <v>67.548508175889623</v>
      </c>
      <c r="AJ226" s="130">
        <v>69.130088825494255</v>
      </c>
      <c r="AK226" s="130">
        <v>69.321863902069637</v>
      </c>
      <c r="AL226" s="130">
        <v>69.51233812251904</v>
      </c>
      <c r="AM226" s="130">
        <v>69.701464817658064</v>
      </c>
      <c r="AN226" s="130">
        <v>69.889196299742736</v>
      </c>
      <c r="AO226" s="130">
        <v>70.0754838416957</v>
      </c>
      <c r="AP226" s="130">
        <v>70.260277655913981</v>
      </c>
      <c r="AQ226" s="130">
        <v>70.443526872649656</v>
      </c>
      <c r="AR226" s="130">
        <v>70.625179517955004</v>
      </c>
      <c r="AS226" s="130">
        <v>70.80518249118326</v>
      </c>
      <c r="AT226" s="112">
        <v>70.983481542036202</v>
      </c>
      <c r="AU226" s="112">
        <v>71.160021247149032</v>
      </c>
      <c r="AV226" s="112">
        <v>71.334744986204072</v>
      </c>
      <c r="AW226" s="112">
        <v>71.507594917562741</v>
      </c>
      <c r="AX226" s="112">
        <v>71.678511953406868</v>
      </c>
      <c r="AY226" s="112">
        <v>71.84743573437953</v>
      </c>
      <c r="AZ226" s="112">
        <v>72.014304603714479</v>
      </c>
      <c r="BA226" s="112">
        <v>72.179055580845073</v>
      </c>
      <c r="BB226" s="112">
        <v>72.341624334481253</v>
      </c>
      <c r="BC226" s="112">
        <f t="shared" si="91"/>
        <v>72.504559241421134</v>
      </c>
      <c r="BD226" s="112">
        <f t="shared" si="91"/>
        <v>72.667861126351127</v>
      </c>
      <c r="BE226" s="112">
        <f t="shared" si="91"/>
        <v>72.831530815815071</v>
      </c>
      <c r="BF226" s="112">
        <f t="shared" si="91"/>
        <v>72.995569138218457</v>
      </c>
      <c r="BG226" s="112">
        <f t="shared" si="91"/>
        <v>73.159976923832559</v>
      </c>
    </row>
    <row r="227" spans="1:59" ht="13.75" customHeight="1" outlineLevel="1">
      <c r="A227" s="171" t="s">
        <v>166</v>
      </c>
      <c r="B227" s="165" t="s">
        <v>313</v>
      </c>
      <c r="C227" s="165"/>
      <c r="D227" s="165" t="s">
        <v>168</v>
      </c>
      <c r="E227" s="167"/>
      <c r="F227" s="168" t="s">
        <v>357</v>
      </c>
      <c r="G227" s="168" t="s">
        <v>315</v>
      </c>
      <c r="H227" s="168"/>
      <c r="I227" s="168"/>
      <c r="X227" s="120"/>
      <c r="Y227" s="116">
        <v>41.57865384615387</v>
      </c>
      <c r="Z227" s="116">
        <v>53.094186046511595</v>
      </c>
      <c r="AA227" s="116">
        <v>69.304115384615358</v>
      </c>
      <c r="AB227" s="116">
        <v>63.209961685823792</v>
      </c>
      <c r="AC227" s="116">
        <v>42.679501915708805</v>
      </c>
      <c r="AD227" s="116">
        <v>69.393076923076919</v>
      </c>
      <c r="AE227" s="116">
        <v>95.533703703703722</v>
      </c>
      <c r="AF227" s="112">
        <v>82.669726588208491</v>
      </c>
      <c r="AG227" s="112">
        <v>87.004956474284384</v>
      </c>
      <c r="AH227" s="112">
        <v>80.679737049063604</v>
      </c>
      <c r="AI227" s="112">
        <v>79.556409635188345</v>
      </c>
      <c r="AJ227" s="112">
        <v>79.804693244967481</v>
      </c>
      <c r="AK227" s="112">
        <v>80.051170032587507</v>
      </c>
      <c r="AL227" s="112">
        <v>80.297439998302451</v>
      </c>
      <c r="AM227" s="112">
        <v>80.543478353612329</v>
      </c>
      <c r="AN227" s="112">
        <v>80.789259729071276</v>
      </c>
      <c r="AO227" s="112">
        <v>81.034758162265987</v>
      </c>
      <c r="AP227" s="112">
        <v>81.279947085550859</v>
      </c>
      <c r="AQ227" s="112">
        <v>81.524799313534459</v>
      </c>
      <c r="AR227" s="112">
        <v>81.769287030312682</v>
      </c>
      <c r="AS227" s="112">
        <v>82.013381776443282</v>
      </c>
      <c r="AT227" s="112">
        <v>82.257054435656599</v>
      </c>
      <c r="AU227" s="112">
        <v>82.500275221297031</v>
      </c>
      <c r="AV227" s="112">
        <v>82.743013662490227</v>
      </c>
      <c r="AW227" s="112">
        <v>82.98523859002978</v>
      </c>
      <c r="AX227" s="112">
        <v>83.226918121978457</v>
      </c>
      <c r="AY227" s="112">
        <v>83.468019648977702</v>
      </c>
      <c r="AZ227" s="112">
        <v>83.708509819259817</v>
      </c>
      <c r="BA227" s="112">
        <v>83.9483545233565</v>
      </c>
      <c r="BB227" s="112">
        <v>84.187518878498082</v>
      </c>
      <c r="BC227" s="112">
        <f t="shared" si="91"/>
        <v>84.427364600047554</v>
      </c>
      <c r="BD227" s="112">
        <f t="shared" si="91"/>
        <v>84.667893629181236</v>
      </c>
      <c r="BE227" s="112">
        <f t="shared" si="91"/>
        <v>84.909107912605762</v>
      </c>
      <c r="BF227" s="112">
        <f t="shared" si="91"/>
        <v>85.151009402573806</v>
      </c>
      <c r="BG227" s="112">
        <f t="shared" si="91"/>
        <v>85.393600056899913</v>
      </c>
    </row>
    <row r="228" spans="1:59" ht="13.75" customHeight="1" outlineLevel="1">
      <c r="A228" s="171" t="s">
        <v>166</v>
      </c>
      <c r="B228" s="165" t="s">
        <v>313</v>
      </c>
      <c r="C228" s="165"/>
      <c r="D228" s="165" t="s">
        <v>168</v>
      </c>
      <c r="E228" s="167"/>
      <c r="F228" s="168" t="s">
        <v>358</v>
      </c>
      <c r="G228" s="168" t="s">
        <v>315</v>
      </c>
      <c r="H228" s="168"/>
      <c r="I228" s="168"/>
      <c r="X228" s="120"/>
      <c r="Y228" s="116">
        <v>44.523065134099618</v>
      </c>
      <c r="Z228" s="116">
        <v>55.417490347490322</v>
      </c>
      <c r="AA228" s="116">
        <v>73.100540540540536</v>
      </c>
      <c r="AB228" s="116">
        <v>68.034750957854371</v>
      </c>
      <c r="AC228" s="116">
        <v>44.713256704980815</v>
      </c>
      <c r="AD228" s="116">
        <v>72</v>
      </c>
      <c r="AE228" s="116">
        <v>84.286153846153866</v>
      </c>
      <c r="AF228" s="112">
        <v>75.944948132313129</v>
      </c>
      <c r="AG228" s="112">
        <v>79.799517162347954</v>
      </c>
      <c r="AH228" s="112">
        <v>74.983146897377594</v>
      </c>
      <c r="AI228" s="112">
        <v>75.614769934833618</v>
      </c>
      <c r="AJ228" s="112">
        <v>77.600728945765596</v>
      </c>
      <c r="AK228" s="112">
        <v>77.860654411795409</v>
      </c>
      <c r="AL228" s="112">
        <v>78.120644684648582</v>
      </c>
      <c r="AM228" s="112">
        <v>78.380680472335982</v>
      </c>
      <c r="AN228" s="112">
        <v>78.640742013392355</v>
      </c>
      <c r="AO228" s="112">
        <v>78.900809067121287</v>
      </c>
      <c r="AP228" s="112">
        <v>79.160860903643055</v>
      </c>
      <c r="AQ228" s="112">
        <v>79.420876293740903</v>
      </c>
      <c r="AR228" s="112">
        <v>79.680833498502224</v>
      </c>
      <c r="AS228" s="112">
        <v>79.940710258750201</v>
      </c>
      <c r="AT228" s="112">
        <v>80.200483784261763</v>
      </c>
      <c r="AU228" s="112">
        <v>80.460130742767419</v>
      </c>
      <c r="AV228" s="112">
        <v>80.719627248729111</v>
      </c>
      <c r="AW228" s="112">
        <v>80.978948851890678</v>
      </c>
      <c r="AX228" s="112">
        <v>81.238070525597252</v>
      </c>
      <c r="AY228" s="112">
        <v>81.49696665487869</v>
      </c>
      <c r="AZ228" s="112">
        <v>81.755611024291596</v>
      </c>
      <c r="BA228" s="112">
        <v>82.013976805516407</v>
      </c>
      <c r="BB228" s="112">
        <v>82.272036544703212</v>
      </c>
      <c r="BC228" s="112">
        <f t="shared" si="91"/>
        <v>82.530908277547482</v>
      </c>
      <c r="BD228" s="112">
        <f t="shared" si="91"/>
        <v>82.790594559014593</v>
      </c>
      <c r="BE228" s="112">
        <f t="shared" si="91"/>
        <v>83.051097952109217</v>
      </c>
      <c r="BF228" s="112">
        <f t="shared" si="91"/>
        <v>83.312421027900584</v>
      </c>
      <c r="BG228" s="112">
        <f t="shared" si="91"/>
        <v>83.574566365547909</v>
      </c>
    </row>
    <row r="229" spans="1:59" ht="13.75" customHeight="1" outlineLevel="1">
      <c r="A229" s="171" t="s">
        <v>166</v>
      </c>
      <c r="B229" s="165" t="s">
        <v>313</v>
      </c>
      <c r="C229" s="165"/>
      <c r="D229" s="165" t="s">
        <v>168</v>
      </c>
      <c r="E229" s="167"/>
      <c r="F229" s="168" t="s">
        <v>359</v>
      </c>
      <c r="G229" s="168" t="s">
        <v>4</v>
      </c>
      <c r="H229" s="168"/>
      <c r="I229" s="168"/>
      <c r="X229" s="123"/>
      <c r="Y229" s="154">
        <v>66.066264424709516</v>
      </c>
      <c r="Z229" s="154">
        <v>78.173328874807623</v>
      </c>
      <c r="AA229" s="154">
        <v>74.587473658878537</v>
      </c>
      <c r="AB229" s="154">
        <v>22.874475716392624</v>
      </c>
      <c r="AC229" s="154">
        <v>31.878385123109183</v>
      </c>
      <c r="AD229" s="154">
        <v>80</v>
      </c>
      <c r="AE229" s="154">
        <v>40.392360979578598</v>
      </c>
      <c r="AF229" s="154">
        <v>-24.487558489046762</v>
      </c>
      <c r="AG229" s="154">
        <v>-2.3836078279069284</v>
      </c>
      <c r="AH229" s="154">
        <v>42.416541616975167</v>
      </c>
      <c r="AI229" s="119">
        <v>56.494733074235228</v>
      </c>
      <c r="AJ229" s="119">
        <v>58.992634345107774</v>
      </c>
      <c r="AK229" s="119">
        <v>69.817699960894402</v>
      </c>
      <c r="AL229" s="119">
        <v>75.870260668240292</v>
      </c>
      <c r="AM229" s="119">
        <v>81.352735526269441</v>
      </c>
      <c r="AN229" s="119">
        <v>86.812243587239493</v>
      </c>
      <c r="AO229" s="119">
        <v>89.971857941579913</v>
      </c>
      <c r="AP229" s="119">
        <v>89.604621569638255</v>
      </c>
      <c r="AQ229" s="119">
        <v>89.746066463212628</v>
      </c>
      <c r="AR229" s="119">
        <v>90.898537716134797</v>
      </c>
      <c r="AS229" s="119">
        <v>92.806863474683894</v>
      </c>
      <c r="AT229" s="119">
        <v>94.853969547987788</v>
      </c>
      <c r="AU229" s="119">
        <v>96.919245115289527</v>
      </c>
      <c r="AV229" s="119">
        <v>99.069079684070175</v>
      </c>
      <c r="AW229" s="119">
        <v>101.63345455149687</v>
      </c>
      <c r="AX229" s="119">
        <v>104.72330801648644</v>
      </c>
      <c r="AY229" s="119">
        <v>107.00122808684443</v>
      </c>
      <c r="AZ229" s="119">
        <v>107.00122808684443</v>
      </c>
      <c r="BA229" s="119">
        <v>107.00122808684443</v>
      </c>
      <c r="BB229" s="119">
        <v>107.00122808684443</v>
      </c>
      <c r="BC229" s="119">
        <f t="shared" si="91"/>
        <v>107.00122808684443</v>
      </c>
      <c r="BD229" s="119">
        <f t="shared" si="91"/>
        <v>107.00122808684443</v>
      </c>
      <c r="BE229" s="119">
        <f t="shared" si="91"/>
        <v>107.00122808684443</v>
      </c>
      <c r="BF229" s="119">
        <f t="shared" si="91"/>
        <v>107.00122808684443</v>
      </c>
      <c r="BG229" s="119">
        <f t="shared" si="91"/>
        <v>107.00122808684443</v>
      </c>
    </row>
    <row r="230" spans="1:59" ht="13.75" customHeight="1" outlineLevel="1">
      <c r="A230" s="171" t="s">
        <v>166</v>
      </c>
      <c r="B230" s="165" t="s">
        <v>313</v>
      </c>
      <c r="C230" s="165"/>
      <c r="D230" s="165" t="s">
        <v>168</v>
      </c>
      <c r="E230" s="167"/>
      <c r="F230" s="168" t="s">
        <v>360</v>
      </c>
      <c r="G230" s="168" t="s">
        <v>4</v>
      </c>
      <c r="H230" s="168"/>
      <c r="I230" s="168"/>
      <c r="X230" s="120"/>
      <c r="Y230" s="119">
        <v>158.05321440155063</v>
      </c>
      <c r="Z230" s="119">
        <v>156.59510498059882</v>
      </c>
      <c r="AA230" s="119">
        <v>154.08592879810652</v>
      </c>
      <c r="AB230" s="119">
        <v>148.68765654723705</v>
      </c>
      <c r="AC230" s="119">
        <v>81.494055396696353</v>
      </c>
      <c r="AD230" s="119">
        <v>178</v>
      </c>
      <c r="AE230" s="119">
        <v>229.7903294218662</v>
      </c>
      <c r="AF230" s="119">
        <v>237.05745745537416</v>
      </c>
      <c r="AG230" s="119">
        <v>163.15592624474118</v>
      </c>
      <c r="AH230" s="119">
        <v>173.64973969483975</v>
      </c>
      <c r="AI230" s="119">
        <v>179.90968625669586</v>
      </c>
      <c r="AJ230" s="119">
        <v>176.06350559920139</v>
      </c>
      <c r="AK230" s="119">
        <v>181.01852157390533</v>
      </c>
      <c r="AL230" s="119">
        <v>191.16604365543327</v>
      </c>
      <c r="AM230" s="119">
        <v>194.12118194403371</v>
      </c>
      <c r="AN230" s="119">
        <v>194.12547517337833</v>
      </c>
      <c r="AO230" s="119">
        <v>193.87543354092389</v>
      </c>
      <c r="AP230" s="119">
        <v>193.97451050048625</v>
      </c>
      <c r="AQ230" s="119">
        <v>194.03422691412266</v>
      </c>
      <c r="AR230" s="119">
        <v>194.68160711801511</v>
      </c>
      <c r="AS230" s="119">
        <v>195.21758336657314</v>
      </c>
      <c r="AT230" s="119">
        <v>195.81137981716034</v>
      </c>
      <c r="AU230" s="119">
        <v>195.63794907722229</v>
      </c>
      <c r="AV230" s="119">
        <v>195.32764106704394</v>
      </c>
      <c r="AW230" s="119">
        <v>187.43960477639854</v>
      </c>
      <c r="AX230" s="119">
        <v>183.79463830833521</v>
      </c>
      <c r="AY230" s="119">
        <v>180.15877416976957</v>
      </c>
      <c r="AZ230" s="119">
        <v>180.15877416976957</v>
      </c>
      <c r="BA230" s="119">
        <v>180.15877416976957</v>
      </c>
      <c r="BB230" s="119">
        <v>180.15877416976957</v>
      </c>
      <c r="BC230" s="119">
        <f t="shared" si="91"/>
        <v>180.15877416976957</v>
      </c>
      <c r="BD230" s="119">
        <f t="shared" si="91"/>
        <v>180.15877416976957</v>
      </c>
      <c r="BE230" s="119">
        <f t="shared" si="91"/>
        <v>180.15877416976957</v>
      </c>
      <c r="BF230" s="119">
        <f t="shared" si="91"/>
        <v>180.15877416976957</v>
      </c>
      <c r="BG230" s="119">
        <f t="shared" si="91"/>
        <v>180.15877416976957</v>
      </c>
    </row>
    <row r="231" spans="1:59" ht="13.75" customHeight="1" outlineLevel="1">
      <c r="A231" s="171" t="s">
        <v>166</v>
      </c>
      <c r="B231" s="165" t="s">
        <v>313</v>
      </c>
      <c r="C231" s="165"/>
      <c r="D231" s="165" t="s">
        <v>168</v>
      </c>
      <c r="E231" s="167"/>
      <c r="F231" s="168" t="s">
        <v>361</v>
      </c>
      <c r="G231" s="168" t="s">
        <v>4</v>
      </c>
      <c r="H231" s="168"/>
      <c r="I231" s="168"/>
      <c r="X231" s="120"/>
      <c r="Y231" s="119">
        <v>94.578104694414208</v>
      </c>
      <c r="Z231" s="119">
        <v>103.27055542061731</v>
      </c>
      <c r="AA231" s="119">
        <v>129.95764917717992</v>
      </c>
      <c r="AB231" s="119">
        <v>129.89748443930381</v>
      </c>
      <c r="AC231" s="119">
        <v>67.832047507603193</v>
      </c>
      <c r="AD231" s="119">
        <v>60</v>
      </c>
      <c r="AE231" s="119">
        <v>458.23815615645935</v>
      </c>
      <c r="AF231" s="119">
        <v>231.31279191433708</v>
      </c>
      <c r="AG231" s="119">
        <v>119.40457486466289</v>
      </c>
      <c r="AH231" s="119">
        <v>111.44054835588753</v>
      </c>
      <c r="AI231" s="119">
        <v>100.49537260719399</v>
      </c>
      <c r="AJ231" s="119">
        <v>94.150388023418316</v>
      </c>
      <c r="AK231" s="119">
        <v>94.16677224589148</v>
      </c>
      <c r="AL231" s="119">
        <v>98.962377076701443</v>
      </c>
      <c r="AM231" s="119">
        <v>102.90181188440107</v>
      </c>
      <c r="AN231" s="119">
        <v>103.60141698370813</v>
      </c>
      <c r="AO231" s="119">
        <v>102.79682179226137</v>
      </c>
      <c r="AP231" s="119">
        <v>102.58947669332503</v>
      </c>
      <c r="AQ231" s="119">
        <v>102.71889009363508</v>
      </c>
      <c r="AR231" s="119">
        <v>103.42058429788915</v>
      </c>
      <c r="AS231" s="119">
        <v>104.19780892781733</v>
      </c>
      <c r="AT231" s="119">
        <v>105.1123214108066</v>
      </c>
      <c r="AU231" s="119">
        <v>106.1019002575573</v>
      </c>
      <c r="AV231" s="119">
        <v>107.12985805014989</v>
      </c>
      <c r="AW231" s="119">
        <v>108.40253949132233</v>
      </c>
      <c r="AX231" s="119">
        <v>109.96469775791178</v>
      </c>
      <c r="AY231" s="119">
        <v>110.98009463511551</v>
      </c>
      <c r="AZ231" s="119">
        <v>110.98009463511551</v>
      </c>
      <c r="BA231" s="119">
        <v>110.98009463511551</v>
      </c>
      <c r="BB231" s="119">
        <v>110.98009463511551</v>
      </c>
      <c r="BC231" s="119">
        <f t="shared" si="91"/>
        <v>110.98009463511551</v>
      </c>
      <c r="BD231" s="119">
        <f t="shared" si="91"/>
        <v>110.98009463511551</v>
      </c>
      <c r="BE231" s="119">
        <f t="shared" si="91"/>
        <v>110.98009463511551</v>
      </c>
      <c r="BF231" s="119">
        <f t="shared" si="91"/>
        <v>110.98009463511551</v>
      </c>
      <c r="BG231" s="119">
        <f t="shared" si="91"/>
        <v>110.98009463511551</v>
      </c>
    </row>
    <row r="232" spans="1:59" ht="13.75" customHeight="1" outlineLevel="1">
      <c r="A232" s="171" t="s">
        <v>166</v>
      </c>
      <c r="B232" s="165" t="s">
        <v>313</v>
      </c>
      <c r="C232" s="165"/>
      <c r="D232" s="165" t="s">
        <v>168</v>
      </c>
      <c r="E232" s="167"/>
      <c r="F232" s="168" t="s">
        <v>362</v>
      </c>
      <c r="G232" s="168" t="s">
        <v>4</v>
      </c>
      <c r="H232" s="168"/>
      <c r="I232" s="168"/>
      <c r="X232" s="120"/>
      <c r="Y232" s="119">
        <v>115.4990805432829</v>
      </c>
      <c r="Z232" s="119">
        <v>127.95373243157923</v>
      </c>
      <c r="AA232" s="119">
        <v>167.11797604220129</v>
      </c>
      <c r="AB232" s="119">
        <v>162.07244491361217</v>
      </c>
      <c r="AC232" s="119">
        <v>53.568322017407127</v>
      </c>
      <c r="AD232" s="119">
        <v>92</v>
      </c>
      <c r="AE232" s="119">
        <v>382.40767420874442</v>
      </c>
      <c r="AF232" s="119">
        <v>286.22984856710781</v>
      </c>
      <c r="AG232" s="119">
        <v>168.03434852666078</v>
      </c>
      <c r="AH232" s="119">
        <v>163.88825630100933</v>
      </c>
      <c r="AI232" s="119">
        <v>153.9717052350187</v>
      </c>
      <c r="AJ232" s="119">
        <v>141.11818247237267</v>
      </c>
      <c r="AK232" s="119">
        <v>133.38967425476983</v>
      </c>
      <c r="AL232" s="119">
        <v>142.02508780923182</v>
      </c>
      <c r="AM232" s="119">
        <v>147.04566730846938</v>
      </c>
      <c r="AN232" s="119">
        <v>146.99929247254084</v>
      </c>
      <c r="AO232" s="119">
        <v>145.69947621923944</v>
      </c>
      <c r="AP232" s="119">
        <v>145.28562242907043</v>
      </c>
      <c r="AQ232" s="119">
        <v>145.35230587676904</v>
      </c>
      <c r="AR232" s="119">
        <v>146.15254035213536</v>
      </c>
      <c r="AS232" s="119">
        <v>147.04763498544634</v>
      </c>
      <c r="AT232" s="119">
        <v>148.34598171659235</v>
      </c>
      <c r="AU232" s="119">
        <v>150.49618005519085</v>
      </c>
      <c r="AV232" s="119">
        <v>152.67989851104721</v>
      </c>
      <c r="AW232" s="119">
        <v>155.25634849999534</v>
      </c>
      <c r="AX232" s="119">
        <v>157.33451880516083</v>
      </c>
      <c r="AY232" s="119">
        <v>158.60466608081879</v>
      </c>
      <c r="AZ232" s="119">
        <v>158.60466608081879</v>
      </c>
      <c r="BA232" s="119">
        <v>158.60466608081879</v>
      </c>
      <c r="BB232" s="119">
        <v>158.60466608081879</v>
      </c>
      <c r="BC232" s="119">
        <f t="shared" si="91"/>
        <v>158.60466608081879</v>
      </c>
      <c r="BD232" s="119">
        <f t="shared" si="91"/>
        <v>158.60466608081879</v>
      </c>
      <c r="BE232" s="119">
        <f t="shared" si="91"/>
        <v>158.60466608081879</v>
      </c>
      <c r="BF232" s="119">
        <f t="shared" si="91"/>
        <v>158.60466608081879</v>
      </c>
      <c r="BG232" s="119">
        <f t="shared" si="91"/>
        <v>158.60466608081879</v>
      </c>
    </row>
    <row r="233" spans="1:59" ht="13.75" customHeight="1" outlineLevel="1">
      <c r="A233" s="171" t="s">
        <v>166</v>
      </c>
      <c r="B233" s="165" t="s">
        <v>313</v>
      </c>
      <c r="C233" s="165"/>
      <c r="D233" s="165" t="s">
        <v>168</v>
      </c>
      <c r="E233" s="167"/>
      <c r="F233" s="168" t="s">
        <v>363</v>
      </c>
      <c r="G233" s="168" t="s">
        <v>4</v>
      </c>
      <c r="H233" s="168"/>
      <c r="I233" s="168"/>
      <c r="X233" s="120"/>
      <c r="Y233" s="119">
        <v>-104.84079767542667</v>
      </c>
      <c r="Z233" s="119">
        <v>-101.80459385709253</v>
      </c>
      <c r="AA233" s="119">
        <v>-129.03935957957196</v>
      </c>
      <c r="AB233" s="119">
        <v>-150.08070138294329</v>
      </c>
      <c r="AC233" s="119">
        <v>-94.282045297964345</v>
      </c>
      <c r="AD233" s="119">
        <v>-121</v>
      </c>
      <c r="AE233" s="119">
        <v>-179.26103260970598</v>
      </c>
      <c r="AF233" s="119">
        <v>-165.39379024202947</v>
      </c>
      <c r="AG233" s="119">
        <v>-188.51938509749209</v>
      </c>
      <c r="AH233" s="119">
        <v>-179.29064128764293</v>
      </c>
      <c r="AI233" s="119">
        <v>-164.97931973308658</v>
      </c>
      <c r="AJ233" s="119">
        <v>-162.8174493920169</v>
      </c>
      <c r="AK233" s="119">
        <v>-151.14589707124418</v>
      </c>
      <c r="AL233" s="119">
        <v>-150.35217932716068</v>
      </c>
      <c r="AM233" s="119">
        <v>-151.79314146359093</v>
      </c>
      <c r="AN233" s="119">
        <v>-158.03161030452884</v>
      </c>
      <c r="AO233" s="119">
        <v>-166.03907971087881</v>
      </c>
      <c r="AP233" s="119">
        <v>-173.99477529195406</v>
      </c>
      <c r="AQ233" s="119">
        <v>-181.53474913389817</v>
      </c>
      <c r="AR233" s="119">
        <v>-189.12317659570385</v>
      </c>
      <c r="AS233" s="119">
        <v>-197.47483484113286</v>
      </c>
      <c r="AT233" s="119">
        <v>-205.6521665587851</v>
      </c>
      <c r="AU233" s="119">
        <v>-214.37813153853062</v>
      </c>
      <c r="AV233" s="119">
        <v>-223.75813123880113</v>
      </c>
      <c r="AW233" s="119">
        <v>-232.94615521939318</v>
      </c>
      <c r="AX233" s="119">
        <v>-242.62038825054458</v>
      </c>
      <c r="AY233" s="119">
        <v>-253.09584617806667</v>
      </c>
      <c r="AZ233" s="119">
        <v>-253.09584617806667</v>
      </c>
      <c r="BA233" s="119">
        <v>-253.09584617806667</v>
      </c>
      <c r="BB233" s="119">
        <v>-253.09584617806667</v>
      </c>
      <c r="BC233" s="119">
        <f t="shared" si="91"/>
        <v>-253.09584617806667</v>
      </c>
      <c r="BD233" s="119">
        <f t="shared" si="91"/>
        <v>-253.09584617806667</v>
      </c>
      <c r="BE233" s="119">
        <f t="shared" si="91"/>
        <v>-253.09584617806667</v>
      </c>
      <c r="BF233" s="119">
        <f t="shared" si="91"/>
        <v>-253.09584617806667</v>
      </c>
      <c r="BG233" s="119">
        <f t="shared" si="91"/>
        <v>-253.09584617806667</v>
      </c>
    </row>
    <row r="234" spans="1:59" ht="13.75" customHeight="1" outlineLevel="1">
      <c r="A234" s="171" t="s">
        <v>166</v>
      </c>
      <c r="B234" s="165" t="s">
        <v>313</v>
      </c>
      <c r="C234" s="165"/>
      <c r="D234" s="165" t="s">
        <v>168</v>
      </c>
      <c r="E234" s="167"/>
      <c r="F234" s="168" t="s">
        <v>364</v>
      </c>
      <c r="G234" s="168" t="s">
        <v>4</v>
      </c>
      <c r="H234" s="168"/>
      <c r="I234" s="168"/>
      <c r="X234" s="120"/>
      <c r="Y234" s="119">
        <v>23.259885104099283</v>
      </c>
      <c r="Z234" s="119">
        <v>74.402620335918186</v>
      </c>
      <c r="AA234" s="119">
        <v>72.721178324788696</v>
      </c>
      <c r="AB234" s="119">
        <v>19.846490964691725</v>
      </c>
      <c r="AC234" s="119">
        <v>31.821277347617922</v>
      </c>
      <c r="AD234" s="109">
        <v>36</v>
      </c>
      <c r="AE234" s="119">
        <v>4.510495435626126</v>
      </c>
      <c r="AF234" s="119">
        <v>-10.509171398483431</v>
      </c>
      <c r="AG234" s="119">
        <v>-5.5312998861421647</v>
      </c>
      <c r="AH234" s="119">
        <v>37.652905355226267</v>
      </c>
      <c r="AI234" s="119">
        <v>58.777421307747034</v>
      </c>
      <c r="AJ234" s="119">
        <v>78.824050159189369</v>
      </c>
      <c r="AK234" s="119">
        <v>100.11238989499435</v>
      </c>
      <c r="AL234" s="119">
        <v>107.07674455293056</v>
      </c>
      <c r="AM234" s="119">
        <v>113.50349780200207</v>
      </c>
      <c r="AN234" s="119">
        <v>119.93740162351969</v>
      </c>
      <c r="AO234" s="119">
        <v>124.08850829718614</v>
      </c>
      <c r="AP234" s="119">
        <v>124.72738734348661</v>
      </c>
      <c r="AQ234" s="119">
        <v>125.89321049772133</v>
      </c>
      <c r="AR234" s="119">
        <v>128.10244613590385</v>
      </c>
      <c r="AS234" s="119">
        <v>131.08891975617394</v>
      </c>
      <c r="AT234" s="119">
        <v>134.23561642333573</v>
      </c>
      <c r="AU234" s="119">
        <v>137.42179855215784</v>
      </c>
      <c r="AV234" s="119">
        <v>140.68704972143064</v>
      </c>
      <c r="AW234" s="119">
        <v>144.34011074206489</v>
      </c>
      <c r="AX234" s="119">
        <v>148.35075854904824</v>
      </c>
      <c r="AY234" s="119">
        <v>151.5497985227139</v>
      </c>
      <c r="AZ234" s="119">
        <v>151.5497985227139</v>
      </c>
      <c r="BA234" s="119">
        <v>151.5497985227139</v>
      </c>
      <c r="BB234" s="119">
        <v>151.5497985227139</v>
      </c>
      <c r="BC234" s="119">
        <f t="shared" si="91"/>
        <v>151.5497985227139</v>
      </c>
      <c r="BD234" s="119">
        <f t="shared" si="91"/>
        <v>151.5497985227139</v>
      </c>
      <c r="BE234" s="119">
        <f t="shared" si="91"/>
        <v>151.5497985227139</v>
      </c>
      <c r="BF234" s="119">
        <f t="shared" si="91"/>
        <v>151.5497985227139</v>
      </c>
      <c r="BG234" s="119">
        <f t="shared" si="91"/>
        <v>151.5497985227139</v>
      </c>
    </row>
    <row r="235" spans="1:59" ht="13.75" customHeight="1" outlineLevel="1">
      <c r="A235" s="171" t="s">
        <v>166</v>
      </c>
      <c r="B235" s="165" t="s">
        <v>313</v>
      </c>
      <c r="C235" s="165"/>
      <c r="D235" s="165" t="s">
        <v>168</v>
      </c>
      <c r="E235" s="167"/>
      <c r="F235" s="168" t="s">
        <v>365</v>
      </c>
      <c r="G235" s="168" t="s">
        <v>4</v>
      </c>
      <c r="H235" s="168"/>
      <c r="I235" s="168"/>
      <c r="X235" s="120"/>
      <c r="Y235" s="119">
        <v>121.46086549625613</v>
      </c>
      <c r="Z235" s="119">
        <v>156.87769785529809</v>
      </c>
      <c r="AA235" s="119">
        <v>146.24102506808373</v>
      </c>
      <c r="AB235" s="119">
        <v>128.3217783210136</v>
      </c>
      <c r="AC235" s="119">
        <v>74.606717960644744</v>
      </c>
      <c r="AD235" s="109">
        <v>155</v>
      </c>
      <c r="AE235" s="119">
        <v>222.97338261348318</v>
      </c>
      <c r="AF235" s="119">
        <v>225.29584986161649</v>
      </c>
      <c r="AG235" s="119">
        <v>155.78170837009645</v>
      </c>
      <c r="AH235" s="119">
        <v>164.38213170591996</v>
      </c>
      <c r="AI235" s="119">
        <v>176.68719970607248</v>
      </c>
      <c r="AJ235" s="119">
        <v>190.38799699015919</v>
      </c>
      <c r="AK235" s="119">
        <v>203.0034860058434</v>
      </c>
      <c r="AL235" s="119">
        <v>213.44863417558588</v>
      </c>
      <c r="AM235" s="119">
        <v>217.79544860780192</v>
      </c>
      <c r="AN235" s="119">
        <v>218.65999051174595</v>
      </c>
      <c r="AO235" s="119">
        <v>219.14564037073563</v>
      </c>
      <c r="AP235" s="119">
        <v>219.98013293846066</v>
      </c>
      <c r="AQ235" s="119">
        <v>220.77652348130806</v>
      </c>
      <c r="AR235" s="119">
        <v>222.19143700875907</v>
      </c>
      <c r="AS235" s="119">
        <v>223.53395528003614</v>
      </c>
      <c r="AT235" s="119">
        <v>224.95104872870422</v>
      </c>
      <c r="AU235" s="119">
        <v>225.59277540042262</v>
      </c>
      <c r="AV235" s="119">
        <v>226.10914626245471</v>
      </c>
      <c r="AW235" s="119">
        <v>213.78909452789844</v>
      </c>
      <c r="AX235" s="119">
        <v>210.95269195049298</v>
      </c>
      <c r="AY235" s="119">
        <v>207.83265578042074</v>
      </c>
      <c r="AZ235" s="119">
        <v>207.83265578042074</v>
      </c>
      <c r="BA235" s="119">
        <v>207.83265578042074</v>
      </c>
      <c r="BB235" s="119">
        <v>207.83265578042074</v>
      </c>
      <c r="BC235" s="119">
        <f t="shared" si="91"/>
        <v>207.83265578042074</v>
      </c>
      <c r="BD235" s="119">
        <f t="shared" si="91"/>
        <v>207.83265578042074</v>
      </c>
      <c r="BE235" s="119">
        <f t="shared" si="91"/>
        <v>207.83265578042074</v>
      </c>
      <c r="BF235" s="119">
        <f t="shared" si="91"/>
        <v>207.83265578042074</v>
      </c>
      <c r="BG235" s="119">
        <f t="shared" si="91"/>
        <v>207.83265578042074</v>
      </c>
    </row>
    <row r="236" spans="1:59" ht="13.75" customHeight="1" outlineLevel="1">
      <c r="A236" s="171" t="s">
        <v>166</v>
      </c>
      <c r="B236" s="165" t="s">
        <v>313</v>
      </c>
      <c r="C236" s="165"/>
      <c r="D236" s="165" t="s">
        <v>168</v>
      </c>
      <c r="E236" s="167"/>
      <c r="F236" s="168" t="s">
        <v>366</v>
      </c>
      <c r="G236" s="168" t="s">
        <v>4</v>
      </c>
      <c r="H236" s="168"/>
      <c r="I236" s="168"/>
      <c r="X236" s="120"/>
      <c r="Y236" s="119">
        <v>50.909551923952222</v>
      </c>
      <c r="Z236" s="119">
        <v>98.317996260015036</v>
      </c>
      <c r="AA236" s="119">
        <v>123.91083349720253</v>
      </c>
      <c r="AB236" s="119">
        <v>122.93844498768027</v>
      </c>
      <c r="AC236" s="119">
        <v>61.748005141481826</v>
      </c>
      <c r="AD236" s="109">
        <v>64</v>
      </c>
      <c r="AE236" s="119">
        <v>449.27623611434956</v>
      </c>
      <c r="AF236" s="119">
        <v>279.71658568207238</v>
      </c>
      <c r="AG236" s="119">
        <v>158.21736483304414</v>
      </c>
      <c r="AH236" s="119">
        <v>135.22063672338504</v>
      </c>
      <c r="AI236" s="119">
        <v>123.76710087877649</v>
      </c>
      <c r="AJ236" s="119">
        <v>120.3010032967353</v>
      </c>
      <c r="AK236" s="119">
        <v>119.88009439196941</v>
      </c>
      <c r="AL236" s="119">
        <v>127.33371301055627</v>
      </c>
      <c r="AM236" s="119">
        <v>133.60985326909685</v>
      </c>
      <c r="AN236" s="119">
        <v>135.47580678264319</v>
      </c>
      <c r="AO236" s="119">
        <v>135.33826970342278</v>
      </c>
      <c r="AP236" s="119">
        <v>136.03475150911265</v>
      </c>
      <c r="AQ236" s="119">
        <v>137.20964540137862</v>
      </c>
      <c r="AR236" s="119">
        <v>139.18342040895641</v>
      </c>
      <c r="AS236" s="119">
        <v>141.27284621494505</v>
      </c>
      <c r="AT236" s="119">
        <v>143.57598986355151</v>
      </c>
      <c r="AU236" s="119">
        <v>146.01602232745427</v>
      </c>
      <c r="AV236" s="119">
        <v>148.53224641893223</v>
      </c>
      <c r="AW236" s="119">
        <v>151.40640367943593</v>
      </c>
      <c r="AX236" s="119">
        <v>154.78382255485133</v>
      </c>
      <c r="AY236" s="119">
        <v>157.43297924360979</v>
      </c>
      <c r="AZ236" s="119">
        <v>157.43297924360979</v>
      </c>
      <c r="BA236" s="119">
        <v>157.43297924360979</v>
      </c>
      <c r="BB236" s="119">
        <v>157.43297924360979</v>
      </c>
      <c r="BC236" s="119">
        <f t="shared" si="91"/>
        <v>157.43297924360979</v>
      </c>
      <c r="BD236" s="119">
        <f t="shared" si="91"/>
        <v>157.43297924360979</v>
      </c>
      <c r="BE236" s="119">
        <f t="shared" si="91"/>
        <v>157.43297924360979</v>
      </c>
      <c r="BF236" s="119">
        <f t="shared" si="91"/>
        <v>157.43297924360979</v>
      </c>
      <c r="BG236" s="119">
        <f t="shared" si="91"/>
        <v>157.43297924360979</v>
      </c>
    </row>
    <row r="237" spans="1:59" ht="13.75" customHeight="1" outlineLevel="1">
      <c r="A237" s="171" t="s">
        <v>166</v>
      </c>
      <c r="B237" s="165" t="s">
        <v>313</v>
      </c>
      <c r="C237" s="165"/>
      <c r="D237" s="165" t="s">
        <v>168</v>
      </c>
      <c r="E237" s="167"/>
      <c r="F237" s="168" t="s">
        <v>367</v>
      </c>
      <c r="G237" s="168" t="s">
        <v>4</v>
      </c>
      <c r="H237" s="168"/>
      <c r="I237" s="168"/>
      <c r="X237" s="120"/>
      <c r="Y237" s="119">
        <v>76.194156203843534</v>
      </c>
      <c r="Z237" s="119">
        <v>131.22715003133419</v>
      </c>
      <c r="AA237" s="119">
        <v>171.96378700732402</v>
      </c>
      <c r="AB237" s="119">
        <v>166.6106656955082</v>
      </c>
      <c r="AC237" s="119">
        <v>62.793567183092364</v>
      </c>
      <c r="AD237" s="109">
        <v>61</v>
      </c>
      <c r="AE237" s="119">
        <v>328.42406840136198</v>
      </c>
      <c r="AF237" s="119">
        <v>235.09607883693434</v>
      </c>
      <c r="AG237" s="119">
        <v>141.41165538651114</v>
      </c>
      <c r="AH237" s="119">
        <v>142.16599601080202</v>
      </c>
      <c r="AI237" s="119">
        <v>129.84566536405219</v>
      </c>
      <c r="AJ237" s="119">
        <v>128.66093431701495</v>
      </c>
      <c r="AK237" s="119">
        <v>130.18928158111095</v>
      </c>
      <c r="AL237" s="119">
        <v>137.9954856201349</v>
      </c>
      <c r="AM237" s="119">
        <v>145.27298479798111</v>
      </c>
      <c r="AN237" s="119">
        <v>146.62541881200752</v>
      </c>
      <c r="AO237" s="119">
        <v>145.4827298236018</v>
      </c>
      <c r="AP237" s="119">
        <v>145.20130758659866</v>
      </c>
      <c r="AQ237" s="119">
        <v>145.43094144991466</v>
      </c>
      <c r="AR237" s="119">
        <v>146.51421842997468</v>
      </c>
      <c r="AS237" s="119">
        <v>147.85791161154373</v>
      </c>
      <c r="AT237" s="119">
        <v>149.34566449784768</v>
      </c>
      <c r="AU237" s="119">
        <v>150.77801841928488</v>
      </c>
      <c r="AV237" s="119">
        <v>152.26988963407814</v>
      </c>
      <c r="AW237" s="119">
        <v>154.1107518887892</v>
      </c>
      <c r="AX237" s="119">
        <v>156.47585883461488</v>
      </c>
      <c r="AY237" s="119">
        <v>158.03870763963766</v>
      </c>
      <c r="AZ237" s="119">
        <v>158.03870763963766</v>
      </c>
      <c r="BA237" s="119">
        <v>158.03870763963766</v>
      </c>
      <c r="BB237" s="119">
        <v>158.03870763963766</v>
      </c>
      <c r="BC237" s="119">
        <f t="shared" si="91"/>
        <v>158.03870763963766</v>
      </c>
      <c r="BD237" s="119">
        <f t="shared" si="91"/>
        <v>158.03870763963766</v>
      </c>
      <c r="BE237" s="119">
        <f t="shared" si="91"/>
        <v>158.03870763963766</v>
      </c>
      <c r="BF237" s="119">
        <f t="shared" si="91"/>
        <v>158.03870763963766</v>
      </c>
      <c r="BG237" s="119">
        <f t="shared" si="91"/>
        <v>158.03870763963766</v>
      </c>
    </row>
    <row r="238" spans="1:59" ht="13.75" customHeight="1" outlineLevel="1">
      <c r="A238" s="171" t="s">
        <v>166</v>
      </c>
      <c r="B238" s="165" t="s">
        <v>313</v>
      </c>
      <c r="C238" s="165"/>
      <c r="D238" s="165" t="s">
        <v>168</v>
      </c>
      <c r="E238" s="167"/>
      <c r="F238" s="168" t="s">
        <v>368</v>
      </c>
      <c r="G238" s="168" t="s">
        <v>4</v>
      </c>
      <c r="H238" s="168"/>
      <c r="I238" s="168"/>
      <c r="X238" s="120"/>
      <c r="Y238" s="119">
        <v>-131.36385956678546</v>
      </c>
      <c r="Z238" s="119">
        <v>-86.483441631584867</v>
      </c>
      <c r="AA238" s="119">
        <v>-112.81234384189838</v>
      </c>
      <c r="AB238" s="119">
        <v>-137.29519588519378</v>
      </c>
      <c r="AC238" s="119">
        <v>-83.332714718217858</v>
      </c>
      <c r="AD238" s="109">
        <v>-120</v>
      </c>
      <c r="AE238" s="119">
        <v>-200.3300722761997</v>
      </c>
      <c r="AF238" s="119">
        <v>-187.51505204903827</v>
      </c>
      <c r="AG238" s="119">
        <v>-208.71714339863433</v>
      </c>
      <c r="AH238" s="119">
        <v>-195.75336895400864</v>
      </c>
      <c r="AI238" s="119">
        <v>-181.66661147726484</v>
      </c>
      <c r="AJ238" s="119">
        <v>-165.06926031014495</v>
      </c>
      <c r="AK238" s="119">
        <v>-146.13610606165611</v>
      </c>
      <c r="AL238" s="119">
        <v>-144.83257049650967</v>
      </c>
      <c r="AM238" s="119">
        <v>-145.88550601995968</v>
      </c>
      <c r="AN238" s="119">
        <v>-152.13876098954944</v>
      </c>
      <c r="AO238" s="119">
        <v>-159.73707622721872</v>
      </c>
      <c r="AP238" s="119">
        <v>-167.23450698596753</v>
      </c>
      <c r="AQ238" s="119">
        <v>-174.33320604381106</v>
      </c>
      <c r="AR238" s="119">
        <v>-181.60254143284197</v>
      </c>
      <c r="AS238" s="119">
        <v>-189.7538945646387</v>
      </c>
      <c r="AT238" s="119">
        <v>-197.51920092186151</v>
      </c>
      <c r="AU238" s="119">
        <v>-205.71086207243042</v>
      </c>
      <c r="AV238" s="119">
        <v>-214.47000423912982</v>
      </c>
      <c r="AW238" s="119">
        <v>-223.11170769523557</v>
      </c>
      <c r="AX238" s="119">
        <v>-232.15877194202875</v>
      </c>
      <c r="AY238" s="119">
        <v>-242.02239260658723</v>
      </c>
      <c r="AZ238" s="119">
        <v>-242.02239260658723</v>
      </c>
      <c r="BA238" s="119">
        <v>-242.02239260658723</v>
      </c>
      <c r="BB238" s="119">
        <v>-242.02239260658723</v>
      </c>
      <c r="BC238" s="119">
        <f t="shared" si="91"/>
        <v>-242.02239260658723</v>
      </c>
      <c r="BD238" s="119">
        <f t="shared" si="91"/>
        <v>-242.02239260658723</v>
      </c>
      <c r="BE238" s="119">
        <f t="shared" si="91"/>
        <v>-242.02239260658723</v>
      </c>
      <c r="BF238" s="119">
        <f t="shared" si="91"/>
        <v>-242.02239260658723</v>
      </c>
      <c r="BG238" s="119">
        <f t="shared" si="91"/>
        <v>-242.02239260658723</v>
      </c>
    </row>
    <row r="239" spans="1:59" ht="13.75" customHeight="1" outlineLevel="1">
      <c r="A239" s="171"/>
      <c r="B239" s="165"/>
      <c r="C239" s="165"/>
      <c r="D239" s="165"/>
      <c r="E239" s="167"/>
      <c r="F239" s="168"/>
      <c r="G239" s="168"/>
      <c r="H239" s="168"/>
      <c r="I239" s="168"/>
      <c r="X239" s="120"/>
      <c r="Y239" s="120"/>
      <c r="Z239" s="120"/>
    </row>
    <row r="240" spans="1:59" ht="13.75" customHeight="1" outlineLevel="1">
      <c r="A240" s="171"/>
      <c r="B240" s="165"/>
      <c r="C240" s="165"/>
      <c r="D240" s="165"/>
      <c r="E240" s="167"/>
      <c r="F240" s="168"/>
      <c r="G240" s="168"/>
      <c r="H240" s="168"/>
      <c r="I240" s="168"/>
      <c r="X240" s="120"/>
      <c r="Y240" s="120"/>
      <c r="Z240" s="120"/>
    </row>
    <row r="241" spans="1:59" ht="13.75" customHeight="1" outlineLevel="1">
      <c r="A241" s="171"/>
      <c r="B241" s="165"/>
      <c r="C241" s="165"/>
      <c r="D241" s="165"/>
      <c r="E241" s="167"/>
      <c r="F241" s="168"/>
      <c r="G241" s="168"/>
      <c r="H241" s="168"/>
      <c r="I241" s="168"/>
      <c r="X241" s="120"/>
      <c r="Y241" s="120"/>
      <c r="Z241" s="120"/>
      <c r="AA241" s="120"/>
    </row>
    <row r="242" spans="1:59" ht="13.75" customHeight="1">
      <c r="A242" s="171" t="s">
        <v>166</v>
      </c>
      <c r="B242" s="165" t="s">
        <v>369</v>
      </c>
      <c r="C242" s="165"/>
      <c r="D242" s="165" t="s">
        <v>370</v>
      </c>
      <c r="E242" s="167"/>
      <c r="F242" s="168" t="s">
        <v>371</v>
      </c>
      <c r="G242" s="168" t="s">
        <v>3</v>
      </c>
      <c r="H242" s="168"/>
      <c r="I242" s="168"/>
      <c r="U242" s="107">
        <v>7.4999999999999997E-2</v>
      </c>
      <c r="V242" s="107">
        <v>0.15</v>
      </c>
      <c r="W242" s="107">
        <v>7.5999999999999998E-2</v>
      </c>
      <c r="X242" s="107">
        <v>3.5000000000000003E-2</v>
      </c>
      <c r="Y242" s="107">
        <v>3.6144578313252795E-2</v>
      </c>
      <c r="Z242" s="107">
        <v>1.9500000000000073E-2</v>
      </c>
      <c r="AA242" s="107">
        <v>3.6500000000000005E-2</v>
      </c>
      <c r="AB242" s="107">
        <v>0.03</v>
      </c>
      <c r="AC242" s="107">
        <v>0.03</v>
      </c>
      <c r="AD242" s="107">
        <v>0.03</v>
      </c>
      <c r="AE242" s="107">
        <v>6.3E-2</v>
      </c>
      <c r="AF242" s="107">
        <v>0.10299999999999999</v>
      </c>
      <c r="AG242" s="107">
        <v>4.0000000000000036E-2</v>
      </c>
      <c r="AH242" s="107">
        <v>8.0000000000000293E-2</v>
      </c>
      <c r="AI242" s="107">
        <v>5.9230769230769198E-2</v>
      </c>
      <c r="AJ242" s="107">
        <v>0.04</v>
      </c>
      <c r="AK242" s="107">
        <v>0.04</v>
      </c>
      <c r="AL242" s="107">
        <v>0.04</v>
      </c>
      <c r="AM242" s="107">
        <v>0.04</v>
      </c>
      <c r="AN242" s="107">
        <v>0.04</v>
      </c>
      <c r="AO242" s="107">
        <v>0.04</v>
      </c>
      <c r="AP242" s="107">
        <v>0.04</v>
      </c>
      <c r="AQ242" s="107">
        <v>0.04</v>
      </c>
      <c r="AR242" s="107">
        <v>0.04</v>
      </c>
      <c r="AS242" s="107">
        <v>0.04</v>
      </c>
      <c r="AT242" s="107">
        <v>0.04</v>
      </c>
      <c r="AU242" s="107">
        <v>0.04</v>
      </c>
      <c r="AV242" s="107">
        <v>0.04</v>
      </c>
      <c r="AW242" s="107">
        <v>0.04</v>
      </c>
      <c r="AX242" s="107">
        <v>0.04</v>
      </c>
      <c r="AY242" s="107">
        <v>0.04</v>
      </c>
      <c r="AZ242" s="107">
        <f>AY242</f>
        <v>0.04</v>
      </c>
      <c r="BA242" s="107">
        <f t="shared" ref="BA242:BG244" si="92">AZ242</f>
        <v>0.04</v>
      </c>
      <c r="BB242" s="107">
        <f t="shared" si="92"/>
        <v>0.04</v>
      </c>
      <c r="BC242" s="107">
        <f t="shared" si="92"/>
        <v>0.04</v>
      </c>
      <c r="BD242" s="107">
        <f t="shared" si="92"/>
        <v>0.04</v>
      </c>
      <c r="BE242" s="107">
        <f t="shared" si="92"/>
        <v>0.04</v>
      </c>
      <c r="BF242" s="107">
        <f t="shared" si="92"/>
        <v>0.04</v>
      </c>
      <c r="BG242" s="107">
        <f t="shared" si="92"/>
        <v>0.04</v>
      </c>
    </row>
    <row r="243" spans="1:59" ht="13.75" customHeight="1">
      <c r="A243" s="171" t="s">
        <v>166</v>
      </c>
      <c r="B243" s="165" t="s">
        <v>369</v>
      </c>
      <c r="C243" s="165"/>
      <c r="D243" s="166" t="s">
        <v>110</v>
      </c>
      <c r="E243" s="167"/>
      <c r="F243" s="168" t="s">
        <v>372</v>
      </c>
      <c r="G243" s="168" t="s">
        <v>3</v>
      </c>
      <c r="H243" s="168"/>
      <c r="I243" s="168" t="s">
        <v>336</v>
      </c>
      <c r="U243" s="107">
        <v>0.3</v>
      </c>
      <c r="V243" s="107">
        <v>0.3</v>
      </c>
      <c r="W243" s="107">
        <v>0.3</v>
      </c>
      <c r="X243" s="107">
        <v>0.3</v>
      </c>
      <c r="Y243" s="107">
        <v>0.3</v>
      </c>
      <c r="Z243" s="107">
        <v>0.3</v>
      </c>
      <c r="AA243" s="107">
        <v>0.3</v>
      </c>
      <c r="AB243" s="107">
        <v>0.3</v>
      </c>
      <c r="AC243" s="107">
        <v>0.3</v>
      </c>
      <c r="AD243" s="107">
        <v>0.3</v>
      </c>
      <c r="AE243" s="107">
        <v>0.3</v>
      </c>
      <c r="AF243" s="107">
        <v>0.3</v>
      </c>
      <c r="AG243" s="107">
        <v>0.3</v>
      </c>
      <c r="AH243" s="107">
        <v>0.3</v>
      </c>
      <c r="AI243" s="107">
        <v>0.3</v>
      </c>
      <c r="AJ243" s="107">
        <v>0.3</v>
      </c>
      <c r="AK243" s="107">
        <v>0.3</v>
      </c>
      <c r="AL243" s="107">
        <v>0.3</v>
      </c>
      <c r="AM243" s="107">
        <v>0.3</v>
      </c>
      <c r="AN243" s="107">
        <v>0.3</v>
      </c>
      <c r="AO243" s="107">
        <v>0.3</v>
      </c>
      <c r="AP243" s="107">
        <v>0.3</v>
      </c>
      <c r="AQ243" s="107">
        <v>0.3</v>
      </c>
      <c r="AR243" s="107">
        <v>0.3</v>
      </c>
      <c r="AS243" s="107">
        <v>0.3</v>
      </c>
      <c r="AT243" s="107">
        <v>0.3</v>
      </c>
      <c r="AU243" s="107">
        <v>0.3</v>
      </c>
      <c r="AV243" s="107">
        <v>0.3</v>
      </c>
      <c r="AW243" s="107">
        <v>0.3</v>
      </c>
      <c r="AX243" s="107">
        <v>0.3</v>
      </c>
      <c r="AY243" s="107">
        <v>0.3</v>
      </c>
      <c r="AZ243" s="107">
        <f t="shared" ref="AZ243:BB244" si="93">AY243</f>
        <v>0.3</v>
      </c>
      <c r="BA243" s="107">
        <f t="shared" si="93"/>
        <v>0.3</v>
      </c>
      <c r="BB243" s="107">
        <f t="shared" si="93"/>
        <v>0.3</v>
      </c>
      <c r="BC243" s="107">
        <f t="shared" si="92"/>
        <v>0.3</v>
      </c>
      <c r="BD243" s="107">
        <f t="shared" si="92"/>
        <v>0.3</v>
      </c>
      <c r="BE243" s="107">
        <f t="shared" si="92"/>
        <v>0.3</v>
      </c>
      <c r="BF243" s="107">
        <f t="shared" si="92"/>
        <v>0.3</v>
      </c>
      <c r="BG243" s="107">
        <f t="shared" si="92"/>
        <v>0.3</v>
      </c>
    </row>
    <row r="244" spans="1:59" ht="13.75" customHeight="1">
      <c r="A244" s="171" t="s">
        <v>166</v>
      </c>
      <c r="B244" s="165" t="s">
        <v>369</v>
      </c>
      <c r="C244" s="165"/>
      <c r="D244" s="166" t="s">
        <v>110</v>
      </c>
      <c r="E244" s="167"/>
      <c r="F244" s="168" t="s">
        <v>373</v>
      </c>
      <c r="G244" s="168" t="s">
        <v>3</v>
      </c>
      <c r="H244" s="168"/>
      <c r="I244" s="168" t="s">
        <v>336</v>
      </c>
      <c r="U244" s="107">
        <v>0</v>
      </c>
      <c r="V244" s="107">
        <v>0</v>
      </c>
      <c r="W244" s="107">
        <v>0</v>
      </c>
      <c r="X244" s="107">
        <v>0</v>
      </c>
      <c r="Y244" s="107">
        <v>0</v>
      </c>
      <c r="Z244" s="107">
        <v>0</v>
      </c>
      <c r="AA244" s="107">
        <v>0</v>
      </c>
      <c r="AB244" s="107">
        <v>0</v>
      </c>
      <c r="AC244" s="107">
        <v>0</v>
      </c>
      <c r="AD244" s="107">
        <v>0</v>
      </c>
      <c r="AE244" s="107">
        <v>0</v>
      </c>
      <c r="AF244" s="107">
        <v>0</v>
      </c>
      <c r="AG244" s="107">
        <v>0</v>
      </c>
      <c r="AH244" s="107">
        <v>0</v>
      </c>
      <c r="AI244" s="107">
        <v>0</v>
      </c>
      <c r="AJ244" s="107">
        <v>0</v>
      </c>
      <c r="AK244" s="107">
        <v>0</v>
      </c>
      <c r="AL244" s="107">
        <v>0</v>
      </c>
      <c r="AM244" s="107">
        <v>0</v>
      </c>
      <c r="AN244" s="107">
        <v>0</v>
      </c>
      <c r="AO244" s="107">
        <v>0</v>
      </c>
      <c r="AP244" s="107">
        <v>0</v>
      </c>
      <c r="AQ244" s="107">
        <v>0</v>
      </c>
      <c r="AR244" s="107">
        <v>0</v>
      </c>
      <c r="AS244" s="107">
        <v>0</v>
      </c>
      <c r="AT244" s="107">
        <v>0</v>
      </c>
      <c r="AU244" s="107">
        <v>0</v>
      </c>
      <c r="AV244" s="107">
        <v>0</v>
      </c>
      <c r="AW244" s="107">
        <v>0</v>
      </c>
      <c r="AX244" s="107">
        <v>0</v>
      </c>
      <c r="AY244" s="107">
        <v>0</v>
      </c>
      <c r="AZ244" s="107">
        <f t="shared" si="93"/>
        <v>0</v>
      </c>
      <c r="BA244" s="107">
        <f t="shared" si="93"/>
        <v>0</v>
      </c>
      <c r="BB244" s="107">
        <f t="shared" si="93"/>
        <v>0</v>
      </c>
      <c r="BC244" s="107">
        <f t="shared" si="92"/>
        <v>0</v>
      </c>
      <c r="BD244" s="107">
        <f t="shared" si="92"/>
        <v>0</v>
      </c>
      <c r="BE244" s="107">
        <f t="shared" si="92"/>
        <v>0</v>
      </c>
      <c r="BF244" s="107">
        <f t="shared" si="92"/>
        <v>0</v>
      </c>
      <c r="BG244" s="107">
        <f t="shared" si="92"/>
        <v>0</v>
      </c>
    </row>
    <row r="245" spans="1:59" ht="13.75" customHeight="1">
      <c r="A245" s="171" t="s">
        <v>166</v>
      </c>
      <c r="B245" s="165" t="s">
        <v>369</v>
      </c>
      <c r="C245" s="165"/>
      <c r="D245" s="165" t="s">
        <v>168</v>
      </c>
      <c r="E245" s="167"/>
      <c r="F245" s="168" t="s">
        <v>374</v>
      </c>
      <c r="G245" s="168" t="s">
        <v>375</v>
      </c>
      <c r="H245" s="168"/>
      <c r="I245" s="168"/>
      <c r="U245" s="112">
        <v>293.57369999999997</v>
      </c>
      <c r="V245" s="112">
        <v>329.61025999999998</v>
      </c>
      <c r="W245" s="112">
        <v>255.98383999999999</v>
      </c>
      <c r="X245" s="119">
        <v>232.14285714285714</v>
      </c>
      <c r="Y245" s="119">
        <v>167.85714285714286</v>
      </c>
      <c r="Z245" s="119">
        <v>207.14285714285714</v>
      </c>
      <c r="AA245" s="119">
        <v>289.28571428571428</v>
      </c>
      <c r="AB245" s="119">
        <v>160.71428571428572</v>
      </c>
      <c r="AC245" s="119">
        <v>178.57142857142856</v>
      </c>
      <c r="AD245" s="119">
        <v>571.38567646418721</v>
      </c>
      <c r="AE245" s="119">
        <f>35.71*AE247</f>
        <v>1155.2526252236389</v>
      </c>
      <c r="AF245" s="119">
        <f t="shared" ref="AF245:BG246" si="94">35.71*AF247</f>
        <v>465.72432973694322</v>
      </c>
      <c r="AG245" s="119">
        <f t="shared" si="94"/>
        <v>518.49007468896514</v>
      </c>
      <c r="AH245" s="119">
        <f t="shared" si="94"/>
        <v>471.57626671209454</v>
      </c>
      <c r="AI245" s="119">
        <f t="shared" si="94"/>
        <v>415.96195417964697</v>
      </c>
      <c r="AJ245" s="119">
        <f t="shared" si="94"/>
        <v>405.29357741812095</v>
      </c>
      <c r="AK245" s="119">
        <f t="shared" si="94"/>
        <v>406.91475172779337</v>
      </c>
      <c r="AL245" s="119">
        <f t="shared" si="94"/>
        <v>408.5424107347045</v>
      </c>
      <c r="AM245" s="119">
        <f t="shared" si="94"/>
        <v>410.17658037764335</v>
      </c>
      <c r="AN245" s="119">
        <f t="shared" si="94"/>
        <v>411.8172866991539</v>
      </c>
      <c r="AO245" s="119">
        <f t="shared" si="94"/>
        <v>413.46455584595054</v>
      </c>
      <c r="AP245" s="119">
        <f t="shared" si="94"/>
        <v>415.11841406933434</v>
      </c>
      <c r="AQ245" s="119">
        <f t="shared" si="94"/>
        <v>416.7788877256117</v>
      </c>
      <c r="AR245" s="119">
        <f t="shared" si="94"/>
        <v>418.44600327651415</v>
      </c>
      <c r="AS245" s="119">
        <f t="shared" si="94"/>
        <v>420.11978728962026</v>
      </c>
      <c r="AT245" s="119">
        <f t="shared" si="94"/>
        <v>421.80026643877875</v>
      </c>
      <c r="AU245" s="119">
        <f t="shared" si="94"/>
        <v>423.48746750453387</v>
      </c>
      <c r="AV245" s="119">
        <f t="shared" si="94"/>
        <v>425.18141737455198</v>
      </c>
      <c r="AW245" s="119">
        <f t="shared" si="94"/>
        <v>426.88214304405022</v>
      </c>
      <c r="AX245" s="119">
        <f t="shared" si="94"/>
        <v>428.58967161622638</v>
      </c>
      <c r="AY245" s="119">
        <f t="shared" si="94"/>
        <v>430.30403030269127</v>
      </c>
      <c r="AZ245" s="119">
        <f t="shared" si="94"/>
        <v>432.02524642390205</v>
      </c>
      <c r="BA245" s="119">
        <f t="shared" si="94"/>
        <v>433.75334740959767</v>
      </c>
      <c r="BB245" s="119">
        <f t="shared" si="94"/>
        <v>435.48836079923603</v>
      </c>
      <c r="BC245" s="119">
        <f t="shared" si="94"/>
        <v>437.230314242433</v>
      </c>
      <c r="BD245" s="119">
        <f t="shared" si="94"/>
        <v>438.97923549940271</v>
      </c>
      <c r="BE245" s="119">
        <f t="shared" si="94"/>
        <v>440.73515244140032</v>
      </c>
      <c r="BF245" s="119">
        <f t="shared" si="94"/>
        <v>442.49809305116594</v>
      </c>
      <c r="BG245" s="119">
        <f t="shared" si="94"/>
        <v>444.26808542337056</v>
      </c>
    </row>
    <row r="246" spans="1:59" ht="13.75" customHeight="1">
      <c r="A246" s="171" t="s">
        <v>166</v>
      </c>
      <c r="B246" s="165" t="s">
        <v>369</v>
      </c>
      <c r="C246" s="165"/>
      <c r="D246" s="165" t="s">
        <v>168</v>
      </c>
      <c r="E246" s="167"/>
      <c r="F246" s="161" t="s">
        <v>376</v>
      </c>
      <c r="G246" s="168" t="s">
        <v>375</v>
      </c>
      <c r="H246" s="168"/>
      <c r="I246" s="168"/>
      <c r="U246" s="112">
        <v>487.40896763467515</v>
      </c>
      <c r="V246" s="112">
        <v>516.57839144259083</v>
      </c>
      <c r="W246" s="112">
        <v>431.50673999999998</v>
      </c>
      <c r="X246" s="119">
        <v>366.42857142857139</v>
      </c>
      <c r="Y246" s="119">
        <v>246.42857142857144</v>
      </c>
      <c r="Z246" s="119">
        <v>288.21428571428572</v>
      </c>
      <c r="AA246" s="119">
        <v>361.42857142857139</v>
      </c>
      <c r="AB246" s="119">
        <v>355</v>
      </c>
      <c r="AC246" s="119">
        <v>285.71428571428567</v>
      </c>
      <c r="AD246" s="119">
        <v>336.7064879663987</v>
      </c>
      <c r="AE246" s="119">
        <f>35.71*AE248</f>
        <v>538.20921666666663</v>
      </c>
      <c r="AF246" s="119">
        <f t="shared" si="94"/>
        <v>455.61012718242677</v>
      </c>
      <c r="AG246" s="119">
        <f t="shared" si="94"/>
        <v>431.37591455721321</v>
      </c>
      <c r="AH246" s="119">
        <f t="shared" si="94"/>
        <v>418.13902106111243</v>
      </c>
      <c r="AI246" s="119">
        <f t="shared" si="94"/>
        <v>407.68411597079171</v>
      </c>
      <c r="AJ246" s="119">
        <f t="shared" si="94"/>
        <v>407.12592765850485</v>
      </c>
      <c r="AK246" s="119">
        <f t="shared" si="94"/>
        <v>408.75443136913884</v>
      </c>
      <c r="AL246" s="119">
        <f t="shared" si="94"/>
        <v>410.38944909461543</v>
      </c>
      <c r="AM246" s="119">
        <f t="shared" si="94"/>
        <v>412.03100689099392</v>
      </c>
      <c r="AN246" s="119">
        <f t="shared" si="94"/>
        <v>413.67913091855786</v>
      </c>
      <c r="AO246" s="119">
        <f t="shared" si="94"/>
        <v>415.33384744223213</v>
      </c>
      <c r="AP246" s="119">
        <f t="shared" si="94"/>
        <v>416.99518283200103</v>
      </c>
      <c r="AQ246" s="119">
        <f t="shared" si="94"/>
        <v>418.66316356332908</v>
      </c>
      <c r="AR246" s="119">
        <f t="shared" si="94"/>
        <v>420.33781621758237</v>
      </c>
      <c r="AS246" s="119">
        <f t="shared" si="94"/>
        <v>422.0191674824527</v>
      </c>
      <c r="AT246" s="119">
        <f t="shared" si="94"/>
        <v>423.70724415238249</v>
      </c>
      <c r="AU246" s="119">
        <f t="shared" si="94"/>
        <v>425.40207312899201</v>
      </c>
      <c r="AV246" s="119">
        <f t="shared" si="94"/>
        <v>427.10368142150799</v>
      </c>
      <c r="AW246" s="119">
        <f t="shared" si="94"/>
        <v>428.81209614719404</v>
      </c>
      <c r="AX246" s="119">
        <f t="shared" si="94"/>
        <v>430.52734453178283</v>
      </c>
      <c r="AY246" s="119">
        <f t="shared" si="94"/>
        <v>432.24945390990996</v>
      </c>
      <c r="AZ246" s="119">
        <f t="shared" si="94"/>
        <v>433.97845172554958</v>
      </c>
      <c r="BA246" s="119">
        <f t="shared" si="94"/>
        <v>435.71436553245178</v>
      </c>
      <c r="BB246" s="119">
        <f t="shared" si="94"/>
        <v>437.45722299458163</v>
      </c>
      <c r="BC246" s="119">
        <f t="shared" si="94"/>
        <v>439.20705188655995</v>
      </c>
      <c r="BD246" s="119">
        <f t="shared" si="94"/>
        <v>440.96388009410623</v>
      </c>
      <c r="BE246" s="119">
        <f t="shared" si="94"/>
        <v>442.72773561448264</v>
      </c>
      <c r="BF246" s="119">
        <f t="shared" si="94"/>
        <v>444.49864655694057</v>
      </c>
      <c r="BG246" s="119">
        <f t="shared" si="94"/>
        <v>446.27664114316832</v>
      </c>
    </row>
    <row r="247" spans="1:59" ht="13.75" customHeight="1">
      <c r="A247" s="171" t="s">
        <v>166</v>
      </c>
      <c r="B247" s="165" t="s">
        <v>369</v>
      </c>
      <c r="C247" s="165"/>
      <c r="D247" s="165" t="s">
        <v>377</v>
      </c>
      <c r="E247" s="167"/>
      <c r="F247" s="168" t="s">
        <v>378</v>
      </c>
      <c r="G247" s="168" t="s">
        <v>379</v>
      </c>
      <c r="H247" s="168"/>
      <c r="I247" s="168" t="s">
        <v>380</v>
      </c>
      <c r="U247" s="112">
        <v>9.4499999999999993</v>
      </c>
      <c r="V247" s="112">
        <v>10.61</v>
      </c>
      <c r="W247" s="112">
        <v>8.24</v>
      </c>
      <c r="X247" s="112">
        <v>6.5</v>
      </c>
      <c r="Y247" s="112">
        <v>4.7</v>
      </c>
      <c r="Z247" s="112">
        <v>5.8</v>
      </c>
      <c r="AA247" s="112">
        <v>8.1</v>
      </c>
      <c r="AB247" s="112">
        <v>4.5</v>
      </c>
      <c r="AC247" s="112">
        <v>5</v>
      </c>
      <c r="AD247" s="112">
        <v>15.998798940997242</v>
      </c>
      <c r="AE247" s="112">
        <v>32.350955620936404</v>
      </c>
      <c r="AF247" s="112">
        <v>13.041846254184913</v>
      </c>
      <c r="AG247" s="112">
        <v>14.519464427022266</v>
      </c>
      <c r="AH247" s="112">
        <v>13.20572015435717</v>
      </c>
      <c r="AI247" s="112">
        <v>11.648332516932147</v>
      </c>
      <c r="AJ247" s="112">
        <v>11.349582117561493</v>
      </c>
      <c r="AK247" s="112">
        <v>11.394980446031738</v>
      </c>
      <c r="AL247" s="112">
        <v>11.440560367815864</v>
      </c>
      <c r="AM247" s="112">
        <v>11.486322609287129</v>
      </c>
      <c r="AN247" s="112">
        <v>11.532267899724276</v>
      </c>
      <c r="AO247" s="112">
        <v>11.578396971323174</v>
      </c>
      <c r="AP247" s="112">
        <v>11.624710559208467</v>
      </c>
      <c r="AQ247" s="112">
        <v>11.671209401445301</v>
      </c>
      <c r="AR247" s="112">
        <v>11.717894239051082</v>
      </c>
      <c r="AS247" s="112">
        <v>11.764765816007287</v>
      </c>
      <c r="AT247" s="112">
        <v>11.811824879271317</v>
      </c>
      <c r="AU247" s="112">
        <v>11.859072178788402</v>
      </c>
      <c r="AV247" s="112">
        <v>11.906508467503556</v>
      </c>
      <c r="AW247" s="112">
        <v>11.95413450137357</v>
      </c>
      <c r="AX247" s="112">
        <v>12.001951039379064</v>
      </c>
      <c r="AY247" s="112">
        <v>12.049958843536579</v>
      </c>
      <c r="AZ247" s="112">
        <v>12.098158678910726</v>
      </c>
      <c r="BA247" s="112">
        <v>12.14655131362637</v>
      </c>
      <c r="BB247" s="112">
        <v>12.195137518880875</v>
      </c>
      <c r="BC247" s="112">
        <f t="shared" ref="BC247:BG250" si="95">BB247*(1+((BB247-BA247)/BA247))</f>
        <v>12.243918068956399</v>
      </c>
      <c r="BD247" s="112">
        <f t="shared" si="95"/>
        <v>12.292893741232223</v>
      </c>
      <c r="BE247" s="112">
        <f t="shared" si="95"/>
        <v>12.342065316197152</v>
      </c>
      <c r="BF247" s="112">
        <f t="shared" si="95"/>
        <v>12.391433577461941</v>
      </c>
      <c r="BG247" s="112">
        <f t="shared" si="95"/>
        <v>12.440999311771789</v>
      </c>
    </row>
    <row r="248" spans="1:59" ht="13.75" customHeight="1">
      <c r="A248" s="171" t="s">
        <v>166</v>
      </c>
      <c r="B248" s="165" t="s">
        <v>369</v>
      </c>
      <c r="C248" s="165"/>
      <c r="D248" s="165" t="s">
        <v>377</v>
      </c>
      <c r="E248" s="167"/>
      <c r="F248" s="161" t="s">
        <v>381</v>
      </c>
      <c r="G248" s="168" t="s">
        <v>379</v>
      </c>
      <c r="H248" s="168"/>
      <c r="I248" s="168"/>
      <c r="U248" s="112">
        <v>15.689466543316653</v>
      </c>
      <c r="V248" s="112">
        <v>16.628416643359003</v>
      </c>
      <c r="W248" s="112">
        <v>13.89</v>
      </c>
      <c r="X248" s="112">
        <v>10.26</v>
      </c>
      <c r="Y248" s="112">
        <v>6.9</v>
      </c>
      <c r="Z248" s="112">
        <v>8.07</v>
      </c>
      <c r="AA248" s="112">
        <v>10.119999999999999</v>
      </c>
      <c r="AB248" s="112">
        <v>9.94</v>
      </c>
      <c r="AC248" s="112">
        <v>8</v>
      </c>
      <c r="AD248" s="112">
        <v>9.4277816630591627</v>
      </c>
      <c r="AE248" s="162">
        <v>15.071666666666665</v>
      </c>
      <c r="AF248" s="162">
        <v>12.758614594859333</v>
      </c>
      <c r="AG248" s="162">
        <v>12.079975204626525</v>
      </c>
      <c r="AH248" s="162">
        <v>11.7092977054358</v>
      </c>
      <c r="AI248" s="162">
        <v>11.416525230209793</v>
      </c>
      <c r="AJ248" s="162">
        <v>11.400894081727943</v>
      </c>
      <c r="AK248" s="162">
        <v>11.446497658054854</v>
      </c>
      <c r="AL248" s="162">
        <v>11.492283648687074</v>
      </c>
      <c r="AM248" s="162">
        <v>11.538252783281823</v>
      </c>
      <c r="AN248" s="162">
        <v>11.58440579441495</v>
      </c>
      <c r="AO248" s="162">
        <v>11.63074341759261</v>
      </c>
      <c r="AP248" s="162">
        <v>11.677266391262981</v>
      </c>
      <c r="AQ248" s="162">
        <v>11.723975456828033</v>
      </c>
      <c r="AR248" s="162">
        <v>11.770871358655345</v>
      </c>
      <c r="AS248" s="162">
        <v>11.817954844089966</v>
      </c>
      <c r="AT248" s="162">
        <v>11.865226663466325</v>
      </c>
      <c r="AU248" s="162">
        <v>11.912687570120191</v>
      </c>
      <c r="AV248" s="162">
        <v>11.960338320400671</v>
      </c>
      <c r="AW248" s="162">
        <v>12.008179673682275</v>
      </c>
      <c r="AX248" s="162">
        <v>12.056212392377004</v>
      </c>
      <c r="AY248" s="162">
        <v>12.104437241946512</v>
      </c>
      <c r="AZ248" s="162">
        <v>12.152854990914298</v>
      </c>
      <c r="BA248" s="162">
        <v>12.201466410877956</v>
      </c>
      <c r="BB248" s="162">
        <v>12.250272276521468</v>
      </c>
      <c r="BC248" s="162">
        <f t="shared" si="95"/>
        <v>12.299273365627554</v>
      </c>
      <c r="BD248" s="162">
        <f t="shared" si="95"/>
        <v>12.348470459090064</v>
      </c>
      <c r="BE248" s="162">
        <f t="shared" si="95"/>
        <v>12.397864340926425</v>
      </c>
      <c r="BF248" s="162">
        <f t="shared" si="95"/>
        <v>12.447455798290131</v>
      </c>
      <c r="BG248" s="162">
        <f t="shared" si="95"/>
        <v>12.497245621483291</v>
      </c>
    </row>
    <row r="249" spans="1:59" ht="13.75" customHeight="1">
      <c r="A249" s="171" t="s">
        <v>166</v>
      </c>
      <c r="B249" s="165" t="s">
        <v>369</v>
      </c>
      <c r="C249" s="165"/>
      <c r="D249" s="165" t="s">
        <v>168</v>
      </c>
      <c r="E249" s="167"/>
      <c r="F249" s="168" t="s">
        <v>382</v>
      </c>
      <c r="G249" s="168" t="s">
        <v>379</v>
      </c>
      <c r="H249" s="168"/>
      <c r="I249" s="168"/>
      <c r="X249" s="112">
        <v>2.6120999999999999</v>
      </c>
      <c r="Y249" s="112">
        <v>2.4946000000000002</v>
      </c>
      <c r="Z249" s="112">
        <v>2.9628999999999999</v>
      </c>
      <c r="AA249" s="112">
        <v>3.1511</v>
      </c>
      <c r="AB249" s="112">
        <v>2.5625</v>
      </c>
      <c r="AC249" s="112">
        <v>2.0184176938558518</v>
      </c>
      <c r="AD249" s="112">
        <v>3.8514131344088152</v>
      </c>
      <c r="AE249" s="112">
        <v>6.4910354256854248</v>
      </c>
      <c r="AF249" s="112">
        <v>3.0184309571958212</v>
      </c>
      <c r="AG249" s="112">
        <v>3.9058655038759689</v>
      </c>
      <c r="AH249" s="112">
        <v>4.2255601744186038</v>
      </c>
      <c r="AI249" s="112">
        <v>4.2067598837209301</v>
      </c>
      <c r="AJ249" s="112">
        <v>4.1481470930232565</v>
      </c>
      <c r="AK249" s="112">
        <v>4.1647396813953499</v>
      </c>
      <c r="AL249" s="112">
        <v>4.1813986401209311</v>
      </c>
      <c r="AM249" s="112">
        <v>4.1981242346814147</v>
      </c>
      <c r="AN249" s="112">
        <v>4.2149167316201401</v>
      </c>
      <c r="AO249" s="112">
        <v>4.2317763985466206</v>
      </c>
      <c r="AP249" s="112">
        <v>4.2487035041408072</v>
      </c>
      <c r="AQ249" s="112">
        <v>4.2656983181573702</v>
      </c>
      <c r="AR249" s="112">
        <v>4.2827611114300002</v>
      </c>
      <c r="AS249" s="112">
        <v>4.2998921558757202</v>
      </c>
      <c r="AT249" s="112">
        <v>4.3170917244992228</v>
      </c>
      <c r="AU249" s="112">
        <v>4.3343600913972198</v>
      </c>
      <c r="AV249" s="112">
        <v>4.3516975317628086</v>
      </c>
      <c r="AW249" s="112">
        <v>4.3691043218898598</v>
      </c>
      <c r="AX249" s="112">
        <v>4.3865807391774192</v>
      </c>
      <c r="AY249" s="112">
        <v>4.4041270621341289</v>
      </c>
      <c r="AZ249" s="112">
        <v>4.4217435703826657</v>
      </c>
      <c r="BA249" s="112">
        <v>4.4394305446641962</v>
      </c>
      <c r="BB249" s="112">
        <v>4.4571882668428531</v>
      </c>
      <c r="BC249" s="112">
        <f t="shared" si="95"/>
        <v>4.4750170199102248</v>
      </c>
      <c r="BD249" s="112">
        <f t="shared" si="95"/>
        <v>4.4929170879898654</v>
      </c>
      <c r="BE249" s="112">
        <f t="shared" si="95"/>
        <v>4.5108887563418252</v>
      </c>
      <c r="BF249" s="112">
        <f t="shared" si="95"/>
        <v>4.5289323113671927</v>
      </c>
      <c r="BG249" s="112">
        <f t="shared" si="95"/>
        <v>4.5470480406126619</v>
      </c>
    </row>
    <row r="250" spans="1:59" ht="13.75" customHeight="1">
      <c r="A250" s="171" t="s">
        <v>166</v>
      </c>
      <c r="B250" s="165" t="s">
        <v>369</v>
      </c>
      <c r="C250" s="165"/>
      <c r="D250" s="165" t="s">
        <v>168</v>
      </c>
      <c r="E250" s="167"/>
      <c r="F250" s="168" t="s">
        <v>383</v>
      </c>
      <c r="G250" s="168" t="s">
        <v>379</v>
      </c>
      <c r="H250" s="168"/>
      <c r="I250" s="168"/>
      <c r="X250" s="112">
        <v>6.4468088543445541</v>
      </c>
      <c r="Y250" s="112">
        <v>4.5374661915795089</v>
      </c>
      <c r="Z250" s="112">
        <v>5.7409236871492846</v>
      </c>
      <c r="AA250" s="112">
        <v>7.9166125649804098</v>
      </c>
      <c r="AB250" s="112">
        <v>4.4476006561357497</v>
      </c>
      <c r="AC250" s="112">
        <v>3.1753480594359531</v>
      </c>
      <c r="AD250" s="112">
        <v>15.935621721874805</v>
      </c>
      <c r="AE250" s="112">
        <v>41.127928546954458</v>
      </c>
      <c r="AF250" s="112">
        <v>13.593760905248415</v>
      </c>
      <c r="AG250" s="112">
        <v>15.019631093688938</v>
      </c>
      <c r="AH250" s="112">
        <v>13.69797015435717</v>
      </c>
      <c r="AI250" s="112">
        <v>11.259125852536393</v>
      </c>
      <c r="AJ250" s="112">
        <v>10.958818626508156</v>
      </c>
      <c r="AK250" s="112">
        <v>11.00265390101419</v>
      </c>
      <c r="AL250" s="112">
        <v>11.046664516618247</v>
      </c>
      <c r="AM250" s="112">
        <v>11.090851174684719</v>
      </c>
      <c r="AN250" s="112">
        <v>11.135214579383458</v>
      </c>
      <c r="AO250" s="112">
        <v>11.179755437700992</v>
      </c>
      <c r="AP250" s="112">
        <v>11.224474459451796</v>
      </c>
      <c r="AQ250" s="112">
        <v>11.269372357289603</v>
      </c>
      <c r="AR250" s="112">
        <v>11.314449846718761</v>
      </c>
      <c r="AS250" s="112">
        <v>11.359707646105635</v>
      </c>
      <c r="AT250" s="112">
        <v>11.405146476690058</v>
      </c>
      <c r="AU250" s="112">
        <v>11.450767062596819</v>
      </c>
      <c r="AV250" s="112">
        <v>11.496570130847207</v>
      </c>
      <c r="AW250" s="112">
        <v>11.542556411370596</v>
      </c>
      <c r="AX250" s="112">
        <v>11.588726637016078</v>
      </c>
      <c r="AY250" s="112">
        <v>11.635081543564143</v>
      </c>
      <c r="AZ250" s="112">
        <v>11.681621869738398</v>
      </c>
      <c r="BA250" s="112">
        <v>11.728348357217351</v>
      </c>
      <c r="BB250" s="112">
        <v>11.775261750646221</v>
      </c>
      <c r="BC250" s="112">
        <f t="shared" si="95"/>
        <v>11.822362797648806</v>
      </c>
      <c r="BD250" s="112">
        <f t="shared" si="95"/>
        <v>11.869652248839401</v>
      </c>
      <c r="BE250" s="112">
        <f t="shared" si="95"/>
        <v>11.917130857834758</v>
      </c>
      <c r="BF250" s="112">
        <f t="shared" si="95"/>
        <v>11.964799381266097</v>
      </c>
      <c r="BG250" s="112">
        <f t="shared" si="95"/>
        <v>12.012658578791161</v>
      </c>
    </row>
    <row r="251" spans="1:59" ht="13.75" customHeight="1" outlineLevel="1">
      <c r="A251" s="171"/>
      <c r="B251" s="165"/>
      <c r="C251" s="165"/>
      <c r="D251" s="165"/>
      <c r="E251" s="167"/>
      <c r="F251" s="168"/>
      <c r="G251" s="168"/>
      <c r="H251" s="168"/>
      <c r="I251" s="168"/>
      <c r="AM251" s="119"/>
    </row>
    <row r="252" spans="1:59" ht="13.75" customHeight="1" outlineLevel="1">
      <c r="A252" s="171"/>
      <c r="B252" s="165"/>
      <c r="C252" s="165"/>
      <c r="D252" s="165"/>
      <c r="E252" s="167"/>
      <c r="F252" s="168" t="s">
        <v>374</v>
      </c>
      <c r="G252" s="168"/>
      <c r="H252" s="168"/>
      <c r="I252" s="168"/>
      <c r="V252" s="267"/>
      <c r="W252" s="267"/>
      <c r="X252" s="267"/>
      <c r="Y252" s="269">
        <f t="shared" ref="Y252:AN253" si="96">Y245/X245-1</f>
        <v>-0.27692307692307694</v>
      </c>
      <c r="Z252" s="270">
        <f t="shared" si="96"/>
        <v>0.23404255319148937</v>
      </c>
      <c r="AA252" s="270">
        <f t="shared" si="96"/>
        <v>0.39655172413793105</v>
      </c>
      <c r="AB252" s="270">
        <f t="shared" si="96"/>
        <v>-0.44444444444444442</v>
      </c>
      <c r="AC252" s="270">
        <f t="shared" si="96"/>
        <v>0.11111111111111094</v>
      </c>
      <c r="AD252" s="270">
        <f t="shared" si="96"/>
        <v>2.1997597881994486</v>
      </c>
      <c r="AE252" s="271">
        <f t="shared" si="96"/>
        <v>1.0218438662524765</v>
      </c>
      <c r="AF252" s="267">
        <f>AF245/AE245-1</f>
        <v>-0.59686364733706077</v>
      </c>
      <c r="AG252" s="267">
        <f t="shared" ref="AG252:BG253" si="97">AG245/AF245-1</f>
        <v>0.11329823585086429</v>
      </c>
      <c r="AH252" s="267">
        <f t="shared" si="97"/>
        <v>-9.0481593124060344E-2</v>
      </c>
      <c r="AI252" s="267">
        <f t="shared" si="97"/>
        <v>-0.11793280633098757</v>
      </c>
      <c r="AJ252" s="267">
        <f t="shared" si="97"/>
        <v>-2.5647482069762861E-2</v>
      </c>
      <c r="AK252" s="267">
        <f t="shared" si="97"/>
        <v>3.9999999999997815E-3</v>
      </c>
      <c r="AL252" s="267">
        <f t="shared" si="97"/>
        <v>4.0000000000000036E-3</v>
      </c>
      <c r="AM252" s="267">
        <f t="shared" si="97"/>
        <v>4.0000000000000036E-3</v>
      </c>
      <c r="AN252" s="267">
        <f t="shared" si="97"/>
        <v>4.0000000000000036E-3</v>
      </c>
      <c r="AO252" s="267">
        <f t="shared" si="97"/>
        <v>4.0000000000000036E-3</v>
      </c>
      <c r="AP252" s="267">
        <f t="shared" si="97"/>
        <v>4.0000000000000036E-3</v>
      </c>
      <c r="AQ252" s="267">
        <f t="shared" si="97"/>
        <v>4.0000000000000036E-3</v>
      </c>
      <c r="AR252" s="267">
        <f t="shared" si="97"/>
        <v>4.0000000000000036E-3</v>
      </c>
      <c r="AS252" s="267">
        <f t="shared" si="97"/>
        <v>4.0000000000002256E-3</v>
      </c>
      <c r="AT252" s="267">
        <f t="shared" si="97"/>
        <v>4.0000000000000036E-3</v>
      </c>
      <c r="AU252" s="267">
        <f t="shared" si="97"/>
        <v>4.0000000000000036E-3</v>
      </c>
      <c r="AV252" s="267">
        <f t="shared" si="97"/>
        <v>4.0000000000000036E-3</v>
      </c>
      <c r="AW252" s="267">
        <f t="shared" si="97"/>
        <v>4.0000000000000036E-3</v>
      </c>
      <c r="AX252" s="267">
        <f t="shared" si="97"/>
        <v>4.0000000000000036E-3</v>
      </c>
      <c r="AY252" s="267">
        <f t="shared" si="97"/>
        <v>4.0000000000000036E-3</v>
      </c>
      <c r="AZ252" s="267">
        <f t="shared" si="97"/>
        <v>4.0000000000000036E-3</v>
      </c>
      <c r="BA252" s="267">
        <f t="shared" si="97"/>
        <v>4.0000000000000036E-3</v>
      </c>
      <c r="BB252" s="267">
        <f t="shared" si="97"/>
        <v>4.0000000000000036E-3</v>
      </c>
      <c r="BC252" s="267">
        <f t="shared" si="97"/>
        <v>4.0000000000000036E-3</v>
      </c>
      <c r="BD252" s="267">
        <f t="shared" si="97"/>
        <v>4.0000000000000036E-3</v>
      </c>
      <c r="BE252" s="267">
        <f t="shared" si="97"/>
        <v>4.0000000000000036E-3</v>
      </c>
      <c r="BF252" s="267">
        <f t="shared" si="97"/>
        <v>4.0000000000000036E-3</v>
      </c>
      <c r="BG252" s="267">
        <f t="shared" si="97"/>
        <v>4.0000000000000036E-3</v>
      </c>
    </row>
    <row r="253" spans="1:59" ht="13.75" customHeight="1" outlineLevel="1">
      <c r="A253" s="171"/>
      <c r="B253" s="165"/>
      <c r="C253" s="165"/>
      <c r="D253" s="165"/>
      <c r="E253" s="167"/>
      <c r="F253" s="168" t="s">
        <v>376</v>
      </c>
      <c r="G253" s="168"/>
      <c r="H253" s="168"/>
      <c r="I253" s="168"/>
      <c r="V253" s="267"/>
      <c r="W253" s="267"/>
      <c r="X253" s="267"/>
      <c r="Y253" s="272">
        <f t="shared" si="96"/>
        <v>-0.32748538011695894</v>
      </c>
      <c r="Z253" s="267">
        <f t="shared" si="96"/>
        <v>0.16956521739130426</v>
      </c>
      <c r="AA253" s="267">
        <f t="shared" si="96"/>
        <v>0.25402726146220544</v>
      </c>
      <c r="AB253" s="267">
        <f t="shared" si="96"/>
        <v>-1.7786561264822032E-2</v>
      </c>
      <c r="AC253" s="267">
        <f t="shared" si="96"/>
        <v>-0.19517102615694182</v>
      </c>
      <c r="AD253" s="267">
        <f t="shared" si="96"/>
        <v>0.17847270788239555</v>
      </c>
      <c r="AE253" s="273">
        <f t="shared" si="96"/>
        <v>0.59845217096136483</v>
      </c>
      <c r="AF253" s="267">
        <f t="shared" si="96"/>
        <v>-0.15347022482410699</v>
      </c>
      <c r="AG253" s="267">
        <f t="shared" si="96"/>
        <v>-5.3190680319338379E-2</v>
      </c>
      <c r="AH253" s="267">
        <f t="shared" si="96"/>
        <v>-3.0685286427472036E-2</v>
      </c>
      <c r="AI253" s="267">
        <f t="shared" si="96"/>
        <v>-2.500341887200408E-2</v>
      </c>
      <c r="AJ253" s="267">
        <f t="shared" si="96"/>
        <v>-1.3691686539164527E-3</v>
      </c>
      <c r="AK253" s="267">
        <f t="shared" si="96"/>
        <v>4.0000000000000036E-3</v>
      </c>
      <c r="AL253" s="267">
        <f t="shared" si="96"/>
        <v>4.0000000000000036E-3</v>
      </c>
      <c r="AM253" s="267">
        <f t="shared" si="96"/>
        <v>4.0000000000000036E-3</v>
      </c>
      <c r="AN253" s="267">
        <f t="shared" si="96"/>
        <v>4.0000000000000036E-3</v>
      </c>
      <c r="AO253" s="267">
        <f t="shared" si="97"/>
        <v>4.0000000000000036E-3</v>
      </c>
      <c r="AP253" s="267">
        <f t="shared" si="97"/>
        <v>4.0000000000000036E-3</v>
      </c>
      <c r="AQ253" s="267">
        <f t="shared" si="97"/>
        <v>4.0000000000000036E-3</v>
      </c>
      <c r="AR253" s="267">
        <f t="shared" si="97"/>
        <v>4.0000000000000036E-3</v>
      </c>
      <c r="AS253" s="267">
        <f t="shared" si="97"/>
        <v>4.0000000000000036E-3</v>
      </c>
      <c r="AT253" s="267">
        <f t="shared" si="97"/>
        <v>4.0000000000000036E-3</v>
      </c>
      <c r="AU253" s="267">
        <f t="shared" si="97"/>
        <v>4.0000000000000036E-3</v>
      </c>
      <c r="AV253" s="267">
        <f t="shared" si="97"/>
        <v>4.0000000000000036E-3</v>
      </c>
      <c r="AW253" s="267">
        <f t="shared" si="97"/>
        <v>4.0000000000000036E-3</v>
      </c>
      <c r="AX253" s="267">
        <f t="shared" si="97"/>
        <v>4.0000000000000036E-3</v>
      </c>
      <c r="AY253" s="267">
        <f t="shared" si="97"/>
        <v>4.0000000000000036E-3</v>
      </c>
      <c r="AZ253" s="267">
        <f t="shared" si="97"/>
        <v>4.0000000000000036E-3</v>
      </c>
      <c r="BA253" s="267">
        <f t="shared" si="97"/>
        <v>4.0000000000000036E-3</v>
      </c>
      <c r="BB253" s="267">
        <f t="shared" si="97"/>
        <v>4.0000000000000036E-3</v>
      </c>
      <c r="BC253" s="267">
        <f t="shared" si="97"/>
        <v>4.0000000000000036E-3</v>
      </c>
      <c r="BD253" s="267">
        <f t="shared" si="97"/>
        <v>4.0000000000000036E-3</v>
      </c>
      <c r="BE253" s="267">
        <f t="shared" si="97"/>
        <v>4.0000000000000036E-3</v>
      </c>
      <c r="BF253" s="267">
        <f t="shared" si="97"/>
        <v>4.0000000000000036E-3</v>
      </c>
      <c r="BG253" s="267">
        <f t="shared" si="97"/>
        <v>4.0000000000000036E-3</v>
      </c>
    </row>
    <row r="254" spans="1:59" ht="13.75" customHeight="1" outlineLevel="1">
      <c r="A254" s="171"/>
      <c r="B254" s="165"/>
      <c r="C254" s="165"/>
      <c r="D254" s="165"/>
      <c r="E254" s="167"/>
      <c r="F254" s="168" t="s">
        <v>382</v>
      </c>
      <c r="G254" s="168"/>
      <c r="H254" s="168"/>
      <c r="I254" s="168"/>
      <c r="V254" s="267"/>
      <c r="W254" s="267"/>
      <c r="X254" s="267"/>
      <c r="Y254" s="272">
        <f t="shared" ref="Y254:BG254" si="98">Y249/X249-1</f>
        <v>-4.498296389877865E-2</v>
      </c>
      <c r="Z254" s="267">
        <f t="shared" si="98"/>
        <v>0.18772548705203218</v>
      </c>
      <c r="AA254" s="267">
        <f t="shared" si="98"/>
        <v>6.3518849775557884E-2</v>
      </c>
      <c r="AB254" s="267">
        <f t="shared" si="98"/>
        <v>-0.18679191393481642</v>
      </c>
      <c r="AC254" s="267">
        <f t="shared" si="98"/>
        <v>-0.21232480239771634</v>
      </c>
      <c r="AD254" s="267">
        <f t="shared" si="98"/>
        <v>0.90813484549440804</v>
      </c>
      <c r="AE254" s="273">
        <f t="shared" si="98"/>
        <v>0.68536461790972902</v>
      </c>
      <c r="AF254" s="267">
        <f t="shared" si="98"/>
        <v>-0.53498467359279767</v>
      </c>
      <c r="AG254" s="267">
        <f t="shared" si="98"/>
        <v>0.29400524950373264</v>
      </c>
      <c r="AH254" s="267">
        <f t="shared" si="98"/>
        <v>8.1849892226290688E-2</v>
      </c>
      <c r="AI254" s="267">
        <f t="shared" si="98"/>
        <v>-4.4491830483186501E-3</v>
      </c>
      <c r="AJ254" s="267">
        <f t="shared" si="98"/>
        <v>-1.3933001245088894E-2</v>
      </c>
      <c r="AK254" s="267">
        <f t="shared" si="98"/>
        <v>4.0000000000000036E-3</v>
      </c>
      <c r="AL254" s="267">
        <f t="shared" si="98"/>
        <v>4.0000000000000036E-3</v>
      </c>
      <c r="AM254" s="267">
        <f t="shared" si="98"/>
        <v>4.0000000000000036E-3</v>
      </c>
      <c r="AN254" s="267">
        <f t="shared" si="98"/>
        <v>4.0000000000000036E-3</v>
      </c>
      <c r="AO254" s="267">
        <f t="shared" si="98"/>
        <v>4.0000000000000036E-3</v>
      </c>
      <c r="AP254" s="267">
        <f t="shared" si="98"/>
        <v>4.0000000000000036E-3</v>
      </c>
      <c r="AQ254" s="267">
        <f t="shared" si="98"/>
        <v>4.0000000000000036E-3</v>
      </c>
      <c r="AR254" s="267">
        <f t="shared" si="98"/>
        <v>4.0000000000000036E-3</v>
      </c>
      <c r="AS254" s="267">
        <f t="shared" si="98"/>
        <v>4.0000000000000036E-3</v>
      </c>
      <c r="AT254" s="267">
        <f t="shared" si="98"/>
        <v>4.0000000000000036E-3</v>
      </c>
      <c r="AU254" s="267">
        <f t="shared" si="98"/>
        <v>4.0000000000000036E-3</v>
      </c>
      <c r="AV254" s="267">
        <f t="shared" si="98"/>
        <v>4.0000000000000036E-3</v>
      </c>
      <c r="AW254" s="267">
        <f t="shared" si="98"/>
        <v>4.0000000000000036E-3</v>
      </c>
      <c r="AX254" s="267">
        <f t="shared" si="98"/>
        <v>4.0000000000000036E-3</v>
      </c>
      <c r="AY254" s="267">
        <f t="shared" si="98"/>
        <v>4.0000000000000036E-3</v>
      </c>
      <c r="AZ254" s="267">
        <f t="shared" si="98"/>
        <v>4.0000000000000036E-3</v>
      </c>
      <c r="BA254" s="267">
        <f t="shared" si="98"/>
        <v>4.0000000000000036E-3</v>
      </c>
      <c r="BB254" s="267">
        <f t="shared" si="98"/>
        <v>4.0000000000000036E-3</v>
      </c>
      <c r="BC254" s="267">
        <f t="shared" si="98"/>
        <v>4.0000000000000036E-3</v>
      </c>
      <c r="BD254" s="267">
        <f t="shared" si="98"/>
        <v>4.0000000000000036E-3</v>
      </c>
      <c r="BE254" s="267">
        <f t="shared" si="98"/>
        <v>4.0000000000000036E-3</v>
      </c>
      <c r="BF254" s="267">
        <f t="shared" si="98"/>
        <v>4.0000000000000036E-3</v>
      </c>
      <c r="BG254" s="267">
        <f t="shared" si="98"/>
        <v>4.0000000000000036E-3</v>
      </c>
    </row>
    <row r="255" spans="1:59" ht="13.75" customHeight="1" outlineLevel="1">
      <c r="A255" s="171"/>
      <c r="B255" s="165"/>
      <c r="C255" s="165"/>
      <c r="D255" s="165"/>
      <c r="E255" s="167"/>
      <c r="F255" s="168" t="s">
        <v>383</v>
      </c>
      <c r="G255" s="168"/>
      <c r="H255" s="168"/>
      <c r="I255" s="168"/>
      <c r="V255" s="267"/>
      <c r="W255" s="267"/>
      <c r="X255" s="267"/>
      <c r="Y255" s="272">
        <f t="shared" ref="Y255:BG255" si="99">Y250/X250-1</f>
        <v>-0.29616864807125842</v>
      </c>
      <c r="Z255" s="267">
        <f t="shared" si="99"/>
        <v>0.26522676858796546</v>
      </c>
      <c r="AA255" s="267">
        <f t="shared" si="99"/>
        <v>0.37897888848466588</v>
      </c>
      <c r="AB255" s="267">
        <f t="shared" si="99"/>
        <v>-0.43819397253189241</v>
      </c>
      <c r="AC255" s="267">
        <f t="shared" si="99"/>
        <v>-0.28605369390451962</v>
      </c>
      <c r="AD255" s="267">
        <f t="shared" si="99"/>
        <v>4.0185432978032329</v>
      </c>
      <c r="AE255" s="273">
        <f t="shared" si="99"/>
        <v>1.5808800726298751</v>
      </c>
      <c r="AF255" s="267">
        <f t="shared" si="99"/>
        <v>-0.66947615925443826</v>
      </c>
      <c r="AG255" s="267">
        <f t="shared" si="99"/>
        <v>0.10489151592257362</v>
      </c>
      <c r="AH255" s="267">
        <f t="shared" si="99"/>
        <v>-8.7995566008749249E-2</v>
      </c>
      <c r="AI255" s="267">
        <f t="shared" si="99"/>
        <v>-0.17804421197727671</v>
      </c>
      <c r="AJ255" s="267">
        <f t="shared" si="99"/>
        <v>-2.6672339394854916E-2</v>
      </c>
      <c r="AK255" s="267">
        <f t="shared" si="99"/>
        <v>4.0000000000000036E-3</v>
      </c>
      <c r="AL255" s="267">
        <f t="shared" si="99"/>
        <v>4.0000000000000036E-3</v>
      </c>
      <c r="AM255" s="267">
        <f t="shared" si="99"/>
        <v>4.0000000000000036E-3</v>
      </c>
      <c r="AN255" s="267">
        <f t="shared" si="99"/>
        <v>4.0000000000000036E-3</v>
      </c>
      <c r="AO255" s="267">
        <f t="shared" si="99"/>
        <v>4.0000000000000036E-3</v>
      </c>
      <c r="AP255" s="267">
        <f t="shared" si="99"/>
        <v>4.0000000000000036E-3</v>
      </c>
      <c r="AQ255" s="267">
        <f t="shared" si="99"/>
        <v>4.0000000000000036E-3</v>
      </c>
      <c r="AR255" s="267">
        <f t="shared" si="99"/>
        <v>4.0000000000000036E-3</v>
      </c>
      <c r="AS255" s="267">
        <f t="shared" si="99"/>
        <v>4.0000000000000036E-3</v>
      </c>
      <c r="AT255" s="267">
        <f t="shared" si="99"/>
        <v>4.0000000000000036E-3</v>
      </c>
      <c r="AU255" s="267">
        <f t="shared" si="99"/>
        <v>4.0000000000000036E-3</v>
      </c>
      <c r="AV255" s="267">
        <f t="shared" si="99"/>
        <v>4.0000000000000036E-3</v>
      </c>
      <c r="AW255" s="267">
        <f t="shared" si="99"/>
        <v>4.0000000000000036E-3</v>
      </c>
      <c r="AX255" s="267">
        <f t="shared" si="99"/>
        <v>4.0000000000000036E-3</v>
      </c>
      <c r="AY255" s="267">
        <f t="shared" si="99"/>
        <v>4.0000000000000036E-3</v>
      </c>
      <c r="AZ255" s="267">
        <f t="shared" si="99"/>
        <v>4.0000000000000036E-3</v>
      </c>
      <c r="BA255" s="267">
        <f t="shared" si="99"/>
        <v>4.0000000000000036E-3</v>
      </c>
      <c r="BB255" s="267">
        <f t="shared" si="99"/>
        <v>4.0000000000000036E-3</v>
      </c>
      <c r="BC255" s="267">
        <f t="shared" si="99"/>
        <v>4.0000000000000036E-3</v>
      </c>
      <c r="BD255" s="267">
        <f t="shared" si="99"/>
        <v>4.0000000000000036E-3</v>
      </c>
      <c r="BE255" s="267">
        <f t="shared" si="99"/>
        <v>4.0000000000000036E-3</v>
      </c>
      <c r="BF255" s="267">
        <f t="shared" si="99"/>
        <v>4.0000000000000036E-3</v>
      </c>
      <c r="BG255" s="267">
        <f t="shared" si="99"/>
        <v>4.0000000000000036E-3</v>
      </c>
    </row>
    <row r="256" spans="1:59" ht="13.75" customHeight="1" outlineLevel="1">
      <c r="A256" s="171"/>
      <c r="B256" s="165"/>
      <c r="C256" s="165"/>
      <c r="D256" s="165"/>
      <c r="E256" s="167"/>
      <c r="F256" s="168" t="s">
        <v>855</v>
      </c>
      <c r="G256" s="276">
        <f>CORREL(Y254:AE254,Y256:AE256)</f>
        <v>0.66289022558930422</v>
      </c>
      <c r="H256" s="168"/>
      <c r="I256" s="168"/>
      <c r="V256" s="267"/>
      <c r="W256" s="267"/>
      <c r="X256" s="267"/>
      <c r="Y256" s="274">
        <f t="shared" ref="Y256:BG256" si="100">Y340/X340-1</f>
        <v>-0.26213592233009708</v>
      </c>
      <c r="Z256" s="268">
        <f t="shared" si="100"/>
        <v>0.47368421052631571</v>
      </c>
      <c r="AA256" s="268">
        <f t="shared" si="100"/>
        <v>0.20238095238095233</v>
      </c>
      <c r="AB256" s="268">
        <f t="shared" si="100"/>
        <v>-0.33551980198019804</v>
      </c>
      <c r="AC256" s="268">
        <f t="shared" si="100"/>
        <v>-9.8510275035698647E-2</v>
      </c>
      <c r="AD256" s="268">
        <f t="shared" si="100"/>
        <v>0.44625160852448231</v>
      </c>
      <c r="AE256" s="275">
        <f t="shared" si="100"/>
        <v>8.541469589970152E-2</v>
      </c>
      <c r="AF256" s="267">
        <f t="shared" si="100"/>
        <v>-0.20546215245336863</v>
      </c>
      <c r="AG256" s="267">
        <f t="shared" si="100"/>
        <v>0.19660296186304027</v>
      </c>
      <c r="AH256" s="267">
        <f t="shared" si="100"/>
        <v>-3.5811153794186978E-2</v>
      </c>
      <c r="AI256" s="267">
        <f t="shared" si="100"/>
        <v>-3.4423487494489202E-2</v>
      </c>
      <c r="AJ256" s="267">
        <f t="shared" si="100"/>
        <v>-1.1280749214015451E-3</v>
      </c>
      <c r="AK256" s="267">
        <f t="shared" si="100"/>
        <v>4.0000000000000036E-3</v>
      </c>
      <c r="AL256" s="267">
        <f t="shared" si="100"/>
        <v>4.0000000000000036E-3</v>
      </c>
      <c r="AM256" s="267">
        <f t="shared" si="100"/>
        <v>4.0000000000000036E-3</v>
      </c>
      <c r="AN256" s="267">
        <f t="shared" si="100"/>
        <v>4.0000000000000036E-3</v>
      </c>
      <c r="AO256" s="267">
        <f t="shared" si="100"/>
        <v>4.0000000000000036E-3</v>
      </c>
      <c r="AP256" s="267">
        <f t="shared" si="100"/>
        <v>4.0000000000000036E-3</v>
      </c>
      <c r="AQ256" s="267">
        <f t="shared" si="100"/>
        <v>4.0000000000000036E-3</v>
      </c>
      <c r="AR256" s="267">
        <f t="shared" si="100"/>
        <v>4.0000000000000036E-3</v>
      </c>
      <c r="AS256" s="267">
        <f t="shared" si="100"/>
        <v>4.0000000000000036E-3</v>
      </c>
      <c r="AT256" s="267">
        <f t="shared" si="100"/>
        <v>4.0000000000000036E-3</v>
      </c>
      <c r="AU256" s="267">
        <f t="shared" si="100"/>
        <v>4.0000000000000036E-3</v>
      </c>
      <c r="AV256" s="267">
        <f t="shared" si="100"/>
        <v>4.0000000000000036E-3</v>
      </c>
      <c r="AW256" s="267">
        <f t="shared" si="100"/>
        <v>4.0000000000000036E-3</v>
      </c>
      <c r="AX256" s="267">
        <f t="shared" si="100"/>
        <v>4.0000000000000036E-3</v>
      </c>
      <c r="AY256" s="267">
        <f t="shared" si="100"/>
        <v>4.0000000000000036E-3</v>
      </c>
      <c r="AZ256" s="267">
        <f t="shared" si="100"/>
        <v>4.0000000000000036E-3</v>
      </c>
      <c r="BA256" s="267">
        <f t="shared" si="100"/>
        <v>4.0000000000000036E-3</v>
      </c>
      <c r="BB256" s="267">
        <f t="shared" si="100"/>
        <v>4.0000000000000036E-3</v>
      </c>
      <c r="BC256" s="267">
        <f t="shared" si="100"/>
        <v>4.0000000000000036E-3</v>
      </c>
      <c r="BD256" s="267">
        <f t="shared" si="100"/>
        <v>4.0000000000000036E-3</v>
      </c>
      <c r="BE256" s="267">
        <f t="shared" si="100"/>
        <v>4.0000000000000036E-3</v>
      </c>
      <c r="BF256" s="267">
        <f t="shared" si="100"/>
        <v>4.0000000000000036E-3</v>
      </c>
      <c r="BG256" s="267">
        <f t="shared" si="100"/>
        <v>4.0000000000000036E-3</v>
      </c>
    </row>
    <row r="257" spans="1:59" ht="13.75" customHeight="1" outlineLevel="1">
      <c r="A257" s="171"/>
      <c r="B257" s="165"/>
      <c r="C257" s="165"/>
      <c r="D257" s="165"/>
      <c r="E257" s="167"/>
    </row>
    <row r="258" spans="1:59" ht="13.75" customHeight="1" outlineLevel="1">
      <c r="A258" s="171"/>
      <c r="B258" s="165"/>
      <c r="C258" s="165"/>
      <c r="D258" s="165"/>
      <c r="E258" s="167"/>
    </row>
    <row r="259" spans="1:59" ht="13.75" customHeight="1" outlineLevel="1">
      <c r="A259" s="171"/>
      <c r="B259" s="165"/>
      <c r="C259" s="165"/>
      <c r="D259" s="165"/>
      <c r="E259" s="167"/>
      <c r="F259" s="168" t="s">
        <v>382</v>
      </c>
      <c r="G259" s="168"/>
      <c r="H259" s="168"/>
      <c r="I259" s="168"/>
      <c r="AE259" s="277">
        <v>1</v>
      </c>
      <c r="AF259" s="278">
        <f t="shared" ref="AF259:AM259" si="101">AE259*(1+AF254)</f>
        <v>0.46501532640720233</v>
      </c>
      <c r="AG259" s="278">
        <f t="shared" si="101"/>
        <v>0.60173227347061153</v>
      </c>
      <c r="AH259" s="278">
        <f t="shared" si="101"/>
        <v>0.650983995203262</v>
      </c>
      <c r="AI259" s="278">
        <f t="shared" si="101"/>
        <v>0.64808764824707688</v>
      </c>
      <c r="AJ259" s="278">
        <f t="shared" si="101"/>
        <v>0.63905784223712359</v>
      </c>
      <c r="AK259" s="278">
        <f t="shared" si="101"/>
        <v>0.64161407360607203</v>
      </c>
      <c r="AL259" s="278">
        <f t="shared" si="101"/>
        <v>0.64418052990049635</v>
      </c>
      <c r="AM259" s="278">
        <f t="shared" si="101"/>
        <v>0.64675725202009837</v>
      </c>
    </row>
    <row r="260" spans="1:59" ht="13.75" customHeight="1" outlineLevel="1">
      <c r="A260" s="171"/>
      <c r="B260" s="165"/>
      <c r="C260" s="165"/>
      <c r="D260" s="165"/>
      <c r="E260" s="167"/>
      <c r="F260" s="168" t="s">
        <v>383</v>
      </c>
      <c r="G260" s="168"/>
      <c r="H260" s="168"/>
      <c r="I260" s="168"/>
      <c r="AE260" s="277">
        <v>1</v>
      </c>
      <c r="AF260" s="278">
        <f t="shared" ref="AF260:AM261" si="102">AE260*(1+AF255)</f>
        <v>0.33052384074556174</v>
      </c>
      <c r="AG260" s="278">
        <f t="shared" si="102"/>
        <v>0.36519298744991502</v>
      </c>
      <c r="AH260" s="278">
        <f t="shared" si="102"/>
        <v>0.33305762381683368</v>
      </c>
      <c r="AI260" s="278">
        <f t="shared" si="102"/>
        <v>0.27375864164134128</v>
      </c>
      <c r="AJ260" s="278">
        <f t="shared" si="102"/>
        <v>0.26645685823920895</v>
      </c>
      <c r="AK260" s="278">
        <f t="shared" si="102"/>
        <v>0.26752268567216581</v>
      </c>
      <c r="AL260" s="278">
        <f t="shared" si="102"/>
        <v>0.26859277641485446</v>
      </c>
      <c r="AM260" s="278">
        <f t="shared" si="102"/>
        <v>0.26966714752051391</v>
      </c>
    </row>
    <row r="261" spans="1:59" ht="13.75" customHeight="1" outlineLevel="1">
      <c r="A261" s="171"/>
      <c r="B261" s="165"/>
      <c r="C261" s="165"/>
      <c r="D261" s="165"/>
      <c r="E261" s="167"/>
      <c r="F261" s="168" t="s">
        <v>855</v>
      </c>
      <c r="G261" s="168"/>
      <c r="H261" s="168"/>
      <c r="I261" s="168"/>
      <c r="AE261" s="277">
        <v>1</v>
      </c>
      <c r="AF261" s="278">
        <f>AE261*(1+AF256)</f>
        <v>0.79453784754663137</v>
      </c>
      <c r="AG261" s="278">
        <f t="shared" si="102"/>
        <v>0.9507463416865839</v>
      </c>
      <c r="AH261" s="278">
        <f t="shared" si="102"/>
        <v>0.91669901822518496</v>
      </c>
      <c r="AI261" s="278">
        <f t="shared" si="102"/>
        <v>0.88514304103509978</v>
      </c>
      <c r="AJ261" s="278">
        <f t="shared" si="102"/>
        <v>0.88414453336865495</v>
      </c>
      <c r="AK261" s="278">
        <f t="shared" si="102"/>
        <v>0.88768111150212958</v>
      </c>
      <c r="AL261" s="278">
        <f t="shared" si="102"/>
        <v>0.89123183594813815</v>
      </c>
      <c r="AM261" s="278">
        <f t="shared" si="102"/>
        <v>0.8947967632919307</v>
      </c>
    </row>
    <row r="262" spans="1:59" ht="13.75" customHeight="1" outlineLevel="1">
      <c r="A262" s="171"/>
      <c r="B262" s="165"/>
      <c r="C262" s="165"/>
      <c r="D262" s="165"/>
      <c r="E262" s="167"/>
      <c r="F262" s="168"/>
      <c r="G262" s="168"/>
      <c r="H262" s="168"/>
      <c r="I262" s="168"/>
      <c r="AM262" s="119"/>
    </row>
    <row r="263" spans="1:59" ht="13.75" customHeight="1" outlineLevel="1">
      <c r="A263" s="171"/>
      <c r="B263" s="165"/>
      <c r="C263" s="165"/>
      <c r="D263" s="165"/>
      <c r="E263" s="167"/>
      <c r="G263" s="168"/>
      <c r="H263" s="168"/>
      <c r="I263" s="168"/>
      <c r="AM263" s="119"/>
    </row>
    <row r="264" spans="1:59" ht="13.75" customHeight="1" outlineLevel="1">
      <c r="A264" s="171"/>
      <c r="B264" s="165"/>
      <c r="C264" s="165"/>
      <c r="D264" s="165"/>
      <c r="E264" s="167"/>
      <c r="G264" s="168"/>
      <c r="H264" s="168"/>
      <c r="I264" s="168"/>
      <c r="AM264" s="119"/>
    </row>
    <row r="265" spans="1:59" ht="13.75" customHeight="1" outlineLevel="1">
      <c r="A265" s="171"/>
      <c r="B265" s="165"/>
      <c r="C265" s="165"/>
      <c r="D265" s="165"/>
      <c r="E265" s="167"/>
      <c r="G265" s="168"/>
      <c r="H265" s="168"/>
      <c r="I265" s="168"/>
      <c r="AM265" s="119"/>
    </row>
    <row r="266" spans="1:59" ht="13.75" customHeight="1" outlineLevel="1">
      <c r="A266" s="171"/>
      <c r="B266" s="165"/>
      <c r="C266" s="165"/>
      <c r="D266" s="165"/>
      <c r="E266" s="167"/>
      <c r="F266" s="168"/>
      <c r="G266" s="168"/>
      <c r="H266" s="168"/>
      <c r="I266" s="168"/>
      <c r="AM266" s="119"/>
    </row>
    <row r="267" spans="1:59" ht="13.75" customHeight="1" outlineLevel="1">
      <c r="A267" s="171"/>
      <c r="B267" s="165"/>
      <c r="C267" s="165"/>
      <c r="D267" s="165"/>
      <c r="E267" s="167"/>
      <c r="F267" s="168"/>
      <c r="G267" s="168"/>
      <c r="H267" s="168"/>
      <c r="I267" s="168"/>
      <c r="AM267" s="119"/>
    </row>
    <row r="268" spans="1:59" ht="13.75" customHeight="1" outlineLevel="1">
      <c r="A268" s="171"/>
      <c r="B268" s="165"/>
      <c r="C268" s="165"/>
      <c r="D268" s="165"/>
      <c r="E268" s="167"/>
      <c r="F268" s="168"/>
      <c r="G268" s="168"/>
      <c r="H268" s="168"/>
      <c r="I268" s="168"/>
      <c r="X268" s="110"/>
      <c r="Y268" s="110"/>
      <c r="Z268" s="110"/>
      <c r="AA268" s="110"/>
      <c r="AB268" s="110"/>
      <c r="AC268" s="110"/>
      <c r="AM268" s="119"/>
    </row>
    <row r="269" spans="1:59" ht="13.75" customHeight="1" outlineLevel="1">
      <c r="A269" s="171"/>
      <c r="B269" s="165"/>
      <c r="C269" s="165"/>
      <c r="D269" s="165"/>
      <c r="E269" s="167"/>
      <c r="F269" s="168"/>
      <c r="G269" s="168"/>
      <c r="H269" s="168"/>
      <c r="I269" s="168"/>
      <c r="X269" s="110"/>
      <c r="Y269" s="110"/>
      <c r="Z269" s="110"/>
      <c r="AA269" s="110"/>
      <c r="AB269" s="110"/>
      <c r="AC269" s="110"/>
      <c r="AM269" s="119"/>
    </row>
    <row r="270" spans="1:59" ht="13.75" customHeight="1">
      <c r="A270" s="171" t="s">
        <v>166</v>
      </c>
      <c r="B270" s="166" t="s">
        <v>384</v>
      </c>
      <c r="C270" s="165"/>
      <c r="D270" s="165" t="s">
        <v>385</v>
      </c>
      <c r="E270" s="172"/>
      <c r="F270" s="168" t="s">
        <v>386</v>
      </c>
      <c r="G270" s="168" t="s">
        <v>3</v>
      </c>
      <c r="H270" s="173" t="s">
        <v>387</v>
      </c>
      <c r="I270" s="168" t="s">
        <v>388</v>
      </c>
      <c r="U270" s="107">
        <v>6.0999999999999999E-2</v>
      </c>
      <c r="V270" s="107">
        <v>9.7000000000000003E-2</v>
      </c>
      <c r="W270" s="107">
        <v>8.1000000000000003E-2</v>
      </c>
      <c r="X270" s="107">
        <v>7.4999999999999997E-2</v>
      </c>
      <c r="Y270" s="107">
        <v>5.8999999999999997E-2</v>
      </c>
      <c r="Z270" s="107">
        <v>0.04</v>
      </c>
      <c r="AA270" s="107">
        <v>0.04</v>
      </c>
      <c r="AB270" s="107">
        <v>4.8000000000000001E-2</v>
      </c>
      <c r="AC270" s="107">
        <v>2.7699999999999999E-2</v>
      </c>
      <c r="AD270" s="107">
        <v>3.2599999999999997E-2</v>
      </c>
      <c r="AE270" s="107">
        <v>5.0999999999999997E-2</v>
      </c>
      <c r="AF270" s="107">
        <v>0.10756101872637402</v>
      </c>
      <c r="AG270" s="107">
        <v>4.9000000000000377E-2</v>
      </c>
      <c r="AH270" s="107">
        <v>7.6542421353669843E-2</v>
      </c>
      <c r="AI270" s="107">
        <v>4.8264462809917363E-2</v>
      </c>
      <c r="AJ270" s="107">
        <f t="shared" ref="AJ270:BG270" si="103">(50%*(1+AJ242)+50%*(1+AJ3))-1</f>
        <v>4.0000000000000036E-2</v>
      </c>
      <c r="AK270" s="107">
        <f t="shared" si="103"/>
        <v>4.0000000000000036E-2</v>
      </c>
      <c r="AL270" s="107">
        <f t="shared" si="103"/>
        <v>4.0000000000000036E-2</v>
      </c>
      <c r="AM270" s="107">
        <f t="shared" si="103"/>
        <v>4.0000000000000036E-2</v>
      </c>
      <c r="AN270" s="107">
        <f t="shared" si="103"/>
        <v>4.0000000000000036E-2</v>
      </c>
      <c r="AO270" s="107">
        <f t="shared" si="103"/>
        <v>4.0000000000000036E-2</v>
      </c>
      <c r="AP270" s="107">
        <f t="shared" si="103"/>
        <v>4.0000000000000036E-2</v>
      </c>
      <c r="AQ270" s="107">
        <f t="shared" si="103"/>
        <v>4.0000000000000036E-2</v>
      </c>
      <c r="AR270" s="107">
        <f t="shared" si="103"/>
        <v>4.0000000000000036E-2</v>
      </c>
      <c r="AS270" s="107">
        <f t="shared" si="103"/>
        <v>4.0000000000000036E-2</v>
      </c>
      <c r="AT270" s="107">
        <f t="shared" si="103"/>
        <v>4.0000000000000036E-2</v>
      </c>
      <c r="AU270" s="107">
        <f t="shared" si="103"/>
        <v>4.0000000000000036E-2</v>
      </c>
      <c r="AV270" s="107">
        <f t="shared" si="103"/>
        <v>4.0000000000000036E-2</v>
      </c>
      <c r="AW270" s="107">
        <f t="shared" si="103"/>
        <v>4.0000000000000036E-2</v>
      </c>
      <c r="AX270" s="107">
        <f t="shared" si="103"/>
        <v>4.0000000000000036E-2</v>
      </c>
      <c r="AY270" s="107">
        <f t="shared" si="103"/>
        <v>4.0000000000000036E-2</v>
      </c>
      <c r="AZ270" s="107">
        <f t="shared" si="103"/>
        <v>4.0000000000000036E-2</v>
      </c>
      <c r="BA270" s="107">
        <f t="shared" si="103"/>
        <v>4.0000000000000036E-2</v>
      </c>
      <c r="BB270" s="107">
        <f t="shared" si="103"/>
        <v>4.0000000000000036E-2</v>
      </c>
      <c r="BC270" s="107">
        <f t="shared" si="103"/>
        <v>4.0000000000000036E-2</v>
      </c>
      <c r="BD270" s="107">
        <f t="shared" si="103"/>
        <v>4.0000000000000036E-2</v>
      </c>
      <c r="BE270" s="107">
        <f t="shared" si="103"/>
        <v>4.0000000000000036E-2</v>
      </c>
      <c r="BF270" s="107">
        <f t="shared" si="103"/>
        <v>4.0000000000000036E-2</v>
      </c>
      <c r="BG270" s="107">
        <f t="shared" si="103"/>
        <v>4.0000000000000036E-2</v>
      </c>
    </row>
    <row r="271" spans="1:59" ht="13.75" customHeight="1">
      <c r="A271" s="171" t="s">
        <v>166</v>
      </c>
      <c r="B271" s="165" t="s">
        <v>384</v>
      </c>
      <c r="C271" s="165"/>
      <c r="D271" s="165" t="s">
        <v>168</v>
      </c>
      <c r="E271" s="172"/>
      <c r="F271" s="168" t="s">
        <v>389</v>
      </c>
      <c r="G271" s="168" t="s">
        <v>3</v>
      </c>
      <c r="H271" s="173" t="s">
        <v>387</v>
      </c>
      <c r="I271" s="168" t="s">
        <v>390</v>
      </c>
      <c r="U271" s="107">
        <v>0.03</v>
      </c>
      <c r="V271" s="107">
        <v>9.2999999999999999E-2</v>
      </c>
      <c r="W271" s="107">
        <v>8.1000000000000003E-2</v>
      </c>
      <c r="X271" s="107">
        <v>6.2549639155632164E-2</v>
      </c>
      <c r="Y271" s="107">
        <v>5.8000000000000003E-2</v>
      </c>
      <c r="Z271" s="107">
        <v>4.1000000000000002E-2</v>
      </c>
      <c r="AA271" s="107">
        <v>0.04</v>
      </c>
      <c r="AB271" s="107">
        <v>4.8500000000000001E-2</v>
      </c>
      <c r="AC271" s="107">
        <v>3.2099999999999997E-2</v>
      </c>
      <c r="AD271" s="107">
        <v>4.24E-2</v>
      </c>
      <c r="AE271" s="107">
        <v>5.8000000000000003E-2</v>
      </c>
      <c r="AF271" s="107">
        <v>0.10807212876679162</v>
      </c>
      <c r="AG271" s="107">
        <v>4.4499999999999984E-2</v>
      </c>
      <c r="AH271" s="107">
        <v>7.3882240306366587E-2</v>
      </c>
      <c r="AI271" s="107">
        <v>5.4854368932039099E-2</v>
      </c>
      <c r="AJ271" s="107">
        <f t="shared" ref="AJ271:BG271" si="104">AJ3</f>
        <v>0.04</v>
      </c>
      <c r="AK271" s="107">
        <f t="shared" si="104"/>
        <v>0.04</v>
      </c>
      <c r="AL271" s="107">
        <f t="shared" si="104"/>
        <v>0.04</v>
      </c>
      <c r="AM271" s="107">
        <f t="shared" si="104"/>
        <v>0.04</v>
      </c>
      <c r="AN271" s="107">
        <f t="shared" si="104"/>
        <v>0.04</v>
      </c>
      <c r="AO271" s="107">
        <f t="shared" si="104"/>
        <v>0.04</v>
      </c>
      <c r="AP271" s="107">
        <f t="shared" si="104"/>
        <v>0.04</v>
      </c>
      <c r="AQ271" s="107">
        <f t="shared" si="104"/>
        <v>0.04</v>
      </c>
      <c r="AR271" s="107">
        <f t="shared" si="104"/>
        <v>0.04</v>
      </c>
      <c r="AS271" s="107">
        <f t="shared" si="104"/>
        <v>0.04</v>
      </c>
      <c r="AT271" s="107">
        <f t="shared" si="104"/>
        <v>0.04</v>
      </c>
      <c r="AU271" s="107">
        <f t="shared" si="104"/>
        <v>0.04</v>
      </c>
      <c r="AV271" s="107">
        <f t="shared" si="104"/>
        <v>0.04</v>
      </c>
      <c r="AW271" s="107">
        <f t="shared" si="104"/>
        <v>0.04</v>
      </c>
      <c r="AX271" s="107">
        <f t="shared" si="104"/>
        <v>0.04</v>
      </c>
      <c r="AY271" s="107">
        <f t="shared" si="104"/>
        <v>0.04</v>
      </c>
      <c r="AZ271" s="107">
        <f t="shared" si="104"/>
        <v>0.04</v>
      </c>
      <c r="BA271" s="107">
        <f t="shared" si="104"/>
        <v>0.04</v>
      </c>
      <c r="BB271" s="107">
        <f t="shared" si="104"/>
        <v>0.04</v>
      </c>
      <c r="BC271" s="107">
        <f t="shared" si="104"/>
        <v>0.04</v>
      </c>
      <c r="BD271" s="107">
        <f t="shared" si="104"/>
        <v>0.04</v>
      </c>
      <c r="BE271" s="107">
        <f t="shared" si="104"/>
        <v>0.04</v>
      </c>
      <c r="BF271" s="107">
        <f t="shared" si="104"/>
        <v>0.04</v>
      </c>
      <c r="BG271" s="107">
        <f t="shared" si="104"/>
        <v>0.04</v>
      </c>
    </row>
    <row r="272" spans="1:59" ht="13.75" customHeight="1">
      <c r="A272" s="171" t="s">
        <v>166</v>
      </c>
      <c r="B272" s="165" t="s">
        <v>384</v>
      </c>
      <c r="C272" s="165"/>
      <c r="D272" s="165" t="s">
        <v>168</v>
      </c>
      <c r="E272" s="172"/>
      <c r="F272" s="168" t="s">
        <v>391</v>
      </c>
      <c r="G272" s="109" t="s">
        <v>3</v>
      </c>
      <c r="H272" s="109" t="s">
        <v>392</v>
      </c>
      <c r="I272" s="168" t="s">
        <v>393</v>
      </c>
      <c r="U272" s="107">
        <v>4.6511627906976827E-2</v>
      </c>
      <c r="V272" s="107">
        <v>8.8888888888888795E-2</v>
      </c>
      <c r="W272" s="107">
        <v>6.1224489795918435E-2</v>
      </c>
      <c r="X272" s="107">
        <v>1.4232859473062964E-2</v>
      </c>
      <c r="Y272" s="107">
        <v>2.5170975902034431E-2</v>
      </c>
      <c r="Z272" s="107">
        <v>1.0091786747004061E-3</v>
      </c>
      <c r="AA272" s="107">
        <v>3.5378204787900769E-2</v>
      </c>
      <c r="AB272" s="107">
        <v>2.780401525031917E-2</v>
      </c>
      <c r="AC272" s="107">
        <v>-5.3687693088631083E-2</v>
      </c>
      <c r="AD272" s="107">
        <v>0.14612722404062464</v>
      </c>
      <c r="AE272" s="107">
        <f>0.79*AE281+(1-0.79)*AE282</f>
        <v>7.4939999999999979E-2</v>
      </c>
      <c r="AF272" s="107">
        <f t="shared" ref="AF272:BG272" si="105">0.79*AF281+(1-0.79)*AF282</f>
        <v>0.102766</v>
      </c>
      <c r="AG272" s="107">
        <f t="shared" si="105"/>
        <v>5.1658000000000003E-2</v>
      </c>
      <c r="AH272" s="107">
        <f t="shared" si="105"/>
        <v>6.656349851294735E-2</v>
      </c>
      <c r="AI272" s="107">
        <f t="shared" si="105"/>
        <v>5.1143551253174595E-2</v>
      </c>
      <c r="AJ272" s="107">
        <f t="shared" si="105"/>
        <v>0.04</v>
      </c>
      <c r="AK272" s="107">
        <f t="shared" si="105"/>
        <v>0.04</v>
      </c>
      <c r="AL272" s="107">
        <f t="shared" si="105"/>
        <v>0.04</v>
      </c>
      <c r="AM272" s="107">
        <f t="shared" si="105"/>
        <v>0.04</v>
      </c>
      <c r="AN272" s="107">
        <f t="shared" si="105"/>
        <v>0.04</v>
      </c>
      <c r="AO272" s="107">
        <f t="shared" si="105"/>
        <v>0.04</v>
      </c>
      <c r="AP272" s="107">
        <f t="shared" si="105"/>
        <v>0.04</v>
      </c>
      <c r="AQ272" s="107">
        <f t="shared" si="105"/>
        <v>0.04</v>
      </c>
      <c r="AR272" s="107">
        <f t="shared" si="105"/>
        <v>0.04</v>
      </c>
      <c r="AS272" s="107">
        <f t="shared" si="105"/>
        <v>0.04</v>
      </c>
      <c r="AT272" s="107">
        <f t="shared" si="105"/>
        <v>0.04</v>
      </c>
      <c r="AU272" s="107">
        <f t="shared" si="105"/>
        <v>0.04</v>
      </c>
      <c r="AV272" s="107">
        <f t="shared" si="105"/>
        <v>0.04</v>
      </c>
      <c r="AW272" s="107">
        <f t="shared" si="105"/>
        <v>0.04</v>
      </c>
      <c r="AX272" s="107">
        <f t="shared" si="105"/>
        <v>0.04</v>
      </c>
      <c r="AY272" s="107">
        <f t="shared" si="105"/>
        <v>0.04</v>
      </c>
      <c r="AZ272" s="107">
        <f t="shared" si="105"/>
        <v>0.04</v>
      </c>
      <c r="BA272" s="107">
        <f t="shared" si="105"/>
        <v>0.04</v>
      </c>
      <c r="BB272" s="107">
        <f t="shared" si="105"/>
        <v>0.04</v>
      </c>
      <c r="BC272" s="107">
        <f t="shared" si="105"/>
        <v>0.04</v>
      </c>
      <c r="BD272" s="107">
        <f t="shared" si="105"/>
        <v>0.04</v>
      </c>
      <c r="BE272" s="107">
        <f t="shared" si="105"/>
        <v>0.04</v>
      </c>
      <c r="BF272" s="107">
        <f t="shared" si="105"/>
        <v>0.04</v>
      </c>
      <c r="BG272" s="107">
        <f t="shared" si="105"/>
        <v>0.04</v>
      </c>
    </row>
    <row r="273" spans="1:59" ht="13.75" customHeight="1">
      <c r="A273" s="171" t="s">
        <v>166</v>
      </c>
      <c r="B273" s="165" t="s">
        <v>384</v>
      </c>
      <c r="C273" s="165"/>
      <c r="D273" s="165" t="s">
        <v>168</v>
      </c>
      <c r="E273" s="172"/>
      <c r="F273" s="168" t="s">
        <v>394</v>
      </c>
      <c r="G273" s="168" t="s">
        <v>3</v>
      </c>
      <c r="H273" s="173" t="s">
        <v>387</v>
      </c>
      <c r="I273" s="168" t="s">
        <v>395</v>
      </c>
      <c r="U273" s="107">
        <v>-1.7000000000000001E-2</v>
      </c>
      <c r="V273" s="107">
        <v>8.7999999999999995E-2</v>
      </c>
      <c r="W273" s="107">
        <v>5.1999999999999998E-2</v>
      </c>
      <c r="X273" s="107">
        <v>6.2549639155632164E-2</v>
      </c>
      <c r="Y273" s="107">
        <v>7.0000000000000007E-2</v>
      </c>
      <c r="Z273" s="107">
        <v>4.2999999999999997E-2</v>
      </c>
      <c r="AA273" s="107">
        <v>0.03</v>
      </c>
      <c r="AB273" s="107">
        <v>0.03</v>
      </c>
      <c r="AC273" s="107">
        <v>4.4083526682134666E-2</v>
      </c>
      <c r="AD273" s="107">
        <v>4.6666666666666634E-2</v>
      </c>
      <c r="AE273" s="107">
        <v>0.05</v>
      </c>
      <c r="AF273" s="107">
        <v>8.8999999999999996E-2</v>
      </c>
      <c r="AG273" s="107">
        <v>0.05</v>
      </c>
      <c r="AH273" s="107">
        <v>5.5465069443706216E-2</v>
      </c>
      <c r="AI273" s="107">
        <v>4.6800439312890907E-2</v>
      </c>
      <c r="AJ273" s="107">
        <f t="shared" ref="AJ273:BG273" si="106">(50%*(1+AJ242)+50%*(1+AJ5))-1</f>
        <v>4.0000000000000036E-2</v>
      </c>
      <c r="AK273" s="107">
        <f t="shared" si="106"/>
        <v>4.0000000000000036E-2</v>
      </c>
      <c r="AL273" s="107">
        <f t="shared" si="106"/>
        <v>4.0000000000000036E-2</v>
      </c>
      <c r="AM273" s="107">
        <f t="shared" si="106"/>
        <v>4.0000000000000036E-2</v>
      </c>
      <c r="AN273" s="107">
        <f t="shared" si="106"/>
        <v>4.0000000000000036E-2</v>
      </c>
      <c r="AO273" s="107">
        <f t="shared" si="106"/>
        <v>4.0000000000000036E-2</v>
      </c>
      <c r="AP273" s="107">
        <f t="shared" si="106"/>
        <v>4.0000000000000036E-2</v>
      </c>
      <c r="AQ273" s="107">
        <f t="shared" si="106"/>
        <v>4.0000000000000036E-2</v>
      </c>
      <c r="AR273" s="107">
        <f t="shared" si="106"/>
        <v>4.0000000000000036E-2</v>
      </c>
      <c r="AS273" s="107">
        <f t="shared" si="106"/>
        <v>4.0000000000000036E-2</v>
      </c>
      <c r="AT273" s="107">
        <f t="shared" si="106"/>
        <v>4.0000000000000036E-2</v>
      </c>
      <c r="AU273" s="107">
        <f t="shared" si="106"/>
        <v>4.0000000000000036E-2</v>
      </c>
      <c r="AV273" s="107">
        <f t="shared" si="106"/>
        <v>4.0000000000000036E-2</v>
      </c>
      <c r="AW273" s="107">
        <f t="shared" si="106"/>
        <v>4.0000000000000036E-2</v>
      </c>
      <c r="AX273" s="107">
        <f t="shared" si="106"/>
        <v>4.0000000000000036E-2</v>
      </c>
      <c r="AY273" s="107">
        <f t="shared" si="106"/>
        <v>4.0000000000000036E-2</v>
      </c>
      <c r="AZ273" s="107">
        <f t="shared" si="106"/>
        <v>4.0000000000000036E-2</v>
      </c>
      <c r="BA273" s="107">
        <f t="shared" si="106"/>
        <v>4.0000000000000036E-2</v>
      </c>
      <c r="BB273" s="107">
        <f t="shared" si="106"/>
        <v>4.0000000000000036E-2</v>
      </c>
      <c r="BC273" s="107">
        <f t="shared" si="106"/>
        <v>4.0000000000000036E-2</v>
      </c>
      <c r="BD273" s="107">
        <f t="shared" si="106"/>
        <v>4.0000000000000036E-2</v>
      </c>
      <c r="BE273" s="107">
        <f t="shared" si="106"/>
        <v>4.0000000000000036E-2</v>
      </c>
      <c r="BF273" s="107">
        <f t="shared" si="106"/>
        <v>4.0000000000000036E-2</v>
      </c>
      <c r="BG273" s="107">
        <f t="shared" si="106"/>
        <v>4.0000000000000036E-2</v>
      </c>
    </row>
    <row r="274" spans="1:59" ht="13.75" customHeight="1">
      <c r="A274" s="171" t="s">
        <v>166</v>
      </c>
      <c r="B274" s="165" t="s">
        <v>384</v>
      </c>
      <c r="C274" s="165"/>
      <c r="D274" s="165" t="s">
        <v>168</v>
      </c>
      <c r="E274" s="172"/>
      <c r="F274" s="168" t="s">
        <v>396</v>
      </c>
      <c r="G274" s="168" t="s">
        <v>3</v>
      </c>
      <c r="H274" s="173"/>
      <c r="I274" s="168" t="s">
        <v>397</v>
      </c>
      <c r="U274" s="107">
        <v>-5.2352524807350864E-3</v>
      </c>
      <c r="V274" s="107">
        <v>0.18490300060414855</v>
      </c>
      <c r="W274" s="107">
        <v>6.8577741268447401E-2</v>
      </c>
      <c r="X274" s="107">
        <v>6.8837839412193347E-2</v>
      </c>
      <c r="Y274" s="107">
        <v>-3.1326497860560965E-2</v>
      </c>
      <c r="Z274" s="107">
        <v>-8.0000000000000002E-3</v>
      </c>
      <c r="AA274" s="107">
        <v>-1.4647563466444469E-3</v>
      </c>
      <c r="AB274" s="107">
        <v>6.0907979048838712E-3</v>
      </c>
      <c r="AC274" s="107">
        <f t="shared" ref="AC274:BG274" si="107">0.79*AC278+(1-0.79)*AC279</f>
        <v>-1.265333943882436E-2</v>
      </c>
      <c r="AD274" s="107">
        <f t="shared" si="107"/>
        <v>0.22629228532599871</v>
      </c>
      <c r="AE274" s="107">
        <f t="shared" si="107"/>
        <v>0.2446239332566752</v>
      </c>
      <c r="AF274" s="107">
        <f t="shared" si="107"/>
        <v>0.13818632678963572</v>
      </c>
      <c r="AG274" s="107">
        <f t="shared" si="107"/>
        <v>0.13394563643388294</v>
      </c>
      <c r="AH274" s="107">
        <f t="shared" si="107"/>
        <v>8.1356098754693074E-2</v>
      </c>
      <c r="AI274" s="107">
        <f t="shared" si="107"/>
        <v>-4.4093937438348961E-2</v>
      </c>
      <c r="AJ274" s="107">
        <f t="shared" si="107"/>
        <v>0.04</v>
      </c>
      <c r="AK274" s="107">
        <f t="shared" si="107"/>
        <v>0.04</v>
      </c>
      <c r="AL274" s="107">
        <f t="shared" si="107"/>
        <v>0.04</v>
      </c>
      <c r="AM274" s="107">
        <f t="shared" si="107"/>
        <v>0.04</v>
      </c>
      <c r="AN274" s="107">
        <f t="shared" si="107"/>
        <v>0.04</v>
      </c>
      <c r="AO274" s="107">
        <f t="shared" si="107"/>
        <v>0.04</v>
      </c>
      <c r="AP274" s="107">
        <f t="shared" si="107"/>
        <v>0.04</v>
      </c>
      <c r="AQ274" s="107">
        <f t="shared" si="107"/>
        <v>0.04</v>
      </c>
      <c r="AR274" s="107">
        <f t="shared" si="107"/>
        <v>0.04</v>
      </c>
      <c r="AS274" s="107">
        <f t="shared" si="107"/>
        <v>0.04</v>
      </c>
      <c r="AT274" s="107">
        <f t="shared" si="107"/>
        <v>0.04</v>
      </c>
      <c r="AU274" s="107">
        <f t="shared" si="107"/>
        <v>0.04</v>
      </c>
      <c r="AV274" s="107">
        <f t="shared" si="107"/>
        <v>0.04</v>
      </c>
      <c r="AW274" s="107">
        <f t="shared" si="107"/>
        <v>0.04</v>
      </c>
      <c r="AX274" s="107">
        <f t="shared" si="107"/>
        <v>0.04</v>
      </c>
      <c r="AY274" s="107">
        <f t="shared" si="107"/>
        <v>0.04</v>
      </c>
      <c r="AZ274" s="107">
        <f t="shared" si="107"/>
        <v>0.04</v>
      </c>
      <c r="BA274" s="107">
        <f t="shared" si="107"/>
        <v>0.04</v>
      </c>
      <c r="BB274" s="107">
        <f t="shared" si="107"/>
        <v>0.04</v>
      </c>
      <c r="BC274" s="107">
        <f t="shared" si="107"/>
        <v>0.04</v>
      </c>
      <c r="BD274" s="107">
        <f t="shared" si="107"/>
        <v>0.04</v>
      </c>
      <c r="BE274" s="107">
        <f t="shared" si="107"/>
        <v>0.04</v>
      </c>
      <c r="BF274" s="107">
        <f t="shared" si="107"/>
        <v>0.04</v>
      </c>
      <c r="BG274" s="107">
        <f t="shared" si="107"/>
        <v>0.04</v>
      </c>
    </row>
    <row r="275" spans="1:59" ht="13.75" customHeight="1">
      <c r="A275" s="171" t="s">
        <v>166</v>
      </c>
      <c r="B275" s="165" t="s">
        <v>384</v>
      </c>
      <c r="C275" s="165"/>
      <c r="D275" s="165" t="s">
        <v>370</v>
      </c>
      <c r="E275" s="172"/>
      <c r="F275" s="168" t="s">
        <v>398</v>
      </c>
      <c r="G275" s="168" t="s">
        <v>3</v>
      </c>
      <c r="H275" s="173"/>
      <c r="I275" s="168" t="s">
        <v>399</v>
      </c>
      <c r="U275" s="107">
        <v>2.5999999999999999E-2</v>
      </c>
      <c r="V275" s="107">
        <v>8.3000000000000004E-2</v>
      </c>
      <c r="W275" s="107">
        <v>4.9000000000000002E-2</v>
      </c>
      <c r="X275" s="107">
        <v>3.7999999999999999E-2</v>
      </c>
      <c r="Y275" s="107">
        <v>7.4999999999999997E-2</v>
      </c>
      <c r="Z275" s="107">
        <v>5.5E-2</v>
      </c>
      <c r="AA275" s="107">
        <v>5.5E-2</v>
      </c>
      <c r="AB275" s="107">
        <v>3.0000000000000027E-2</v>
      </c>
      <c r="AC275" s="107">
        <v>3.0000000000000027E-2</v>
      </c>
      <c r="AD275" s="107">
        <v>3.0000000000000027E-2</v>
      </c>
      <c r="AE275" s="107">
        <v>4.2000000000000003E-2</v>
      </c>
      <c r="AF275" s="107">
        <v>0.10190546219510432</v>
      </c>
      <c r="AG275" s="107">
        <v>4.5499999999999652E-2</v>
      </c>
      <c r="AH275" s="107">
        <v>7.4825442372070894E-2</v>
      </c>
      <c r="AI275" s="107">
        <v>5.4854368932038877E-2</v>
      </c>
      <c r="AJ275" s="107">
        <f t="shared" ref="AJ275:BG275" si="108">AJ3</f>
        <v>0.04</v>
      </c>
      <c r="AK275" s="107">
        <f t="shared" si="108"/>
        <v>0.04</v>
      </c>
      <c r="AL275" s="107">
        <f t="shared" si="108"/>
        <v>0.04</v>
      </c>
      <c r="AM275" s="107">
        <f t="shared" si="108"/>
        <v>0.04</v>
      </c>
      <c r="AN275" s="107">
        <f t="shared" si="108"/>
        <v>0.04</v>
      </c>
      <c r="AO275" s="107">
        <f t="shared" si="108"/>
        <v>0.04</v>
      </c>
      <c r="AP275" s="107">
        <f t="shared" si="108"/>
        <v>0.04</v>
      </c>
      <c r="AQ275" s="107">
        <f t="shared" si="108"/>
        <v>0.04</v>
      </c>
      <c r="AR275" s="107">
        <f t="shared" si="108"/>
        <v>0.04</v>
      </c>
      <c r="AS275" s="107">
        <f t="shared" si="108"/>
        <v>0.04</v>
      </c>
      <c r="AT275" s="107">
        <f t="shared" si="108"/>
        <v>0.04</v>
      </c>
      <c r="AU275" s="107">
        <f t="shared" si="108"/>
        <v>0.04</v>
      </c>
      <c r="AV275" s="107">
        <f t="shared" si="108"/>
        <v>0.04</v>
      </c>
      <c r="AW275" s="107">
        <f t="shared" si="108"/>
        <v>0.04</v>
      </c>
      <c r="AX275" s="107">
        <f t="shared" si="108"/>
        <v>0.04</v>
      </c>
      <c r="AY275" s="107">
        <f t="shared" si="108"/>
        <v>0.04</v>
      </c>
      <c r="AZ275" s="107">
        <f t="shared" si="108"/>
        <v>0.04</v>
      </c>
      <c r="BA275" s="107">
        <f t="shared" si="108"/>
        <v>0.04</v>
      </c>
      <c r="BB275" s="107">
        <f t="shared" si="108"/>
        <v>0.04</v>
      </c>
      <c r="BC275" s="107">
        <f t="shared" si="108"/>
        <v>0.04</v>
      </c>
      <c r="BD275" s="107">
        <f t="shared" si="108"/>
        <v>0.04</v>
      </c>
      <c r="BE275" s="107">
        <f t="shared" si="108"/>
        <v>0.04</v>
      </c>
      <c r="BF275" s="107">
        <f t="shared" si="108"/>
        <v>0.04</v>
      </c>
      <c r="BG275" s="107">
        <f t="shared" si="108"/>
        <v>0.04</v>
      </c>
    </row>
    <row r="276" spans="1:59" ht="13.75" customHeight="1">
      <c r="A276" s="171" t="s">
        <v>166</v>
      </c>
      <c r="B276" s="165" t="s">
        <v>384</v>
      </c>
      <c r="C276" s="165"/>
      <c r="D276" s="165"/>
      <c r="E276" s="167"/>
      <c r="F276" s="168" t="s">
        <v>400</v>
      </c>
      <c r="G276" s="168" t="s">
        <v>219</v>
      </c>
      <c r="H276" s="168"/>
      <c r="I276" s="168"/>
      <c r="X276" s="110"/>
      <c r="Y276" s="110"/>
      <c r="Z276" s="110"/>
      <c r="AA276" s="110"/>
      <c r="AB276" s="110"/>
      <c r="AC276" s="110"/>
      <c r="AI276" s="116"/>
      <c r="AJ276" s="116"/>
      <c r="AK276" s="116"/>
      <c r="AL276" s="116"/>
      <c r="AM276" s="119"/>
      <c r="AN276" s="116"/>
      <c r="AO276" s="116"/>
      <c r="AP276" s="116"/>
      <c r="AQ276" s="116"/>
      <c r="AR276" s="116"/>
      <c r="AS276" s="116"/>
      <c r="AT276" s="116"/>
      <c r="AU276" s="116"/>
      <c r="AV276" s="116"/>
      <c r="AW276" s="116"/>
      <c r="AX276" s="116"/>
      <c r="AY276" s="116"/>
      <c r="AZ276" s="116"/>
      <c r="BA276" s="116"/>
      <c r="BB276" s="116"/>
      <c r="BC276" s="116"/>
      <c r="BD276" s="116"/>
      <c r="BE276" s="116"/>
      <c r="BF276" s="116"/>
      <c r="BG276" s="116"/>
    </row>
    <row r="277" spans="1:59" ht="13.75" customHeight="1">
      <c r="A277" s="171" t="s">
        <v>166</v>
      </c>
      <c r="B277" s="165" t="s">
        <v>384</v>
      </c>
      <c r="C277" s="165"/>
      <c r="D277" s="165"/>
      <c r="E277" s="167"/>
      <c r="F277" s="168" t="s">
        <v>401</v>
      </c>
      <c r="G277" s="109" t="s">
        <v>402</v>
      </c>
      <c r="H277" s="168"/>
      <c r="I277" s="168"/>
      <c r="X277" s="110"/>
      <c r="Y277" s="110"/>
      <c r="Z277" s="110"/>
      <c r="AA277" s="110"/>
      <c r="AB277" s="110"/>
      <c r="AC277" s="110"/>
      <c r="AI277" s="116"/>
      <c r="AJ277" s="116"/>
      <c r="AK277" s="116"/>
      <c r="AL277" s="116"/>
      <c r="AM277" s="119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  <c r="AX277" s="116"/>
      <c r="AY277" s="116"/>
      <c r="AZ277" s="116"/>
      <c r="BA277" s="116"/>
      <c r="BB277" s="116"/>
      <c r="BC277" s="116"/>
      <c r="BD277" s="116"/>
      <c r="BE277" s="116"/>
      <c r="BF277" s="116"/>
      <c r="BG277" s="116"/>
    </row>
    <row r="278" spans="1:59" ht="13.75" customHeight="1">
      <c r="A278" s="171" t="s">
        <v>166</v>
      </c>
      <c r="B278" s="165" t="s">
        <v>384</v>
      </c>
      <c r="C278" s="165"/>
      <c r="D278" s="165" t="s">
        <v>168</v>
      </c>
      <c r="E278" s="167"/>
      <c r="F278" s="168" t="s">
        <v>403</v>
      </c>
      <c r="G278" s="168" t="s">
        <v>3</v>
      </c>
      <c r="H278" s="168"/>
      <c r="I278" s="168" t="s">
        <v>404</v>
      </c>
      <c r="X278" s="107">
        <v>-8.9907334512494108E-2</v>
      </c>
      <c r="Y278" s="107">
        <v>-7.5158910121978062E-2</v>
      </c>
      <c r="Z278" s="107">
        <v>5.0000000000000001E-3</v>
      </c>
      <c r="AA278" s="107">
        <v>3.9646668079993397E-3</v>
      </c>
      <c r="AB278" s="107">
        <v>3.6513668429540846E-2</v>
      </c>
      <c r="AC278" s="107">
        <v>-4.2767156600441725E-3</v>
      </c>
      <c r="AD278" s="107">
        <v>0.22272701615451362</v>
      </c>
      <c r="AE278" s="107">
        <v>0.26066925864846024</v>
      </c>
      <c r="AF278" s="107">
        <v>0.14070611272980349</v>
      </c>
      <c r="AG278" s="107">
        <v>0.13827509923711689</v>
      </c>
      <c r="AH278" s="107">
        <v>7.5546176113794328E-2</v>
      </c>
      <c r="AI278" s="107">
        <v>-3.975847083104378E-2</v>
      </c>
      <c r="AJ278" s="107">
        <f>AJ3</f>
        <v>0.04</v>
      </c>
      <c r="AK278" s="107">
        <f t="shared" ref="AK278:BG278" si="109">AK3</f>
        <v>0.04</v>
      </c>
      <c r="AL278" s="107">
        <f t="shared" si="109"/>
        <v>0.04</v>
      </c>
      <c r="AM278" s="107">
        <f t="shared" si="109"/>
        <v>0.04</v>
      </c>
      <c r="AN278" s="107">
        <f t="shared" si="109"/>
        <v>0.04</v>
      </c>
      <c r="AO278" s="107">
        <f t="shared" si="109"/>
        <v>0.04</v>
      </c>
      <c r="AP278" s="107">
        <f t="shared" si="109"/>
        <v>0.04</v>
      </c>
      <c r="AQ278" s="107">
        <f t="shared" si="109"/>
        <v>0.04</v>
      </c>
      <c r="AR278" s="107">
        <f t="shared" si="109"/>
        <v>0.04</v>
      </c>
      <c r="AS278" s="107">
        <f t="shared" si="109"/>
        <v>0.04</v>
      </c>
      <c r="AT278" s="107">
        <f t="shared" si="109"/>
        <v>0.04</v>
      </c>
      <c r="AU278" s="107">
        <f t="shared" si="109"/>
        <v>0.04</v>
      </c>
      <c r="AV278" s="107">
        <f t="shared" si="109"/>
        <v>0.04</v>
      </c>
      <c r="AW278" s="107">
        <f t="shared" si="109"/>
        <v>0.04</v>
      </c>
      <c r="AX278" s="107">
        <f t="shared" si="109"/>
        <v>0.04</v>
      </c>
      <c r="AY278" s="107">
        <f t="shared" si="109"/>
        <v>0.04</v>
      </c>
      <c r="AZ278" s="107">
        <f t="shared" si="109"/>
        <v>0.04</v>
      </c>
      <c r="BA278" s="107">
        <f t="shared" si="109"/>
        <v>0.04</v>
      </c>
      <c r="BB278" s="107">
        <f t="shared" si="109"/>
        <v>0.04</v>
      </c>
      <c r="BC278" s="107">
        <f t="shared" si="109"/>
        <v>0.04</v>
      </c>
      <c r="BD278" s="107">
        <f t="shared" si="109"/>
        <v>0.04</v>
      </c>
      <c r="BE278" s="107">
        <f t="shared" si="109"/>
        <v>0.04</v>
      </c>
      <c r="BF278" s="107">
        <f t="shared" si="109"/>
        <v>0.04</v>
      </c>
      <c r="BG278" s="107">
        <f t="shared" si="109"/>
        <v>0.04</v>
      </c>
    </row>
    <row r="279" spans="1:59" ht="13.75" customHeight="1">
      <c r="A279" s="171" t="s">
        <v>166</v>
      </c>
      <c r="B279" s="165" t="s">
        <v>384</v>
      </c>
      <c r="C279" s="165"/>
      <c r="D279" s="165" t="s">
        <v>168</v>
      </c>
      <c r="E279" s="167"/>
      <c r="F279" s="168" t="s">
        <v>405</v>
      </c>
      <c r="G279" s="168" t="s">
        <v>3</v>
      </c>
      <c r="H279" s="168"/>
      <c r="I279" s="168" t="s">
        <v>404</v>
      </c>
      <c r="X279" s="107">
        <v>0.74933493123264094</v>
      </c>
      <c r="Y279" s="107">
        <v>7.1905055194522172E-2</v>
      </c>
      <c r="Z279" s="107">
        <v>-3.9E-2</v>
      </c>
      <c r="AA279" s="107">
        <v>4.641396119079455E-2</v>
      </c>
      <c r="AB279" s="107">
        <v>6.7068068989095231E-2</v>
      </c>
      <c r="AC279" s="107">
        <v>-4.4165400320902215E-2</v>
      </c>
      <c r="AD279" s="107">
        <v>0.23970448839968084</v>
      </c>
      <c r="AE279" s="107">
        <v>0.1842629472590076</v>
      </c>
      <c r="AF279" s="107">
        <v>0.12870713206233786</v>
      </c>
      <c r="AG279" s="107">
        <v>0.11765860969790753</v>
      </c>
      <c r="AH279" s="107">
        <v>0.10321247440378833</v>
      </c>
      <c r="AI279" s="107">
        <v>-6.0403549913449428E-2</v>
      </c>
      <c r="AJ279" s="107">
        <f>AJ3</f>
        <v>0.04</v>
      </c>
      <c r="AK279" s="107">
        <f t="shared" ref="AK279:BG279" si="110">AK3</f>
        <v>0.04</v>
      </c>
      <c r="AL279" s="107">
        <f t="shared" si="110"/>
        <v>0.04</v>
      </c>
      <c r="AM279" s="107">
        <f t="shared" si="110"/>
        <v>0.04</v>
      </c>
      <c r="AN279" s="107">
        <f t="shared" si="110"/>
        <v>0.04</v>
      </c>
      <c r="AO279" s="107">
        <f t="shared" si="110"/>
        <v>0.04</v>
      </c>
      <c r="AP279" s="107">
        <f t="shared" si="110"/>
        <v>0.04</v>
      </c>
      <c r="AQ279" s="107">
        <f t="shared" si="110"/>
        <v>0.04</v>
      </c>
      <c r="AR279" s="107">
        <f t="shared" si="110"/>
        <v>0.04</v>
      </c>
      <c r="AS279" s="107">
        <f t="shared" si="110"/>
        <v>0.04</v>
      </c>
      <c r="AT279" s="107">
        <f t="shared" si="110"/>
        <v>0.04</v>
      </c>
      <c r="AU279" s="107">
        <f t="shared" si="110"/>
        <v>0.04</v>
      </c>
      <c r="AV279" s="107">
        <f t="shared" si="110"/>
        <v>0.04</v>
      </c>
      <c r="AW279" s="107">
        <f t="shared" si="110"/>
        <v>0.04</v>
      </c>
      <c r="AX279" s="107">
        <f t="shared" si="110"/>
        <v>0.04</v>
      </c>
      <c r="AY279" s="107">
        <f t="shared" si="110"/>
        <v>0.04</v>
      </c>
      <c r="AZ279" s="107">
        <f t="shared" si="110"/>
        <v>0.04</v>
      </c>
      <c r="BA279" s="107">
        <f t="shared" si="110"/>
        <v>0.04</v>
      </c>
      <c r="BB279" s="107">
        <f t="shared" si="110"/>
        <v>0.04</v>
      </c>
      <c r="BC279" s="107">
        <f t="shared" si="110"/>
        <v>0.04</v>
      </c>
      <c r="BD279" s="107">
        <f t="shared" si="110"/>
        <v>0.04</v>
      </c>
      <c r="BE279" s="107">
        <f t="shared" si="110"/>
        <v>0.04</v>
      </c>
      <c r="BF279" s="107">
        <f t="shared" si="110"/>
        <v>0.04</v>
      </c>
      <c r="BG279" s="107">
        <f t="shared" si="110"/>
        <v>0.04</v>
      </c>
    </row>
    <row r="280" spans="1:59" ht="13.75" customHeight="1">
      <c r="A280" s="171" t="s">
        <v>166</v>
      </c>
      <c r="B280" s="165" t="s">
        <v>384</v>
      </c>
      <c r="C280" s="165"/>
      <c r="D280" s="165" t="s">
        <v>168</v>
      </c>
      <c r="E280" s="167"/>
      <c r="F280" s="168" t="s">
        <v>406</v>
      </c>
      <c r="G280" s="168" t="s">
        <v>3</v>
      </c>
      <c r="H280" s="168" t="s">
        <v>407</v>
      </c>
      <c r="I280" s="168" t="s">
        <v>408</v>
      </c>
      <c r="X280" s="107">
        <v>-4.0000000000000001E-3</v>
      </c>
      <c r="Y280" s="107">
        <v>1.7000000000000001E-2</v>
      </c>
      <c r="Z280" s="107">
        <v>5.0000000000000001E-3</v>
      </c>
      <c r="AA280" s="107">
        <v>1.6E-2</v>
      </c>
      <c r="AB280" s="107">
        <v>-1E-3</v>
      </c>
      <c r="AC280" s="107">
        <v>-2.3E-2</v>
      </c>
      <c r="AD280" s="107">
        <v>5.3999999999999999E-2</v>
      </c>
      <c r="AE280" s="107">
        <v>1.4999999999999999E-2</v>
      </c>
      <c r="AF280" s="107">
        <v>0.01</v>
      </c>
      <c r="AG280" s="107">
        <v>1.305333015412179E-2</v>
      </c>
      <c r="AH280" s="107">
        <v>9.4000000000000004E-3</v>
      </c>
      <c r="AI280" s="107">
        <v>9.4000000000000004E-3</v>
      </c>
      <c r="AJ280" s="107">
        <f t="shared" ref="AJ280:BG280" si="111">0.4823*AJ2-0.003</f>
        <v>4.2344999999999995E-3</v>
      </c>
      <c r="AK280" s="107">
        <f t="shared" si="111"/>
        <v>4.2344999999999995E-3</v>
      </c>
      <c r="AL280" s="107">
        <f t="shared" si="111"/>
        <v>4.2344999999999995E-3</v>
      </c>
      <c r="AM280" s="107">
        <f t="shared" si="111"/>
        <v>4.2344999999999995E-3</v>
      </c>
      <c r="AN280" s="107">
        <f t="shared" si="111"/>
        <v>4.2344999999999995E-3</v>
      </c>
      <c r="AO280" s="107">
        <f t="shared" si="111"/>
        <v>4.2344999999999995E-3</v>
      </c>
      <c r="AP280" s="107">
        <f t="shared" si="111"/>
        <v>4.2344999999999995E-3</v>
      </c>
      <c r="AQ280" s="107">
        <f t="shared" si="111"/>
        <v>4.2344999999999995E-3</v>
      </c>
      <c r="AR280" s="107">
        <f t="shared" si="111"/>
        <v>4.2344999999999995E-3</v>
      </c>
      <c r="AS280" s="107">
        <f t="shared" si="111"/>
        <v>4.2344999999999995E-3</v>
      </c>
      <c r="AT280" s="107">
        <f t="shared" si="111"/>
        <v>4.2344999999999995E-3</v>
      </c>
      <c r="AU280" s="107">
        <f t="shared" si="111"/>
        <v>4.2344999999999995E-3</v>
      </c>
      <c r="AV280" s="107">
        <f t="shared" si="111"/>
        <v>4.2344999999999995E-3</v>
      </c>
      <c r="AW280" s="107">
        <f t="shared" si="111"/>
        <v>4.2344999999999995E-3</v>
      </c>
      <c r="AX280" s="107">
        <f t="shared" si="111"/>
        <v>4.2344999999999995E-3</v>
      </c>
      <c r="AY280" s="107">
        <f t="shared" si="111"/>
        <v>4.2344999999999995E-3</v>
      </c>
      <c r="AZ280" s="107">
        <f t="shared" si="111"/>
        <v>4.2344999999999995E-3</v>
      </c>
      <c r="BA280" s="107">
        <f t="shared" si="111"/>
        <v>4.2344999999999995E-3</v>
      </c>
      <c r="BB280" s="107">
        <f t="shared" si="111"/>
        <v>4.2344999999999995E-3</v>
      </c>
      <c r="BC280" s="107">
        <f t="shared" si="111"/>
        <v>4.2344999999999995E-3</v>
      </c>
      <c r="BD280" s="107">
        <f t="shared" si="111"/>
        <v>4.2344999999999995E-3</v>
      </c>
      <c r="BE280" s="107">
        <f t="shared" si="111"/>
        <v>4.2344999999999995E-3</v>
      </c>
      <c r="BF280" s="107">
        <f t="shared" si="111"/>
        <v>4.2344999999999995E-3</v>
      </c>
      <c r="BG280" s="107">
        <f t="shared" si="111"/>
        <v>4.2344999999999995E-3</v>
      </c>
    </row>
    <row r="281" spans="1:59" ht="13.75" customHeight="1">
      <c r="A281" s="171" t="s">
        <v>166</v>
      </c>
      <c r="B281" s="165" t="s">
        <v>384</v>
      </c>
      <c r="C281" s="165"/>
      <c r="D281" s="165" t="s">
        <v>168</v>
      </c>
      <c r="E281" s="167"/>
      <c r="F281" s="168" t="s">
        <v>409</v>
      </c>
      <c r="G281" s="168" t="s">
        <v>3</v>
      </c>
      <c r="H281" s="168"/>
      <c r="I281" s="168" t="s">
        <v>410</v>
      </c>
      <c r="X281" s="107">
        <v>-1.2093974257885831E-2</v>
      </c>
      <c r="Y281" s="107">
        <v>4.267967941529216E-2</v>
      </c>
      <c r="Z281" s="107">
        <v>4.9139709037637758E-5</v>
      </c>
      <c r="AA281" s="107">
        <v>3.576433753584074E-2</v>
      </c>
      <c r="AB281" s="107">
        <v>3.2730681648099891E-2</v>
      </c>
      <c r="AC281" s="107">
        <v>-5.9838521525394817E-2</v>
      </c>
      <c r="AD281" s="107">
        <v>0.16034331952154934</v>
      </c>
      <c r="AE281" s="107">
        <v>0.03</v>
      </c>
      <c r="AF281" s="107">
        <v>0.106</v>
      </c>
      <c r="AG281" s="107">
        <v>5.8000000000000003E-2</v>
      </c>
      <c r="AH281" s="107">
        <v>7.3499999999999996E-2</v>
      </c>
      <c r="AI281" s="107">
        <v>5.3999999999999999E-2</v>
      </c>
      <c r="AJ281" s="107">
        <f>AJ242</f>
        <v>0.04</v>
      </c>
      <c r="AK281" s="107">
        <f t="shared" ref="AK281:BG281" si="112">AK242</f>
        <v>0.04</v>
      </c>
      <c r="AL281" s="107">
        <f t="shared" si="112"/>
        <v>0.04</v>
      </c>
      <c r="AM281" s="107">
        <f t="shared" si="112"/>
        <v>0.04</v>
      </c>
      <c r="AN281" s="107">
        <f t="shared" si="112"/>
        <v>0.04</v>
      </c>
      <c r="AO281" s="107">
        <f t="shared" si="112"/>
        <v>0.04</v>
      </c>
      <c r="AP281" s="107">
        <f t="shared" si="112"/>
        <v>0.04</v>
      </c>
      <c r="AQ281" s="107">
        <f t="shared" si="112"/>
        <v>0.04</v>
      </c>
      <c r="AR281" s="107">
        <f t="shared" si="112"/>
        <v>0.04</v>
      </c>
      <c r="AS281" s="107">
        <f t="shared" si="112"/>
        <v>0.04</v>
      </c>
      <c r="AT281" s="107">
        <f t="shared" si="112"/>
        <v>0.04</v>
      </c>
      <c r="AU281" s="107">
        <f t="shared" si="112"/>
        <v>0.04</v>
      </c>
      <c r="AV281" s="107">
        <f t="shared" si="112"/>
        <v>0.04</v>
      </c>
      <c r="AW281" s="107">
        <f t="shared" si="112"/>
        <v>0.04</v>
      </c>
      <c r="AX281" s="107">
        <f t="shared" si="112"/>
        <v>0.04</v>
      </c>
      <c r="AY281" s="107">
        <f t="shared" si="112"/>
        <v>0.04</v>
      </c>
      <c r="AZ281" s="107">
        <f t="shared" si="112"/>
        <v>0.04</v>
      </c>
      <c r="BA281" s="107">
        <f t="shared" si="112"/>
        <v>0.04</v>
      </c>
      <c r="BB281" s="107">
        <f t="shared" si="112"/>
        <v>0.04</v>
      </c>
      <c r="BC281" s="107">
        <f t="shared" si="112"/>
        <v>0.04</v>
      </c>
      <c r="BD281" s="107">
        <f t="shared" si="112"/>
        <v>0.04</v>
      </c>
      <c r="BE281" s="107">
        <f t="shared" si="112"/>
        <v>0.04</v>
      </c>
      <c r="BF281" s="107">
        <f t="shared" si="112"/>
        <v>0.04</v>
      </c>
      <c r="BG281" s="107">
        <f t="shared" si="112"/>
        <v>0.04</v>
      </c>
    </row>
    <row r="282" spans="1:59" ht="13.75" customHeight="1">
      <c r="A282" s="171" t="s">
        <v>166</v>
      </c>
      <c r="B282" s="165" t="s">
        <v>384</v>
      </c>
      <c r="C282" s="165"/>
      <c r="D282" s="165" t="s">
        <v>168</v>
      </c>
      <c r="E282" s="167"/>
      <c r="F282" s="168" t="s">
        <v>411</v>
      </c>
      <c r="G282" s="168" t="s">
        <v>3</v>
      </c>
      <c r="H282" s="168"/>
      <c r="I282" s="168" t="s">
        <v>412</v>
      </c>
      <c r="X282" s="107">
        <v>0.16249878597645373</v>
      </c>
      <c r="Y282" s="107">
        <v>-5.862435883193795E-2</v>
      </c>
      <c r="Z282" s="107">
        <v>6.0982983670252455E-3</v>
      </c>
      <c r="AA282" s="107">
        <v>3.3343640736278379E-2</v>
      </c>
      <c r="AB282" s="107">
        <v>1.7842083490067218E-3</v>
      </c>
      <c r="AC282" s="107">
        <v>-2.019905966827118E-2</v>
      </c>
      <c r="AD282" s="107">
        <v>7.1046017107086357E-2</v>
      </c>
      <c r="AE282" s="107">
        <v>0.24399999999999999</v>
      </c>
      <c r="AF282" s="123">
        <v>9.06E-2</v>
      </c>
      <c r="AG282" s="107">
        <v>2.7799999999999998E-2</v>
      </c>
      <c r="AH282" s="107">
        <v>4.0469040537844503E-2</v>
      </c>
      <c r="AI282" s="107">
        <v>4.0397863110355203E-2</v>
      </c>
      <c r="AJ282" s="107">
        <f t="shared" ref="AJ282:BG282" si="113">AJ3</f>
        <v>0.04</v>
      </c>
      <c r="AK282" s="107">
        <f t="shared" si="113"/>
        <v>0.04</v>
      </c>
      <c r="AL282" s="107">
        <f t="shared" si="113"/>
        <v>0.04</v>
      </c>
      <c r="AM282" s="107">
        <f t="shared" si="113"/>
        <v>0.04</v>
      </c>
      <c r="AN282" s="107">
        <f t="shared" si="113"/>
        <v>0.04</v>
      </c>
      <c r="AO282" s="107">
        <f t="shared" si="113"/>
        <v>0.04</v>
      </c>
      <c r="AP282" s="107">
        <f t="shared" si="113"/>
        <v>0.04</v>
      </c>
      <c r="AQ282" s="107">
        <f t="shared" si="113"/>
        <v>0.04</v>
      </c>
      <c r="AR282" s="107">
        <f t="shared" si="113"/>
        <v>0.04</v>
      </c>
      <c r="AS282" s="107">
        <f t="shared" si="113"/>
        <v>0.04</v>
      </c>
      <c r="AT282" s="107">
        <f t="shared" si="113"/>
        <v>0.04</v>
      </c>
      <c r="AU282" s="107">
        <f t="shared" si="113"/>
        <v>0.04</v>
      </c>
      <c r="AV282" s="107">
        <f t="shared" si="113"/>
        <v>0.04</v>
      </c>
      <c r="AW282" s="107">
        <f t="shared" si="113"/>
        <v>0.04</v>
      </c>
      <c r="AX282" s="107">
        <f t="shared" si="113"/>
        <v>0.04</v>
      </c>
      <c r="AY282" s="107">
        <f t="shared" si="113"/>
        <v>0.04</v>
      </c>
      <c r="AZ282" s="107">
        <f t="shared" si="113"/>
        <v>0.04</v>
      </c>
      <c r="BA282" s="107">
        <f t="shared" si="113"/>
        <v>0.04</v>
      </c>
      <c r="BB282" s="107">
        <f t="shared" si="113"/>
        <v>0.04</v>
      </c>
      <c r="BC282" s="107">
        <f t="shared" si="113"/>
        <v>0.04</v>
      </c>
      <c r="BD282" s="107">
        <f t="shared" si="113"/>
        <v>0.04</v>
      </c>
      <c r="BE282" s="107">
        <f t="shared" si="113"/>
        <v>0.04</v>
      </c>
      <c r="BF282" s="107">
        <f t="shared" si="113"/>
        <v>0.04</v>
      </c>
      <c r="BG282" s="107">
        <f t="shared" si="113"/>
        <v>0.04</v>
      </c>
    </row>
    <row r="283" spans="1:59" ht="13.75" customHeight="1" outlineLevel="1">
      <c r="A283" s="171"/>
      <c r="B283" s="165"/>
      <c r="C283" s="165"/>
      <c r="D283" s="165"/>
      <c r="E283" s="167"/>
      <c r="F283" s="168"/>
      <c r="G283" s="168"/>
      <c r="H283" s="168"/>
      <c r="I283" s="168"/>
      <c r="X283" s="109"/>
      <c r="Y283" s="109"/>
      <c r="Z283" s="109"/>
      <c r="AM283" s="119"/>
    </row>
    <row r="284" spans="1:59" ht="13.75" customHeight="1" outlineLevel="1">
      <c r="A284" s="171"/>
      <c r="B284" s="165"/>
      <c r="C284" s="165"/>
      <c r="D284" s="165"/>
      <c r="E284" s="167"/>
      <c r="F284" s="168"/>
      <c r="G284" s="168"/>
      <c r="H284" s="168"/>
      <c r="I284" s="168"/>
      <c r="X284" s="109"/>
      <c r="Y284" s="109"/>
      <c r="Z284" s="109"/>
      <c r="AM284" s="119"/>
    </row>
    <row r="285" spans="1:59" ht="13.75" customHeight="1" outlineLevel="1">
      <c r="A285" s="171"/>
      <c r="B285" s="165"/>
      <c r="C285" s="165"/>
      <c r="D285" s="165"/>
      <c r="E285" s="167"/>
      <c r="F285" s="168"/>
      <c r="G285" s="168"/>
      <c r="H285" s="168"/>
      <c r="I285" s="168"/>
      <c r="X285" s="109"/>
      <c r="Y285" s="109"/>
      <c r="Z285" s="109"/>
      <c r="AM285" s="119"/>
    </row>
    <row r="286" spans="1:59" ht="13.75" customHeight="1" outlineLevel="1">
      <c r="A286" s="171"/>
      <c r="B286" s="165"/>
      <c r="C286" s="165"/>
      <c r="D286" s="165"/>
      <c r="E286" s="167"/>
      <c r="F286" s="168"/>
      <c r="G286" s="168"/>
      <c r="H286" s="168"/>
      <c r="I286" s="168"/>
      <c r="X286" s="109"/>
      <c r="Y286" s="109"/>
      <c r="Z286" s="109"/>
      <c r="AM286" s="119"/>
    </row>
    <row r="287" spans="1:59" ht="13.75" customHeight="1" outlineLevel="1">
      <c r="A287" s="171"/>
      <c r="B287" s="165"/>
      <c r="C287" s="165"/>
      <c r="D287" s="165"/>
      <c r="E287" s="167"/>
      <c r="F287" s="168"/>
      <c r="G287" s="168"/>
      <c r="H287" s="168"/>
      <c r="I287" s="168"/>
      <c r="X287" s="109"/>
      <c r="Y287" s="109"/>
      <c r="Z287" s="109"/>
      <c r="AM287" s="119"/>
    </row>
    <row r="288" spans="1:59" ht="13.75" customHeight="1" outlineLevel="1">
      <c r="A288" s="171"/>
      <c r="B288" s="165"/>
      <c r="C288" s="165"/>
      <c r="D288" s="165"/>
      <c r="E288" s="167"/>
      <c r="F288" s="168"/>
      <c r="G288" s="168"/>
      <c r="H288" s="168"/>
      <c r="I288" s="168"/>
      <c r="X288" s="109"/>
      <c r="Y288" s="109"/>
      <c r="Z288" s="109"/>
      <c r="AM288" s="119"/>
    </row>
    <row r="289" spans="1:59" ht="13.75" customHeight="1" outlineLevel="1">
      <c r="A289" s="171"/>
      <c r="B289" s="165"/>
      <c r="C289" s="165"/>
      <c r="D289" s="165"/>
      <c r="E289" s="167"/>
      <c r="F289" s="168"/>
      <c r="G289" s="168"/>
      <c r="H289" s="168"/>
      <c r="I289" s="168"/>
      <c r="X289" s="109"/>
      <c r="Y289" s="109"/>
      <c r="Z289" s="109"/>
      <c r="AM289" s="119"/>
    </row>
    <row r="290" spans="1:59" ht="13.75" customHeight="1" outlineLevel="1">
      <c r="A290" s="171"/>
      <c r="B290" s="165"/>
      <c r="C290" s="165"/>
      <c r="D290" s="165"/>
      <c r="E290" s="167"/>
      <c r="F290" s="168"/>
      <c r="G290" s="168"/>
      <c r="H290" s="168"/>
      <c r="I290" s="168"/>
      <c r="X290" s="109"/>
      <c r="Y290" s="109"/>
      <c r="Z290" s="109"/>
      <c r="AM290" s="119"/>
    </row>
    <row r="291" spans="1:59" ht="13.75" customHeight="1" outlineLevel="1">
      <c r="A291" s="171"/>
      <c r="B291" s="165"/>
      <c r="C291" s="165"/>
      <c r="D291" s="165"/>
      <c r="E291" s="167"/>
      <c r="F291" s="168"/>
      <c r="G291" s="168"/>
      <c r="H291" s="168"/>
      <c r="I291" s="168"/>
      <c r="X291" s="109"/>
      <c r="Y291" s="109"/>
      <c r="Z291" s="109"/>
      <c r="AM291" s="119"/>
    </row>
    <row r="292" spans="1:59" ht="13.75" customHeight="1" outlineLevel="1">
      <c r="A292" s="171"/>
      <c r="B292" s="165"/>
      <c r="C292" s="165"/>
      <c r="D292" s="165"/>
      <c r="E292" s="167"/>
      <c r="F292" s="168"/>
      <c r="G292" s="168"/>
      <c r="H292" s="168"/>
      <c r="I292" s="168"/>
      <c r="X292" s="109"/>
      <c r="Y292" s="109"/>
      <c r="Z292" s="109"/>
      <c r="AM292" s="119"/>
    </row>
    <row r="293" spans="1:59" ht="13.75" customHeight="1" outlineLevel="1">
      <c r="A293" s="171"/>
      <c r="B293" s="165"/>
      <c r="C293" s="165"/>
      <c r="D293" s="165"/>
      <c r="E293" s="167"/>
      <c r="F293" s="168"/>
      <c r="G293" s="168"/>
      <c r="H293" s="168"/>
      <c r="I293" s="168"/>
      <c r="X293" s="109"/>
      <c r="Y293" s="109"/>
      <c r="Z293" s="109"/>
      <c r="AM293" s="119"/>
    </row>
    <row r="294" spans="1:59" ht="13.75" customHeight="1" outlineLevel="1">
      <c r="A294" s="171"/>
      <c r="B294" s="165"/>
      <c r="C294" s="165"/>
      <c r="D294" s="165"/>
      <c r="E294" s="167"/>
      <c r="F294" s="168"/>
      <c r="G294" s="168"/>
      <c r="H294" s="168"/>
      <c r="I294" s="168"/>
      <c r="X294" s="109"/>
      <c r="Y294" s="109"/>
      <c r="Z294" s="109"/>
      <c r="AM294" s="119"/>
    </row>
    <row r="295" spans="1:59" ht="13.75" customHeight="1" outlineLevel="1">
      <c r="A295" s="171"/>
      <c r="B295" s="165"/>
      <c r="C295" s="165"/>
      <c r="D295" s="165"/>
      <c r="E295" s="167"/>
      <c r="F295" s="168"/>
      <c r="G295" s="168"/>
      <c r="H295" s="168"/>
      <c r="I295" s="168"/>
      <c r="X295" s="109"/>
      <c r="Y295" s="109"/>
      <c r="Z295" s="109"/>
      <c r="AM295" s="119"/>
    </row>
    <row r="296" spans="1:59" ht="13.75" customHeight="1" outlineLevel="1">
      <c r="A296" s="171"/>
      <c r="B296" s="165"/>
      <c r="C296" s="165"/>
      <c r="D296" s="165"/>
      <c r="E296" s="167"/>
      <c r="F296" s="168"/>
      <c r="G296" s="168"/>
      <c r="H296" s="168"/>
      <c r="I296" s="168"/>
      <c r="X296" s="109"/>
      <c r="Y296" s="109"/>
      <c r="Z296" s="109"/>
      <c r="AM296" s="119"/>
    </row>
    <row r="297" spans="1:59" ht="13.75" customHeight="1" outlineLevel="1">
      <c r="A297" s="171"/>
      <c r="B297" s="165"/>
      <c r="C297" s="165"/>
      <c r="D297" s="165"/>
      <c r="E297" s="167"/>
      <c r="F297" s="168"/>
      <c r="G297" s="168"/>
      <c r="H297" s="168"/>
      <c r="I297" s="168"/>
      <c r="X297" s="109"/>
      <c r="Z297" s="109"/>
      <c r="AM297" s="119"/>
    </row>
    <row r="298" spans="1:59" ht="13.75" customHeight="1" outlineLevel="1">
      <c r="A298" s="171"/>
      <c r="B298" s="165"/>
      <c r="C298" s="165"/>
      <c r="D298" s="165"/>
      <c r="E298" s="167"/>
      <c r="F298" s="168"/>
      <c r="G298" s="168"/>
      <c r="H298" s="168"/>
      <c r="I298" s="168"/>
      <c r="X298" s="109"/>
      <c r="Y298" s="109"/>
      <c r="Z298" s="109"/>
      <c r="AM298" s="119"/>
    </row>
    <row r="299" spans="1:59" ht="13.75" customHeight="1" outlineLevel="1">
      <c r="A299" s="171"/>
      <c r="B299" s="165"/>
      <c r="C299" s="165"/>
      <c r="D299" s="165"/>
      <c r="E299" s="167"/>
      <c r="F299" s="168"/>
      <c r="G299" s="168"/>
      <c r="H299" s="168"/>
      <c r="I299" s="168"/>
      <c r="X299" s="109"/>
      <c r="Y299" s="109"/>
      <c r="Z299" s="109"/>
      <c r="AM299" s="119"/>
    </row>
    <row r="300" spans="1:59" ht="13.75" customHeight="1" outlineLevel="1">
      <c r="A300" s="171"/>
      <c r="B300" s="165"/>
      <c r="C300" s="165"/>
      <c r="D300" s="165"/>
      <c r="E300" s="167"/>
      <c r="F300" s="168"/>
      <c r="G300" s="168"/>
      <c r="H300" s="168"/>
      <c r="I300" s="168"/>
      <c r="X300" s="109"/>
      <c r="Y300" s="109"/>
      <c r="Z300" s="109"/>
      <c r="AM300" s="119"/>
    </row>
    <row r="301" spans="1:59" ht="13.75" customHeight="1" outlineLevel="1">
      <c r="A301" s="171"/>
      <c r="B301" s="165"/>
      <c r="C301" s="165"/>
      <c r="D301" s="165"/>
      <c r="E301" s="167"/>
      <c r="F301" s="168"/>
      <c r="G301" s="168"/>
      <c r="H301" s="168"/>
      <c r="I301" s="168"/>
      <c r="X301" s="109"/>
      <c r="Y301" s="109"/>
      <c r="Z301" s="109"/>
      <c r="AM301" s="119"/>
    </row>
    <row r="302" spans="1:59" ht="13.75" customHeight="1" outlineLevel="1">
      <c r="A302" s="171"/>
      <c r="B302" s="165"/>
      <c r="C302" s="165"/>
      <c r="D302" s="165"/>
      <c r="E302" s="167"/>
      <c r="F302" s="168"/>
      <c r="G302" s="168"/>
      <c r="H302" s="168"/>
      <c r="I302" s="168"/>
      <c r="X302" s="109"/>
      <c r="Y302" s="109"/>
      <c r="Z302" s="109"/>
      <c r="AM302" s="119"/>
    </row>
    <row r="303" spans="1:59" ht="13.75" customHeight="1">
      <c r="A303" s="171" t="s">
        <v>166</v>
      </c>
      <c r="B303" s="165" t="s">
        <v>413</v>
      </c>
      <c r="C303" s="165" t="s">
        <v>414</v>
      </c>
      <c r="D303" s="165" t="s">
        <v>168</v>
      </c>
      <c r="E303" s="167"/>
      <c r="F303" s="168" t="s">
        <v>415</v>
      </c>
      <c r="G303" s="168" t="s">
        <v>3</v>
      </c>
      <c r="H303" s="168"/>
      <c r="I303" s="168" t="s">
        <v>416</v>
      </c>
      <c r="X303" s="107">
        <v>3.3747481507627963E-2</v>
      </c>
      <c r="Y303" s="107">
        <v>-6.367098137471483E-2</v>
      </c>
      <c r="Z303" s="107">
        <v>0.20417103016517757</v>
      </c>
      <c r="AA303" s="107">
        <v>0.31192947621629585</v>
      </c>
      <c r="AB303" s="107">
        <v>7.073236948519801E-3</v>
      </c>
      <c r="AC303" s="107">
        <v>-0.24210144151463664</v>
      </c>
      <c r="AD303" s="107">
        <v>0.36774758093487891</v>
      </c>
      <c r="AE303" s="107">
        <v>0.42998681998709798</v>
      </c>
      <c r="AF303" s="107">
        <f>( (AF221*AF14)/(AE221*AE14) - 1 )*0.6145078+0.0279878</f>
        <v>3.2390024413411142E-2</v>
      </c>
      <c r="AG303" s="107">
        <f t="shared" ref="AG303:AY303" si="114">( (AG221*AG14)/(AF221*AF14) - 1 )*0.6145078+0.0279878</f>
        <v>4.9570081272279624E-2</v>
      </c>
      <c r="AH303" s="107">
        <f t="shared" si="114"/>
        <v>-9.9871215693178791E-3</v>
      </c>
      <c r="AI303" s="107">
        <f t="shared" si="114"/>
        <v>1.5213559566146629E-2</v>
      </c>
      <c r="AJ303" s="107">
        <f t="shared" si="114"/>
        <v>2.8747338157474156E-2</v>
      </c>
      <c r="AK303" s="107">
        <f t="shared" si="114"/>
        <v>4.0818448326599185E-2</v>
      </c>
      <c r="AL303" s="107">
        <f t="shared" si="114"/>
        <v>4.3207612773521156E-2</v>
      </c>
      <c r="AM303" s="107">
        <f t="shared" si="114"/>
        <v>4.3868604634502088E-2</v>
      </c>
      <c r="AN303" s="107">
        <f t="shared" si="114"/>
        <v>4.204145251574349E-2</v>
      </c>
      <c r="AO303" s="107">
        <f t="shared" si="114"/>
        <v>4.2112757079205906E-2</v>
      </c>
      <c r="AP303" s="107">
        <f t="shared" si="114"/>
        <v>4.2677513630765142E-2</v>
      </c>
      <c r="AQ303" s="107">
        <f t="shared" si="114"/>
        <v>4.2894260709018882E-2</v>
      </c>
      <c r="AR303" s="107">
        <f t="shared" si="114"/>
        <v>4.3305991977728067E-2</v>
      </c>
      <c r="AS303" s="107">
        <f t="shared" si="114"/>
        <v>4.2749904239737915E-2</v>
      </c>
      <c r="AT303" s="107">
        <f t="shared" si="114"/>
        <v>4.3123317595620742E-2</v>
      </c>
      <c r="AU303" s="107">
        <f t="shared" si="114"/>
        <v>4.3899113503198244E-2</v>
      </c>
      <c r="AV303" s="107">
        <f t="shared" si="114"/>
        <v>4.3928768411887156E-2</v>
      </c>
      <c r="AW303" s="107">
        <f t="shared" si="114"/>
        <v>4.4171939691422094E-2</v>
      </c>
      <c r="AX303" s="107">
        <f t="shared" si="114"/>
        <v>4.4680174066606626E-2</v>
      </c>
      <c r="AY303" s="107">
        <f t="shared" si="114"/>
        <v>4.4187894748783173E-2</v>
      </c>
      <c r="AZ303" s="107">
        <f>AY303</f>
        <v>4.4187894748783173E-2</v>
      </c>
      <c r="BA303" s="107">
        <f>AZ303</f>
        <v>4.4187894748783173E-2</v>
      </c>
      <c r="BB303" s="107">
        <f>BA303</f>
        <v>4.4187894748783173E-2</v>
      </c>
      <c r="BC303" s="107">
        <f t="shared" ref="BC303:BG303" si="115">BB303</f>
        <v>4.4187894748783173E-2</v>
      </c>
      <c r="BD303" s="107">
        <f t="shared" si="115"/>
        <v>4.4187894748783173E-2</v>
      </c>
      <c r="BE303" s="107">
        <f t="shared" si="115"/>
        <v>4.4187894748783173E-2</v>
      </c>
      <c r="BF303" s="107">
        <f t="shared" si="115"/>
        <v>4.4187894748783173E-2</v>
      </c>
      <c r="BG303" s="107">
        <f t="shared" si="115"/>
        <v>4.4187894748783173E-2</v>
      </c>
    </row>
    <row r="304" spans="1:59" ht="13.75" customHeight="1">
      <c r="A304" s="171" t="s">
        <v>166</v>
      </c>
      <c r="B304" s="165" t="s">
        <v>413</v>
      </c>
      <c r="C304" s="165" t="s">
        <v>417</v>
      </c>
      <c r="D304" s="165" t="s">
        <v>370</v>
      </c>
      <c r="E304" s="167"/>
      <c r="F304" s="168" t="s">
        <v>418</v>
      </c>
      <c r="G304" s="168" t="s">
        <v>3</v>
      </c>
      <c r="H304" s="168"/>
      <c r="I304" s="168" t="s">
        <v>419</v>
      </c>
      <c r="X304" s="107">
        <v>0.1</v>
      </c>
      <c r="Y304" s="107">
        <v>0.09</v>
      </c>
      <c r="Z304" s="107">
        <v>0.06</v>
      </c>
      <c r="AA304" s="107">
        <v>5.3999999999999999E-2</v>
      </c>
      <c r="AB304" s="107">
        <v>3.5000000000000003E-2</v>
      </c>
      <c r="AC304" s="107">
        <v>3.5000000000000003E-2</v>
      </c>
      <c r="AD304" s="107">
        <v>3.6999999999999998E-2</v>
      </c>
      <c r="AE304" s="107">
        <f>(1+5.8%)*5/12+(1+5.8%)*(1+11%)*7/12-1</f>
        <v>0.1258883333333336</v>
      </c>
      <c r="AF304" s="107">
        <v>0.13364986687548908</v>
      </c>
      <c r="AG304" s="107">
        <v>6.9228221265320133E-2</v>
      </c>
      <c r="AH304" s="107">
        <v>5.1999999999999824E-2</v>
      </c>
      <c r="AI304" s="107">
        <v>4.8000000000000265E-2</v>
      </c>
      <c r="AJ304" s="107">
        <f t="shared" ref="AJ304:BG304" si="116">AVERAGE(AI3:AL3)-0.1%</f>
        <v>3.8916411020415077E-2</v>
      </c>
      <c r="AK304" s="107">
        <f t="shared" si="116"/>
        <v>3.9E-2</v>
      </c>
      <c r="AL304" s="107">
        <f t="shared" si="116"/>
        <v>3.9E-2</v>
      </c>
      <c r="AM304" s="107">
        <f t="shared" si="116"/>
        <v>3.9E-2</v>
      </c>
      <c r="AN304" s="107">
        <f t="shared" si="116"/>
        <v>3.9E-2</v>
      </c>
      <c r="AO304" s="107">
        <f t="shared" si="116"/>
        <v>3.9E-2</v>
      </c>
      <c r="AP304" s="107">
        <f t="shared" si="116"/>
        <v>3.9E-2</v>
      </c>
      <c r="AQ304" s="107">
        <f t="shared" si="116"/>
        <v>3.9E-2</v>
      </c>
      <c r="AR304" s="107">
        <f t="shared" si="116"/>
        <v>3.9E-2</v>
      </c>
      <c r="AS304" s="107">
        <f t="shared" si="116"/>
        <v>3.9E-2</v>
      </c>
      <c r="AT304" s="107">
        <f t="shared" si="116"/>
        <v>3.9E-2</v>
      </c>
      <c r="AU304" s="107">
        <f t="shared" si="116"/>
        <v>3.9E-2</v>
      </c>
      <c r="AV304" s="107">
        <f t="shared" si="116"/>
        <v>3.9E-2</v>
      </c>
      <c r="AW304" s="107">
        <f t="shared" si="116"/>
        <v>3.9E-2</v>
      </c>
      <c r="AX304" s="107">
        <f t="shared" si="116"/>
        <v>3.9E-2</v>
      </c>
      <c r="AY304" s="107">
        <f t="shared" si="116"/>
        <v>3.9E-2</v>
      </c>
      <c r="AZ304" s="107">
        <f t="shared" si="116"/>
        <v>3.9E-2</v>
      </c>
      <c r="BA304" s="107">
        <f t="shared" si="116"/>
        <v>3.9E-2</v>
      </c>
      <c r="BB304" s="107">
        <f t="shared" si="116"/>
        <v>3.9E-2</v>
      </c>
      <c r="BC304" s="107">
        <f t="shared" si="116"/>
        <v>3.9E-2</v>
      </c>
      <c r="BD304" s="107">
        <f t="shared" si="116"/>
        <v>3.9E-2</v>
      </c>
      <c r="BE304" s="107">
        <f t="shared" si="116"/>
        <v>3.9E-2</v>
      </c>
      <c r="BF304" s="107">
        <f t="shared" si="116"/>
        <v>3.9E-2</v>
      </c>
      <c r="BG304" s="107">
        <f t="shared" si="116"/>
        <v>3.9E-2</v>
      </c>
    </row>
    <row r="305" spans="1:59" ht="12.75" customHeight="1">
      <c r="A305" s="171" t="s">
        <v>166</v>
      </c>
      <c r="B305" s="165" t="s">
        <v>413</v>
      </c>
      <c r="C305" s="165" t="s">
        <v>414</v>
      </c>
      <c r="D305" s="165" t="s">
        <v>377</v>
      </c>
      <c r="E305" s="167"/>
      <c r="F305" s="168" t="s">
        <v>420</v>
      </c>
      <c r="G305" s="168" t="s">
        <v>3</v>
      </c>
      <c r="H305" s="168"/>
      <c r="I305" s="168"/>
      <c r="X305" s="107">
        <v>0.18641641353332994</v>
      </c>
      <c r="Y305" s="107">
        <v>4.6254984157586332E-2</v>
      </c>
      <c r="Z305" s="107">
        <v>-4.3319361742664042E-2</v>
      </c>
      <c r="AA305" s="107">
        <v>0.22210136598235053</v>
      </c>
      <c r="AB305" s="107">
        <v>-2.6833832095734866E-2</v>
      </c>
      <c r="AC305" s="107">
        <v>1.9203122093317537E-2</v>
      </c>
      <c r="AD305" s="107">
        <v>0.28121996294532159</v>
      </c>
      <c r="AE305" s="107">
        <v>0.12</v>
      </c>
      <c r="AF305" s="107">
        <v>0.25</v>
      </c>
      <c r="AG305" s="107">
        <f>+AG3+3%</f>
        <v>9.3441420107429368E-2</v>
      </c>
      <c r="AH305" s="107">
        <f>+AH3+2%</f>
        <v>5.1589623425011263E-2</v>
      </c>
      <c r="AI305" s="107">
        <f>+AI3+1%</f>
        <v>4.9665644081660291E-2</v>
      </c>
      <c r="AJ305" s="107">
        <f t="shared" ref="AJ305:AM305" si="117">(1+( 30%* (1+(  (AJ194/AJ35) / (AI194/AI35) -1) ) +70% * (1+AJ29)-1 ) ) * (AJ15/AI15) -1</f>
        <v>3.550399999999998E-2</v>
      </c>
      <c r="AK305" s="107">
        <f t="shared" si="117"/>
        <v>3.5504000000000202E-2</v>
      </c>
      <c r="AL305" s="107">
        <f t="shared" si="117"/>
        <v>3.550399999999998E-2</v>
      </c>
      <c r="AM305" s="107">
        <f t="shared" si="117"/>
        <v>3.550399999999998E-2</v>
      </c>
      <c r="AN305" s="107">
        <f t="shared" ref="AN305:BG305" si="118">AM305</f>
        <v>3.550399999999998E-2</v>
      </c>
      <c r="AO305" s="107">
        <f t="shared" si="118"/>
        <v>3.550399999999998E-2</v>
      </c>
      <c r="AP305" s="107">
        <f t="shared" si="118"/>
        <v>3.550399999999998E-2</v>
      </c>
      <c r="AQ305" s="107">
        <f t="shared" si="118"/>
        <v>3.550399999999998E-2</v>
      </c>
      <c r="AR305" s="107">
        <f t="shared" si="118"/>
        <v>3.550399999999998E-2</v>
      </c>
      <c r="AS305" s="107">
        <f t="shared" si="118"/>
        <v>3.550399999999998E-2</v>
      </c>
      <c r="AT305" s="107">
        <f t="shared" si="118"/>
        <v>3.550399999999998E-2</v>
      </c>
      <c r="AU305" s="107">
        <f t="shared" si="118"/>
        <v>3.550399999999998E-2</v>
      </c>
      <c r="AV305" s="107">
        <f t="shared" si="118"/>
        <v>3.550399999999998E-2</v>
      </c>
      <c r="AW305" s="107">
        <f t="shared" si="118"/>
        <v>3.550399999999998E-2</v>
      </c>
      <c r="AX305" s="107">
        <f t="shared" si="118"/>
        <v>3.550399999999998E-2</v>
      </c>
      <c r="AY305" s="107">
        <f t="shared" si="118"/>
        <v>3.550399999999998E-2</v>
      </c>
      <c r="AZ305" s="107">
        <f t="shared" si="118"/>
        <v>3.550399999999998E-2</v>
      </c>
      <c r="BA305" s="107">
        <f t="shared" si="118"/>
        <v>3.550399999999998E-2</v>
      </c>
      <c r="BB305" s="107">
        <f t="shared" si="118"/>
        <v>3.550399999999998E-2</v>
      </c>
      <c r="BC305" s="107">
        <f t="shared" si="118"/>
        <v>3.550399999999998E-2</v>
      </c>
      <c r="BD305" s="107">
        <f t="shared" si="118"/>
        <v>3.550399999999998E-2</v>
      </c>
      <c r="BE305" s="107">
        <f t="shared" si="118"/>
        <v>3.550399999999998E-2</v>
      </c>
      <c r="BF305" s="107">
        <f t="shared" si="118"/>
        <v>3.550399999999998E-2</v>
      </c>
      <c r="BG305" s="107">
        <f t="shared" si="118"/>
        <v>3.550399999999998E-2</v>
      </c>
    </row>
    <row r="306" spans="1:59" ht="13.75" customHeight="1">
      <c r="A306" s="171" t="s">
        <v>166</v>
      </c>
      <c r="B306" s="165" t="s">
        <v>413</v>
      </c>
      <c r="C306" s="165" t="s">
        <v>414</v>
      </c>
      <c r="D306" s="165" t="s">
        <v>377</v>
      </c>
      <c r="E306" s="167"/>
      <c r="F306" s="168" t="s">
        <v>421</v>
      </c>
      <c r="G306" s="168" t="s">
        <v>3</v>
      </c>
      <c r="H306" s="168"/>
      <c r="I306" s="168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M306" s="107"/>
    </row>
    <row r="307" spans="1:59" ht="13.75" customHeight="1">
      <c r="A307" s="171" t="s">
        <v>166</v>
      </c>
      <c r="B307" s="165" t="s">
        <v>413</v>
      </c>
      <c r="C307" s="165" t="s">
        <v>414</v>
      </c>
      <c r="D307" s="165" t="s">
        <v>377</v>
      </c>
      <c r="E307" s="167"/>
      <c r="F307" s="168" t="s">
        <v>422</v>
      </c>
      <c r="G307" s="168" t="s">
        <v>3</v>
      </c>
      <c r="H307" s="168"/>
      <c r="I307" s="168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  <c r="AM307" s="107"/>
    </row>
    <row r="308" spans="1:59" ht="13.75" customHeight="1">
      <c r="A308" s="171" t="s">
        <v>166</v>
      </c>
      <c r="B308" s="165" t="s">
        <v>413</v>
      </c>
      <c r="C308" s="165" t="s">
        <v>414</v>
      </c>
      <c r="D308" s="165" t="s">
        <v>377</v>
      </c>
      <c r="E308" s="167"/>
      <c r="F308" s="168" t="s">
        <v>423</v>
      </c>
      <c r="G308" s="168" t="s">
        <v>3</v>
      </c>
      <c r="H308" s="168"/>
      <c r="I308" s="168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  <c r="AM308" s="107"/>
    </row>
    <row r="309" spans="1:59" ht="13.75" customHeight="1">
      <c r="A309" s="171" t="s">
        <v>166</v>
      </c>
      <c r="B309" s="165" t="s">
        <v>413</v>
      </c>
      <c r="C309" s="165" t="s">
        <v>414</v>
      </c>
      <c r="D309" s="165" t="s">
        <v>377</v>
      </c>
      <c r="E309" s="167"/>
      <c r="F309" s="168" t="s">
        <v>424</v>
      </c>
      <c r="G309" s="168" t="s">
        <v>3</v>
      </c>
      <c r="H309" s="168"/>
      <c r="I309" s="168"/>
      <c r="X309" s="107">
        <v>0.2075009965900525</v>
      </c>
      <c r="Y309" s="107">
        <v>3.2790867282390446E-2</v>
      </c>
      <c r="Z309" s="107">
        <v>-1.7093962834656695E-2</v>
      </c>
      <c r="AA309" s="107">
        <v>0.16711057079615532</v>
      </c>
      <c r="AB309" s="107">
        <v>-2.1613365283477126E-3</v>
      </c>
      <c r="AC309" s="107">
        <v>-1.9033351429433409E-2</v>
      </c>
      <c r="AD309" s="107">
        <v>0.24615027126061184</v>
      </c>
      <c r="AE309" s="107">
        <v>0.04</v>
      </c>
      <c r="AF309" s="107">
        <v>0.13</v>
      </c>
      <c r="AG309" s="107">
        <f>+AG3</f>
        <v>6.3441420107429369E-2</v>
      </c>
      <c r="AH309" s="107">
        <f>+AH3</f>
        <v>3.158962342501126E-2</v>
      </c>
      <c r="AI309" s="107">
        <f>+AI3</f>
        <v>3.966564408166029E-2</v>
      </c>
      <c r="AJ309" s="107">
        <f t="shared" ref="AJ309:AM309" si="119">30%* (1+( (AJ194*AJ14) / (AI194*AI14) - 1 ) ) + 36%*(AJ14/AI14) + 34%*(1+AJ3)-1</f>
        <v>2.8023999999999827E-2</v>
      </c>
      <c r="AK309" s="107">
        <f t="shared" si="119"/>
        <v>2.8023999999999827E-2</v>
      </c>
      <c r="AL309" s="107">
        <f t="shared" si="119"/>
        <v>2.8023999999999827E-2</v>
      </c>
      <c r="AM309" s="107">
        <f t="shared" si="119"/>
        <v>2.8023999999999827E-2</v>
      </c>
      <c r="AN309" s="107">
        <f t="shared" ref="AN309:BG309" si="120">AM309</f>
        <v>2.8023999999999827E-2</v>
      </c>
      <c r="AO309" s="107">
        <f t="shared" si="120"/>
        <v>2.8023999999999827E-2</v>
      </c>
      <c r="AP309" s="107">
        <f t="shared" si="120"/>
        <v>2.8023999999999827E-2</v>
      </c>
      <c r="AQ309" s="107">
        <f t="shared" si="120"/>
        <v>2.8023999999999827E-2</v>
      </c>
      <c r="AR309" s="107">
        <f t="shared" si="120"/>
        <v>2.8023999999999827E-2</v>
      </c>
      <c r="AS309" s="107">
        <f t="shared" si="120"/>
        <v>2.8023999999999827E-2</v>
      </c>
      <c r="AT309" s="107">
        <f t="shared" si="120"/>
        <v>2.8023999999999827E-2</v>
      </c>
      <c r="AU309" s="107">
        <f t="shared" si="120"/>
        <v>2.8023999999999827E-2</v>
      </c>
      <c r="AV309" s="107">
        <f t="shared" si="120"/>
        <v>2.8023999999999827E-2</v>
      </c>
      <c r="AW309" s="107">
        <f t="shared" si="120"/>
        <v>2.8023999999999827E-2</v>
      </c>
      <c r="AX309" s="107">
        <f t="shared" si="120"/>
        <v>2.8023999999999827E-2</v>
      </c>
      <c r="AY309" s="107">
        <f t="shared" si="120"/>
        <v>2.8023999999999827E-2</v>
      </c>
      <c r="AZ309" s="107">
        <f t="shared" si="120"/>
        <v>2.8023999999999827E-2</v>
      </c>
      <c r="BA309" s="107">
        <f t="shared" si="120"/>
        <v>2.8023999999999827E-2</v>
      </c>
      <c r="BB309" s="107">
        <f t="shared" si="120"/>
        <v>2.8023999999999827E-2</v>
      </c>
      <c r="BC309" s="107">
        <f t="shared" si="120"/>
        <v>2.8023999999999827E-2</v>
      </c>
      <c r="BD309" s="107">
        <f t="shared" si="120"/>
        <v>2.8023999999999827E-2</v>
      </c>
      <c r="BE309" s="107">
        <f t="shared" si="120"/>
        <v>2.8023999999999827E-2</v>
      </c>
      <c r="BF309" s="107">
        <f t="shared" si="120"/>
        <v>2.8023999999999827E-2</v>
      </c>
      <c r="BG309" s="107">
        <f t="shared" si="120"/>
        <v>2.8023999999999827E-2</v>
      </c>
    </row>
    <row r="310" spans="1:59" ht="13.75" customHeight="1">
      <c r="A310" s="171" t="s">
        <v>166</v>
      </c>
      <c r="B310" s="165" t="s">
        <v>413</v>
      </c>
      <c r="C310" s="165" t="s">
        <v>414</v>
      </c>
      <c r="D310" s="165" t="s">
        <v>377</v>
      </c>
      <c r="E310" s="167"/>
      <c r="F310" s="168" t="s">
        <v>425</v>
      </c>
      <c r="G310" s="168" t="s">
        <v>3</v>
      </c>
      <c r="H310" s="168"/>
      <c r="I310" s="168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  <c r="AM310" s="107"/>
    </row>
    <row r="311" spans="1:59" ht="13.75" customHeight="1">
      <c r="A311" s="171" t="s">
        <v>166</v>
      </c>
      <c r="B311" s="165" t="s">
        <v>413</v>
      </c>
      <c r="C311" s="165" t="s">
        <v>414</v>
      </c>
      <c r="D311" s="165" t="s">
        <v>377</v>
      </c>
      <c r="E311" s="167"/>
      <c r="F311" s="168" t="s">
        <v>426</v>
      </c>
      <c r="G311" s="168" t="s">
        <v>3</v>
      </c>
      <c r="H311" s="168"/>
      <c r="I311" s="168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M311" s="107"/>
    </row>
    <row r="312" spans="1:59" ht="13.75" customHeight="1">
      <c r="A312" s="171" t="s">
        <v>166</v>
      </c>
      <c r="B312" s="165" t="s">
        <v>413</v>
      </c>
      <c r="C312" s="165" t="s">
        <v>414</v>
      </c>
      <c r="D312" s="165" t="s">
        <v>377</v>
      </c>
      <c r="E312" s="167"/>
      <c r="F312" s="168" t="s">
        <v>427</v>
      </c>
      <c r="G312" s="168" t="s">
        <v>3</v>
      </c>
      <c r="H312" s="168"/>
      <c r="I312" s="168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  <c r="AM312" s="107"/>
    </row>
    <row r="313" spans="1:59" ht="13.75" customHeight="1">
      <c r="A313" s="171" t="s">
        <v>166</v>
      </c>
      <c r="B313" s="165" t="s">
        <v>413</v>
      </c>
      <c r="C313" s="165" t="s">
        <v>417</v>
      </c>
      <c r="D313" s="165" t="s">
        <v>168</v>
      </c>
      <c r="E313" s="167"/>
      <c r="F313" s="168" t="s">
        <v>428</v>
      </c>
      <c r="G313" s="168" t="s">
        <v>3</v>
      </c>
      <c r="H313" s="168"/>
      <c r="I313" s="168" t="s">
        <v>429</v>
      </c>
      <c r="X313" s="107">
        <v>2E-3</v>
      </c>
      <c r="Y313" s="107">
        <v>1.6E-2</v>
      </c>
      <c r="Z313" s="107">
        <v>6.3600000000000004E-2</v>
      </c>
      <c r="AA313" s="107">
        <v>4.4999999999999998E-2</v>
      </c>
      <c r="AB313" s="107">
        <v>1.5635285232225016E-3</v>
      </c>
      <c r="AC313" s="107">
        <v>-2.1681466958828333E-2</v>
      </c>
      <c r="AD313" s="107">
        <v>3.6999999999999998E-2</v>
      </c>
      <c r="AE313" s="107">
        <v>-9.4718496628043436E-4</v>
      </c>
      <c r="AF313" s="107">
        <f>AF547/6</f>
        <v>5.8345665123014784E-3</v>
      </c>
      <c r="AG313" s="107">
        <f>AG547/2</f>
        <v>1.2182631444200334E-2</v>
      </c>
      <c r="AH313" s="107">
        <f>AH547/1.5</f>
        <v>1.3211735727087634E-2</v>
      </c>
      <c r="AI313" s="107">
        <f t="shared" ref="AI313:BG313" si="121">AI547</f>
        <v>1.606032768761867E-2</v>
      </c>
      <c r="AJ313" s="107">
        <f t="shared" si="121"/>
        <v>1.4999999999999999E-2</v>
      </c>
      <c r="AK313" s="107">
        <f t="shared" si="121"/>
        <v>1.4999999999999999E-2</v>
      </c>
      <c r="AL313" s="107">
        <f t="shared" si="121"/>
        <v>1.4999999999999999E-2</v>
      </c>
      <c r="AM313" s="107">
        <f t="shared" si="121"/>
        <v>1.4999999999999999E-2</v>
      </c>
      <c r="AN313" s="107">
        <f t="shared" si="121"/>
        <v>1.4999999999999999E-2</v>
      </c>
      <c r="AO313" s="107">
        <f t="shared" si="121"/>
        <v>1.4999999999999999E-2</v>
      </c>
      <c r="AP313" s="107">
        <f t="shared" si="121"/>
        <v>1.4999999999999999E-2</v>
      </c>
      <c r="AQ313" s="107">
        <f t="shared" si="121"/>
        <v>1.4999999999999999E-2</v>
      </c>
      <c r="AR313" s="107">
        <f t="shared" si="121"/>
        <v>1.4999999999999999E-2</v>
      </c>
      <c r="AS313" s="107">
        <f t="shared" si="121"/>
        <v>1.4999999999999999E-2</v>
      </c>
      <c r="AT313" s="107">
        <f t="shared" si="121"/>
        <v>1.4999999999999999E-2</v>
      </c>
      <c r="AU313" s="107">
        <f t="shared" si="121"/>
        <v>1.4999999999999999E-2</v>
      </c>
      <c r="AV313" s="107">
        <f t="shared" si="121"/>
        <v>1.4999999999999999E-2</v>
      </c>
      <c r="AW313" s="107">
        <f t="shared" si="121"/>
        <v>1.4999999999999999E-2</v>
      </c>
      <c r="AX313" s="107">
        <f t="shared" si="121"/>
        <v>1.4999999999999999E-2</v>
      </c>
      <c r="AY313" s="107">
        <f t="shared" si="121"/>
        <v>1.4999999999999999E-2</v>
      </c>
      <c r="AZ313" s="107">
        <f t="shared" si="121"/>
        <v>1.4999999999999999E-2</v>
      </c>
      <c r="BA313" s="107">
        <f t="shared" si="121"/>
        <v>1.4999999999999999E-2</v>
      </c>
      <c r="BB313" s="107">
        <f t="shared" si="121"/>
        <v>1.4999999999999999E-2</v>
      </c>
      <c r="BC313" s="107">
        <f t="shared" si="121"/>
        <v>1.4999999999999999E-2</v>
      </c>
      <c r="BD313" s="107">
        <f t="shared" si="121"/>
        <v>1.4999999999999999E-2</v>
      </c>
      <c r="BE313" s="107">
        <f t="shared" si="121"/>
        <v>1.4999999999999999E-2</v>
      </c>
      <c r="BF313" s="107">
        <f t="shared" si="121"/>
        <v>1.4999999999999999E-2</v>
      </c>
      <c r="BG313" s="107">
        <f t="shared" si="121"/>
        <v>1.4999999999999999E-2</v>
      </c>
    </row>
    <row r="314" spans="1:59" ht="13.75" customHeight="1">
      <c r="A314" s="171" t="s">
        <v>166</v>
      </c>
      <c r="B314" s="165" t="s">
        <v>413</v>
      </c>
      <c r="C314" s="165" t="s">
        <v>430</v>
      </c>
      <c r="D314" s="165" t="s">
        <v>168</v>
      </c>
      <c r="E314" s="167"/>
      <c r="F314" s="168" t="s">
        <v>431</v>
      </c>
      <c r="G314" s="168" t="s">
        <v>432</v>
      </c>
      <c r="H314" s="168"/>
      <c r="I314" s="168"/>
      <c r="X314" s="133">
        <v>202.1</v>
      </c>
      <c r="Y314" s="133">
        <v>228</v>
      </c>
      <c r="Z314" s="133">
        <v>253.2</v>
      </c>
      <c r="AA314" s="133">
        <v>255.4</v>
      </c>
      <c r="AB314" s="133">
        <v>276.10000000000002</v>
      </c>
      <c r="AC314" s="133">
        <v>235.1</v>
      </c>
      <c r="AD314" s="133">
        <v>238.1</v>
      </c>
      <c r="AE314" s="133">
        <v>256.01420000000002</v>
      </c>
      <c r="AF314" s="133">
        <v>277.64873941763108</v>
      </c>
      <c r="AG314" s="133">
        <v>297.64786995569699</v>
      </c>
      <c r="AH314" s="133">
        <v>307.73155812406765</v>
      </c>
      <c r="AI314" s="133">
        <v>306.89622758572006</v>
      </c>
      <c r="AJ314" s="133">
        <v>302.69923952580768</v>
      </c>
      <c r="AK314" s="133">
        <v>298.54075725411138</v>
      </c>
      <c r="AL314" s="133">
        <v>294.41994999443739</v>
      </c>
      <c r="AM314" s="133">
        <v>290.33597149493681</v>
      </c>
      <c r="AN314" s="133">
        <v>286.11992224922693</v>
      </c>
      <c r="AO314" s="133">
        <v>281.93252657819295</v>
      </c>
      <c r="AP314" s="133">
        <v>277.77241127327329</v>
      </c>
      <c r="AQ314" s="133">
        <v>273.63813816430627</v>
      </c>
      <c r="AR314" s="133">
        <v>269.52819713255934</v>
      </c>
      <c r="AS314" s="133">
        <v>265.44099828128077</v>
      </c>
      <c r="AT314" s="133">
        <v>261.37486314178545</v>
      </c>
      <c r="AU314" s="133">
        <v>257.32801477248097</v>
      </c>
      <c r="AV314" s="133">
        <v>253.29856658364807</v>
      </c>
      <c r="AW314" s="133">
        <v>249.28450969130731</v>
      </c>
      <c r="AX314" s="133">
        <v>245.28369856805341</v>
      </c>
      <c r="AY314" s="133">
        <v>241.29383471592232</v>
      </c>
      <c r="AZ314" s="133">
        <v>237.31244803445188</v>
      </c>
      <c r="BA314" s="133">
        <v>233.33687549390021</v>
      </c>
      <c r="BB314" s="133">
        <v>229.36423664630075</v>
      </c>
      <c r="BC314" s="133">
        <v>225.39140541208243</v>
      </c>
      <c r="BD314" s="133">
        <v>221.41497746276355</v>
      </c>
      <c r="BE314" s="133">
        <v>217.43123237478059</v>
      </c>
      <c r="BF314" s="133">
        <v>213.43608954807524</v>
      </c>
      <c r="BG314" s="133">
        <v>209.42505665546466</v>
      </c>
    </row>
    <row r="315" spans="1:59" ht="13.75" customHeight="1">
      <c r="A315" s="171" t="s">
        <v>166</v>
      </c>
      <c r="B315" s="165" t="s">
        <v>413</v>
      </c>
      <c r="C315" s="165" t="s">
        <v>430</v>
      </c>
      <c r="D315" s="165" t="s">
        <v>168</v>
      </c>
      <c r="E315" s="167"/>
      <c r="F315" s="168" t="s">
        <v>433</v>
      </c>
      <c r="G315" s="168" t="s">
        <v>432</v>
      </c>
      <c r="H315" s="168"/>
      <c r="I315" s="168"/>
      <c r="X315" s="133">
        <v>146</v>
      </c>
      <c r="Y315" s="133">
        <v>140.69999999999999</v>
      </c>
      <c r="Z315" s="133">
        <v>141.6</v>
      </c>
      <c r="AA315" s="133">
        <v>145.1</v>
      </c>
      <c r="AB315" s="133">
        <v>149.9</v>
      </c>
      <c r="AC315" s="133">
        <v>142.6</v>
      </c>
      <c r="AD315" s="133">
        <v>146.69999999999999</v>
      </c>
      <c r="AE315" s="133">
        <v>138.6764</v>
      </c>
      <c r="AF315" s="133">
        <v>140.85633712393465</v>
      </c>
      <c r="AG315" s="133">
        <v>130.0885896911702</v>
      </c>
      <c r="AH315" s="133">
        <v>128.3961751280342</v>
      </c>
      <c r="AI315" s="133">
        <v>126.72044307973059</v>
      </c>
      <c r="AJ315" s="133">
        <v>125.60918983941414</v>
      </c>
      <c r="AK315" s="133">
        <v>124.50349286529931</v>
      </c>
      <c r="AL315" s="133">
        <v>123.40332437605505</v>
      </c>
      <c r="AM315" s="133">
        <v>122.308656729257</v>
      </c>
      <c r="AN315" s="133">
        <v>121.21946242069293</v>
      </c>
      <c r="AO315" s="133">
        <v>120.1357140836717</v>
      </c>
      <c r="AP315" s="133">
        <v>119.05738448833554</v>
      </c>
      <c r="AQ315" s="133">
        <v>117.98444654097611</v>
      </c>
      <c r="AR315" s="133">
        <v>116.91687328335345</v>
      </c>
      <c r="AS315" s="133">
        <v>115.8546378920189</v>
      </c>
      <c r="AT315" s="133">
        <v>114.79771367764101</v>
      </c>
      <c r="AU315" s="133">
        <v>113.74607408433502</v>
      </c>
      <c r="AV315" s="133">
        <v>112.69969268899555</v>
      </c>
      <c r="AW315" s="133">
        <v>111.65854320063281</v>
      </c>
      <c r="AX315" s="133">
        <v>110.62259945971186</v>
      </c>
      <c r="AY315" s="133">
        <v>109.59183543749549</v>
      </c>
      <c r="AZ315" s="133">
        <v>108.56622523539025</v>
      </c>
      <c r="BA315" s="133">
        <v>107.54574308429554</v>
      </c>
      <c r="BB315" s="133">
        <v>106.53036334395628</v>
      </c>
      <c r="BC315" s="133">
        <v>105.52006050231873</v>
      </c>
      <c r="BD315" s="133">
        <v>104.51480917488934</v>
      </c>
      <c r="BE315" s="133">
        <v>103.51458410409714</v>
      </c>
      <c r="BF315" s="133">
        <v>102.51936015865886</v>
      </c>
      <c r="BG315" s="133">
        <v>101.52911233294782</v>
      </c>
    </row>
    <row r="316" spans="1:59" ht="13.75" customHeight="1">
      <c r="A316" s="171" t="s">
        <v>166</v>
      </c>
      <c r="B316" s="165" t="s">
        <v>413</v>
      </c>
      <c r="C316" s="165" t="s">
        <v>430</v>
      </c>
      <c r="D316" s="165" t="s">
        <v>168</v>
      </c>
      <c r="E316" s="167"/>
      <c r="F316" s="168" t="s">
        <v>434</v>
      </c>
      <c r="G316" s="168" t="s">
        <v>432</v>
      </c>
      <c r="H316" s="168"/>
      <c r="I316" s="168"/>
      <c r="X316" s="133">
        <v>123.2</v>
      </c>
      <c r="Y316" s="133">
        <v>136.30000000000001</v>
      </c>
      <c r="Z316" s="133">
        <v>154.6</v>
      </c>
      <c r="AA316" s="133">
        <v>161.4</v>
      </c>
      <c r="AB316" s="133">
        <v>176</v>
      </c>
      <c r="AC316" s="133">
        <v>188.6</v>
      </c>
      <c r="AD316" s="133">
        <v>202.7</v>
      </c>
      <c r="AE316" s="133">
        <v>206.51589999999999</v>
      </c>
      <c r="AF316" s="133">
        <v>204.71418046070886</v>
      </c>
      <c r="AG316" s="133">
        <v>203.93192891107645</v>
      </c>
      <c r="AH316" s="133">
        <v>210.70156836380355</v>
      </c>
      <c r="AI316" s="133">
        <v>222.38645706584953</v>
      </c>
      <c r="AJ316" s="133">
        <v>222.14707777047968</v>
      </c>
      <c r="AK316" s="133">
        <v>222.17928353520338</v>
      </c>
      <c r="AL316" s="133">
        <v>221.59295050337366</v>
      </c>
      <c r="AM316" s="133">
        <v>221.61932826451161</v>
      </c>
      <c r="AN316" s="133">
        <v>221.60899063169404</v>
      </c>
      <c r="AO316" s="133">
        <v>221.59875004103927</v>
      </c>
      <c r="AP316" s="133">
        <v>221.58860653156708</v>
      </c>
      <c r="AQ316" s="133">
        <v>221.57856014383106</v>
      </c>
      <c r="AR316" s="133">
        <v>221.56019094653789</v>
      </c>
      <c r="AS316" s="133">
        <v>221.54187685683661</v>
      </c>
      <c r="AT316" s="133">
        <v>221.52361770940442</v>
      </c>
      <c r="AU316" s="133">
        <v>221.50541333941456</v>
      </c>
      <c r="AV316" s="133">
        <v>221.48726358253464</v>
      </c>
      <c r="AW316" s="133">
        <v>221.46916827492535</v>
      </c>
      <c r="AX316" s="133">
        <v>221.45112725323889</v>
      </c>
      <c r="AY316" s="133">
        <v>221.43314035461751</v>
      </c>
      <c r="AZ316" s="133">
        <v>221.41518598001559</v>
      </c>
      <c r="BA316" s="133">
        <v>221.39726407062298</v>
      </c>
      <c r="BB316" s="133">
        <v>221.37937456773594</v>
      </c>
      <c r="BC316" s="133">
        <f t="shared" ref="BC316:BG318" si="122">BB316*(1+((BB316-BA316)/BA316))</f>
        <v>221.36148651036953</v>
      </c>
      <c r="BD316" s="133">
        <f t="shared" si="122"/>
        <v>221.34359989840695</v>
      </c>
      <c r="BE316" s="133">
        <f t="shared" si="122"/>
        <v>221.32571473173141</v>
      </c>
      <c r="BF316" s="133">
        <f t="shared" si="122"/>
        <v>221.30783101022612</v>
      </c>
      <c r="BG316" s="133">
        <f t="shared" si="122"/>
        <v>221.28994873377431</v>
      </c>
    </row>
    <row r="317" spans="1:59" ht="13.75" customHeight="1">
      <c r="A317" s="171" t="s">
        <v>166</v>
      </c>
      <c r="B317" s="165" t="s">
        <v>413</v>
      </c>
      <c r="C317" s="165" t="s">
        <v>430</v>
      </c>
      <c r="D317" s="165" t="s">
        <v>168</v>
      </c>
      <c r="E317" s="167"/>
      <c r="F317" s="168" t="s">
        <v>435</v>
      </c>
      <c r="G317" s="168" t="s">
        <v>432</v>
      </c>
      <c r="H317" s="168"/>
      <c r="I317" s="168"/>
      <c r="X317" s="133">
        <v>26.2</v>
      </c>
      <c r="Y317" s="133">
        <v>28.2</v>
      </c>
      <c r="Z317" s="133">
        <v>28.3</v>
      </c>
      <c r="AA317" s="133">
        <v>30.4</v>
      </c>
      <c r="AB317" s="133">
        <v>26.7</v>
      </c>
      <c r="AC317" s="133">
        <v>26.9</v>
      </c>
      <c r="AD317" s="133">
        <v>29</v>
      </c>
      <c r="AE317" s="133">
        <v>24.466900000000003</v>
      </c>
      <c r="AF317" s="133">
        <v>24.891596713320009</v>
      </c>
      <c r="AG317" s="133">
        <v>25.30305509665801</v>
      </c>
      <c r="AH317" s="133">
        <v>26.05044674955775</v>
      </c>
      <c r="AI317" s="133">
        <v>26.820260152044483</v>
      </c>
      <c r="AJ317" s="133">
        <v>27.72447958732106</v>
      </c>
      <c r="AK317" s="133">
        <v>28.501584254648019</v>
      </c>
      <c r="AL317" s="133">
        <v>28.82648841189302</v>
      </c>
      <c r="AM317" s="133">
        <v>29.11085329601195</v>
      </c>
      <c r="AN317" s="133">
        <v>29.231902201590799</v>
      </c>
      <c r="AO317" s="133">
        <v>29.353556351697542</v>
      </c>
      <c r="AP317" s="133">
        <v>29.475818772554817</v>
      </c>
      <c r="AQ317" s="133">
        <v>29.598692505516379</v>
      </c>
      <c r="AR317" s="133">
        <v>29.598692505516379</v>
      </c>
      <c r="AS317" s="133">
        <v>29.598692505516379</v>
      </c>
      <c r="AT317" s="133">
        <v>29.598692505516379</v>
      </c>
      <c r="AU317" s="133">
        <v>29.598692505516379</v>
      </c>
      <c r="AV317" s="133">
        <v>29.598692505516379</v>
      </c>
      <c r="AW317" s="133">
        <v>29.598692505516379</v>
      </c>
      <c r="AX317" s="133">
        <v>29.598692505516379</v>
      </c>
      <c r="AY317" s="133">
        <v>29.598692505516379</v>
      </c>
      <c r="AZ317" s="133">
        <v>29.598692505516379</v>
      </c>
      <c r="BA317" s="133">
        <v>29.598692505516379</v>
      </c>
      <c r="BB317" s="133">
        <v>29.598692505516379</v>
      </c>
      <c r="BC317" s="133">
        <f t="shared" si="122"/>
        <v>29.598692505516379</v>
      </c>
      <c r="BD317" s="133">
        <f t="shared" si="122"/>
        <v>29.598692505516379</v>
      </c>
      <c r="BE317" s="133">
        <f t="shared" si="122"/>
        <v>29.598692505516379</v>
      </c>
      <c r="BF317" s="133">
        <f t="shared" si="122"/>
        <v>29.598692505516379</v>
      </c>
      <c r="BG317" s="133">
        <f t="shared" si="122"/>
        <v>29.598692505516379</v>
      </c>
    </row>
    <row r="318" spans="1:59" ht="13.75" customHeight="1">
      <c r="A318" s="171" t="s">
        <v>166</v>
      </c>
      <c r="B318" s="165" t="s">
        <v>413</v>
      </c>
      <c r="C318" s="165" t="s">
        <v>430</v>
      </c>
      <c r="D318" s="165" t="s">
        <v>168</v>
      </c>
      <c r="E318" s="167"/>
      <c r="F318" s="168" t="s">
        <v>436</v>
      </c>
      <c r="G318" s="168" t="s">
        <v>437</v>
      </c>
      <c r="H318" s="168"/>
      <c r="I318" s="168"/>
      <c r="W318" s="120">
        <v>5273093</v>
      </c>
      <c r="X318" s="128">
        <v>3942884</v>
      </c>
      <c r="Y318" s="128">
        <v>3989275</v>
      </c>
      <c r="Z318" s="128">
        <v>4615042</v>
      </c>
      <c r="AA318" s="128">
        <v>5080861</v>
      </c>
      <c r="AB318" s="128">
        <v>5314942</v>
      </c>
      <c r="AC318" s="128">
        <v>5304930</v>
      </c>
      <c r="AD318" s="128">
        <v>5631509</v>
      </c>
      <c r="AE318" s="128">
        <v>4314289</v>
      </c>
      <c r="AF318" s="128">
        <v>4961432.3499999987</v>
      </c>
      <c r="AG318" s="128">
        <v>5457575.585</v>
      </c>
      <c r="AH318" s="128">
        <v>5894181.6318000006</v>
      </c>
      <c r="AI318" s="128">
        <v>6306774.3460260015</v>
      </c>
      <c r="AJ318" s="128">
        <v>6685180.8067875616</v>
      </c>
      <c r="AK318" s="128">
        <v>7019439.8471269412</v>
      </c>
      <c r="AL318" s="128">
        <v>7300217.4410120184</v>
      </c>
      <c r="AM318" s="128">
        <v>7592226.1386524998</v>
      </c>
      <c r="AN318" s="128">
        <v>7895915.1841986002</v>
      </c>
      <c r="AO318" s="128">
        <v>8211751.7915665433</v>
      </c>
      <c r="AP318" s="128">
        <v>8540221.8632292058</v>
      </c>
      <c r="AQ318" s="128">
        <v>8881830.7377583738</v>
      </c>
      <c r="AR318" s="128">
        <v>9237103.967268711</v>
      </c>
      <c r="AS318" s="128">
        <v>9606588.1259594597</v>
      </c>
      <c r="AT318" s="128">
        <v>9990851.650997838</v>
      </c>
      <c r="AU318" s="128">
        <v>10390485.717037752</v>
      </c>
      <c r="AV318" s="128">
        <v>10806105.145719264</v>
      </c>
      <c r="AW318" s="128">
        <v>11238349.351548035</v>
      </c>
      <c r="AX318" s="128">
        <v>11687883.325609956</v>
      </c>
      <c r="AY318" s="128">
        <v>12155398.658634355</v>
      </c>
      <c r="AZ318" s="128">
        <v>12641614.604979731</v>
      </c>
      <c r="BA318" s="128">
        <v>13147279.189178921</v>
      </c>
      <c r="BB318" s="128">
        <v>13673170.356746078</v>
      </c>
      <c r="BC318" s="128">
        <f t="shared" si="122"/>
        <v>14220097.171015922</v>
      </c>
      <c r="BD318" s="128">
        <f t="shared" si="122"/>
        <v>14788901.05785656</v>
      </c>
      <c r="BE318" s="128">
        <f t="shared" si="122"/>
        <v>15380457.100170823</v>
      </c>
      <c r="BF318" s="128">
        <f t="shared" si="122"/>
        <v>15995675.384177657</v>
      </c>
      <c r="BG318" s="128">
        <f t="shared" si="122"/>
        <v>16635502.399544764</v>
      </c>
    </row>
    <row r="319" spans="1:59" ht="13.75" customHeight="1">
      <c r="A319" s="171" t="s">
        <v>166</v>
      </c>
      <c r="B319" s="165" t="s">
        <v>413</v>
      </c>
      <c r="C319" s="165" t="s">
        <v>430</v>
      </c>
      <c r="D319" s="165" t="s">
        <v>168</v>
      </c>
      <c r="E319" s="167"/>
      <c r="F319" s="168" t="s">
        <v>438</v>
      </c>
      <c r="G319" s="168" t="s">
        <v>3</v>
      </c>
      <c r="H319" s="168"/>
      <c r="I319" s="168"/>
      <c r="X319" s="107">
        <v>8.5498877125441242E-2</v>
      </c>
      <c r="Y319" s="107">
        <v>6.6794739175410234E-2</v>
      </c>
      <c r="Z319" s="107">
        <v>8.9901648427759939E-2</v>
      </c>
      <c r="AA319" s="107">
        <v>3.7747839349262957E-2</v>
      </c>
      <c r="AB319" s="107">
        <v>2.9148805878750794E-2</v>
      </c>
      <c r="AC319" s="107">
        <v>-2.320599785790789E-2</v>
      </c>
      <c r="AD319" s="107">
        <v>1.7543859649122862E-2</v>
      </c>
      <c r="AE319" s="155">
        <v>7.2303456434856805E-3</v>
      </c>
      <c r="AF319" s="155">
        <v>8.3956466950710684E-2</v>
      </c>
      <c r="AG319" s="155">
        <v>2.0815765311842149E-2</v>
      </c>
      <c r="AH319" s="155">
        <v>2.7671802960848479E-2</v>
      </c>
      <c r="AI319" s="155">
        <v>2.5985217834063601E-2</v>
      </c>
      <c r="AJ319" s="155">
        <v>9.1925429413246551E-3</v>
      </c>
      <c r="AK319" s="155">
        <v>1.036799373051811E-2</v>
      </c>
      <c r="AL319" s="155">
        <v>4.0432982208584711E-3</v>
      </c>
      <c r="AM319" s="155">
        <v>6.9909698798917841E-3</v>
      </c>
      <c r="AN319" s="155">
        <v>5.5482684464371879E-3</v>
      </c>
      <c r="AO319" s="155">
        <v>5.4074181911021313E-3</v>
      </c>
      <c r="AP319" s="155">
        <v>5.7510660222266363E-3</v>
      </c>
      <c r="AQ319" s="155">
        <v>5.209205164476538E-3</v>
      </c>
      <c r="AR319" s="155">
        <v>5.4151684201033667E-3</v>
      </c>
      <c r="AS319" s="155">
        <v>5.7548300253920104E-3</v>
      </c>
      <c r="AT319" s="155">
        <v>6.0998960408837899E-3</v>
      </c>
      <c r="AU319" s="155">
        <v>6.4502379280455546E-3</v>
      </c>
      <c r="AV319" s="155">
        <v>6.8057095790052813E-3</v>
      </c>
      <c r="AW319" s="155">
        <v>7.1661464324352941E-3</v>
      </c>
      <c r="AX319" s="155">
        <v>6.511498020395079E-3</v>
      </c>
      <c r="AY319" s="155">
        <v>6.9345951269170758E-3</v>
      </c>
      <c r="AZ319" s="155">
        <v>7.3092962274916573E-3</v>
      </c>
      <c r="BA319" s="155">
        <v>7.6891851010465473E-3</v>
      </c>
      <c r="BB319" s="155">
        <v>8.0740031449193506E-3</v>
      </c>
      <c r="BC319" s="155">
        <v>8.4634625031521082E-3</v>
      </c>
      <c r="BD319" s="155">
        <v>8.8572440019727416E-3</v>
      </c>
      <c r="BE319" s="155">
        <v>9.2549947763584939E-3</v>
      </c>
      <c r="BF319" s="155">
        <v>9.656325504363128E-3</v>
      </c>
      <c r="BG319" s="155">
        <v>1.0060807143128292E-2</v>
      </c>
    </row>
    <row r="320" spans="1:59" s="131" customFormat="1" ht="13.75" customHeight="1">
      <c r="A320" s="171" t="s">
        <v>166</v>
      </c>
      <c r="B320" s="165" t="s">
        <v>413</v>
      </c>
      <c r="C320" s="165" t="s">
        <v>414</v>
      </c>
      <c r="D320" s="165" t="s">
        <v>168</v>
      </c>
      <c r="E320" s="167"/>
      <c r="F320" s="168" t="s">
        <v>439</v>
      </c>
      <c r="G320" s="168" t="s">
        <v>3</v>
      </c>
      <c r="H320" s="168"/>
      <c r="I320" s="168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16"/>
      <c r="X320" s="107">
        <v>-4.0349339024561059E-2</v>
      </c>
      <c r="Y320" s="107">
        <v>-4.2060227229930192E-2</v>
      </c>
      <c r="Z320" s="107">
        <v>0.2056361280388681</v>
      </c>
      <c r="AA320" s="107">
        <v>0.11029572183023761</v>
      </c>
      <c r="AB320" s="107">
        <v>7.2747588646600692E-2</v>
      </c>
      <c r="AC320" s="107">
        <v>-0.50243841349415264</v>
      </c>
      <c r="AD320" s="107">
        <v>0.59464380596900557</v>
      </c>
      <c r="AE320" s="107">
        <v>-7.6427055101379482E-2</v>
      </c>
      <c r="AF320" s="107">
        <v>0.12657407407407417</v>
      </c>
      <c r="AG320" s="107">
        <v>5.6710775047259077E-2</v>
      </c>
      <c r="AH320" s="107">
        <v>4.9389437660418478E-2</v>
      </c>
      <c r="AI320" s="107">
        <v>4.4100207530388236E-2</v>
      </c>
      <c r="AJ320" s="107">
        <v>3.9043089373181017E-2</v>
      </c>
      <c r="AK320" s="107">
        <v>3.7576006012161045E-2</v>
      </c>
      <c r="AL320" s="107">
        <v>3.2922894580891482E-2</v>
      </c>
      <c r="AM320" s="107">
        <v>3.1236055332440671E-2</v>
      </c>
      <c r="AN320" s="107">
        <v>0.03</v>
      </c>
      <c r="AO320" s="107">
        <f t="shared" ref="AO320:AZ320" si="123">AN320</f>
        <v>0.03</v>
      </c>
      <c r="AP320" s="107">
        <f t="shared" si="123"/>
        <v>0.03</v>
      </c>
      <c r="AQ320" s="107">
        <f t="shared" si="123"/>
        <v>0.03</v>
      </c>
      <c r="AR320" s="107">
        <f t="shared" si="123"/>
        <v>0.03</v>
      </c>
      <c r="AS320" s="107">
        <f t="shared" si="123"/>
        <v>0.03</v>
      </c>
      <c r="AT320" s="107">
        <f t="shared" si="123"/>
        <v>0.03</v>
      </c>
      <c r="AU320" s="107">
        <f t="shared" si="123"/>
        <v>0.03</v>
      </c>
      <c r="AV320" s="107">
        <f t="shared" si="123"/>
        <v>0.03</v>
      </c>
      <c r="AW320" s="107">
        <f t="shared" si="123"/>
        <v>0.03</v>
      </c>
      <c r="AX320" s="107">
        <f t="shared" si="123"/>
        <v>0.03</v>
      </c>
      <c r="AY320" s="107">
        <f t="shared" si="123"/>
        <v>0.03</v>
      </c>
      <c r="AZ320" s="107">
        <f t="shared" si="123"/>
        <v>0.03</v>
      </c>
      <c r="BA320" s="107">
        <f>AZ320</f>
        <v>0.03</v>
      </c>
      <c r="BB320" s="107">
        <f>BA320</f>
        <v>0.03</v>
      </c>
      <c r="BC320" s="107">
        <f t="shared" ref="BC320:BG320" si="124">BB320</f>
        <v>0.03</v>
      </c>
      <c r="BD320" s="107">
        <f t="shared" si="124"/>
        <v>0.03</v>
      </c>
      <c r="BE320" s="107">
        <f t="shared" si="124"/>
        <v>0.03</v>
      </c>
      <c r="BF320" s="107">
        <f t="shared" si="124"/>
        <v>0.03</v>
      </c>
      <c r="BG320" s="107">
        <f t="shared" si="124"/>
        <v>0.03</v>
      </c>
    </row>
    <row r="321" spans="1:59" ht="13.75" customHeight="1">
      <c r="A321" s="171" t="s">
        <v>166</v>
      </c>
      <c r="B321" s="165" t="s">
        <v>413</v>
      </c>
      <c r="C321" s="165" t="s">
        <v>417</v>
      </c>
      <c r="D321" s="165" t="s">
        <v>168</v>
      </c>
      <c r="E321" s="167"/>
      <c r="F321" s="168" t="s">
        <v>440</v>
      </c>
      <c r="G321" s="168" t="s">
        <v>441</v>
      </c>
      <c r="H321" s="168"/>
      <c r="I321" s="168"/>
      <c r="X321" s="128">
        <v>450</v>
      </c>
      <c r="Y321" s="128">
        <v>697.91666666666663</v>
      </c>
      <c r="Z321" s="128">
        <v>1327.0833333333333</v>
      </c>
      <c r="AA321" s="128">
        <v>1750</v>
      </c>
      <c r="AB321" s="128">
        <v>1773.6250000000002</v>
      </c>
      <c r="AC321" s="128">
        <v>912.5</v>
      </c>
      <c r="AD321" s="128">
        <v>972.91666666666663</v>
      </c>
      <c r="AE321" s="128">
        <v>1518.75</v>
      </c>
      <c r="AF321" s="128">
        <v>1950</v>
      </c>
      <c r="AG321" s="128">
        <v>2000</v>
      </c>
      <c r="AH321" s="128">
        <f>AG321*(1+AH5)</f>
        <v>2042.5398071412224</v>
      </c>
      <c r="AI321" s="128">
        <f t="shared" ref="AI321:BG321" si="125">AH321*(1+AI5)</f>
        <v>2116.8611265020577</v>
      </c>
      <c r="AJ321" s="128">
        <f t="shared" si="125"/>
        <v>2201.5355715621399</v>
      </c>
      <c r="AK321" s="128">
        <f t="shared" si="125"/>
        <v>2289.5969944246258</v>
      </c>
      <c r="AL321" s="128">
        <f t="shared" si="125"/>
        <v>2381.180874201611</v>
      </c>
      <c r="AM321" s="128">
        <f t="shared" si="125"/>
        <v>2476.4281091696757</v>
      </c>
      <c r="AN321" s="128">
        <f t="shared" si="125"/>
        <v>2575.4852335364631</v>
      </c>
      <c r="AO321" s="128">
        <f t="shared" si="125"/>
        <v>2678.5046428779215</v>
      </c>
      <c r="AP321" s="128">
        <f t="shared" si="125"/>
        <v>2785.6448285930383</v>
      </c>
      <c r="AQ321" s="128">
        <f t="shared" si="125"/>
        <v>2897.0706217367597</v>
      </c>
      <c r="AR321" s="128">
        <f t="shared" si="125"/>
        <v>3012.95344660623</v>
      </c>
      <c r="AS321" s="128">
        <f t="shared" si="125"/>
        <v>3133.4715844704792</v>
      </c>
      <c r="AT321" s="128">
        <f t="shared" si="125"/>
        <v>3258.8104478492987</v>
      </c>
      <c r="AU321" s="128">
        <f t="shared" si="125"/>
        <v>3389.1628657632709</v>
      </c>
      <c r="AV321" s="128">
        <f t="shared" si="125"/>
        <v>3524.7293803938019</v>
      </c>
      <c r="AW321" s="128">
        <f t="shared" si="125"/>
        <v>3665.7185556095542</v>
      </c>
      <c r="AX321" s="128">
        <f t="shared" si="125"/>
        <v>3812.3472978339364</v>
      </c>
      <c r="AY321" s="128">
        <f t="shared" si="125"/>
        <v>3964.8411897472938</v>
      </c>
      <c r="AZ321" s="128">
        <f t="shared" si="125"/>
        <v>4123.4348373371859</v>
      </c>
      <c r="BA321" s="128">
        <f t="shared" si="125"/>
        <v>4288.3722308306733</v>
      </c>
      <c r="BB321" s="128">
        <f t="shared" si="125"/>
        <v>4459.9071200639</v>
      </c>
      <c r="BC321" s="128">
        <f t="shared" si="125"/>
        <v>4638.3034048664558</v>
      </c>
      <c r="BD321" s="128">
        <f t="shared" si="125"/>
        <v>4823.8355410611139</v>
      </c>
      <c r="BE321" s="128">
        <f t="shared" si="125"/>
        <v>5016.7889627035584</v>
      </c>
      <c r="BF321" s="128">
        <f t="shared" si="125"/>
        <v>5217.4605212117012</v>
      </c>
      <c r="BG321" s="128">
        <f t="shared" si="125"/>
        <v>5426.1589420601695</v>
      </c>
    </row>
    <row r="322" spans="1:59" ht="13.75" customHeight="1">
      <c r="A322" s="171" t="s">
        <v>166</v>
      </c>
      <c r="B322" s="165" t="s">
        <v>413</v>
      </c>
      <c r="C322" s="165" t="s">
        <v>417</v>
      </c>
      <c r="D322" s="165" t="s">
        <v>168</v>
      </c>
      <c r="E322" s="167"/>
      <c r="F322" s="168" t="s">
        <v>442</v>
      </c>
      <c r="G322" s="168" t="s">
        <v>443</v>
      </c>
      <c r="H322" s="168"/>
      <c r="I322" s="168"/>
      <c r="X322" s="133">
        <v>16.399999999999999</v>
      </c>
      <c r="Y322" s="133">
        <v>20</v>
      </c>
      <c r="Z322" s="133">
        <v>36.9</v>
      </c>
      <c r="AA322" s="133">
        <v>42.603999999999999</v>
      </c>
      <c r="AB322" s="133">
        <v>37.820999999999998</v>
      </c>
      <c r="AC322" s="133">
        <v>22</v>
      </c>
      <c r="AD322" s="133">
        <v>20.117000000000001</v>
      </c>
      <c r="AE322" s="133">
        <v>20.23</v>
      </c>
      <c r="AF322" s="133">
        <v>15</v>
      </c>
      <c r="AG322" s="133">
        <v>18</v>
      </c>
      <c r="AH322" s="133">
        <v>20</v>
      </c>
      <c r="AI322" s="133">
        <v>20</v>
      </c>
      <c r="AJ322" s="133">
        <v>20</v>
      </c>
      <c r="AK322" s="133">
        <v>20</v>
      </c>
      <c r="AL322" s="133">
        <v>20</v>
      </c>
      <c r="AM322" s="133">
        <v>20</v>
      </c>
      <c r="AN322" s="133">
        <v>20</v>
      </c>
      <c r="AO322" s="133">
        <v>20</v>
      </c>
      <c r="AP322" s="133">
        <v>20</v>
      </c>
      <c r="AQ322" s="133">
        <v>20</v>
      </c>
      <c r="AR322" s="133">
        <v>20</v>
      </c>
      <c r="AS322" s="133">
        <v>20</v>
      </c>
      <c r="AT322" s="133">
        <v>20</v>
      </c>
      <c r="AU322" s="133">
        <v>20</v>
      </c>
      <c r="AV322" s="133">
        <v>20</v>
      </c>
      <c r="AW322" s="133">
        <v>20</v>
      </c>
      <c r="AX322" s="133">
        <v>20</v>
      </c>
      <c r="AY322" s="133">
        <v>20</v>
      </c>
      <c r="AZ322" s="133">
        <v>21</v>
      </c>
      <c r="BA322" s="133">
        <v>22</v>
      </c>
      <c r="BB322" s="133">
        <v>23</v>
      </c>
      <c r="BC322" s="133">
        <f>BB322*(1+((BB322-BA322)/BA322))</f>
        <v>24.045454545454543</v>
      </c>
      <c r="BD322" s="133">
        <f>BC322*(1+((BC322-BB322)/BB322))</f>
        <v>25.138429752066113</v>
      </c>
      <c r="BE322" s="133">
        <f t="shared" ref="BE322:BG322" si="126">BD322*(1+((BD322-BC322)/BC322))</f>
        <v>26.281085649887299</v>
      </c>
      <c r="BF322" s="133">
        <f t="shared" si="126"/>
        <v>27.475680452154901</v>
      </c>
      <c r="BG322" s="133">
        <f t="shared" si="126"/>
        <v>28.724575018161939</v>
      </c>
    </row>
    <row r="323" spans="1:59" ht="13.75" customHeight="1">
      <c r="A323" s="171" t="s">
        <v>166</v>
      </c>
      <c r="B323" s="165" t="s">
        <v>413</v>
      </c>
      <c r="C323" s="165" t="s">
        <v>417</v>
      </c>
      <c r="D323" s="165" t="s">
        <v>168</v>
      </c>
      <c r="E323" s="167"/>
      <c r="F323" s="168" t="s">
        <v>444</v>
      </c>
      <c r="G323" s="168" t="s">
        <v>441</v>
      </c>
      <c r="H323" s="168"/>
      <c r="I323" s="168"/>
      <c r="S323" s="128">
        <v>971.66666666666663</v>
      </c>
      <c r="T323" s="128">
        <v>1125.8333333333333</v>
      </c>
      <c r="U323" s="128">
        <v>1280</v>
      </c>
      <c r="V323" s="128">
        <v>1083.05125</v>
      </c>
      <c r="W323" s="128">
        <v>764.74416666666673</v>
      </c>
      <c r="X323" s="128">
        <v>597.5</v>
      </c>
      <c r="Y323" s="128">
        <v>521.66666666666663</v>
      </c>
      <c r="Z323" s="128">
        <v>556.25</v>
      </c>
      <c r="AA323" s="128">
        <v>660.41666666666663</v>
      </c>
      <c r="AB323" s="128">
        <v>950</v>
      </c>
      <c r="AC323" s="128">
        <v>958.33333333333337</v>
      </c>
      <c r="AD323" s="128">
        <v>1029.1666666666667</v>
      </c>
      <c r="AE323" s="128">
        <v>1333.3333333333333</v>
      </c>
      <c r="AF323" s="128">
        <v>1500</v>
      </c>
      <c r="AG323" s="128">
        <v>1525</v>
      </c>
      <c r="AH323" s="128">
        <f>AG323*(1+AH5/2)</f>
        <v>1541.2183014725913</v>
      </c>
      <c r="AI323" s="128">
        <f t="shared" ref="AI323:BG323" si="127">AH323*(1+AI5/2)</f>
        <v>1569.258239100252</v>
      </c>
      <c r="AJ323" s="128">
        <f t="shared" si="127"/>
        <v>1600.6434038822572</v>
      </c>
      <c r="AK323" s="128">
        <f t="shared" si="127"/>
        <v>1632.6562719599024</v>
      </c>
      <c r="AL323" s="128">
        <f t="shared" si="127"/>
        <v>1665.3093973991004</v>
      </c>
      <c r="AM323" s="128">
        <f t="shared" si="127"/>
        <v>1698.6155853470823</v>
      </c>
      <c r="AN323" s="128">
        <f t="shared" si="127"/>
        <v>1732.5878970540239</v>
      </c>
      <c r="AO323" s="128">
        <f t="shared" si="127"/>
        <v>1767.2396549951043</v>
      </c>
      <c r="AP323" s="128">
        <f t="shared" si="127"/>
        <v>1802.5844480950063</v>
      </c>
      <c r="AQ323" s="128">
        <f t="shared" si="127"/>
        <v>1838.6361370569066</v>
      </c>
      <c r="AR323" s="128">
        <f t="shared" si="127"/>
        <v>1875.4088597980447</v>
      </c>
      <c r="AS323" s="128">
        <f t="shared" si="127"/>
        <v>1912.9170369940057</v>
      </c>
      <c r="AT323" s="128">
        <f t="shared" si="127"/>
        <v>1951.1753777338859</v>
      </c>
      <c r="AU323" s="128">
        <f t="shared" si="127"/>
        <v>1990.1988852885636</v>
      </c>
      <c r="AV323" s="128">
        <f t="shared" si="127"/>
        <v>2030.0028629943349</v>
      </c>
      <c r="AW323" s="128">
        <f t="shared" si="127"/>
        <v>2070.6029202542218</v>
      </c>
      <c r="AX323" s="128">
        <f t="shared" si="127"/>
        <v>2112.0149786593061</v>
      </c>
      <c r="AY323" s="128">
        <f t="shared" si="127"/>
        <v>2154.2552782324924</v>
      </c>
      <c r="AZ323" s="128">
        <f t="shared" si="127"/>
        <v>2197.3403837971423</v>
      </c>
      <c r="BA323" s="128">
        <f t="shared" si="127"/>
        <v>2241.2871914730854</v>
      </c>
      <c r="BB323" s="128">
        <f t="shared" si="127"/>
        <v>2286.1129353025472</v>
      </c>
      <c r="BC323" s="128">
        <f t="shared" si="127"/>
        <v>2331.8351940085981</v>
      </c>
      <c r="BD323" s="128">
        <f t="shared" si="127"/>
        <v>2378.4718978887699</v>
      </c>
      <c r="BE323" s="128">
        <f t="shared" si="127"/>
        <v>2426.0413358465453</v>
      </c>
      <c r="BF323" s="128">
        <f t="shared" si="127"/>
        <v>2474.5621625634762</v>
      </c>
      <c r="BG323" s="128">
        <f t="shared" si="127"/>
        <v>2524.0534058147459</v>
      </c>
    </row>
    <row r="324" spans="1:59" ht="13.75" customHeight="1" outlineLevel="1">
      <c r="A324" s="171" t="s">
        <v>166</v>
      </c>
      <c r="B324" s="165" t="s">
        <v>413</v>
      </c>
      <c r="C324" s="165" t="s">
        <v>417</v>
      </c>
      <c r="D324" s="165" t="s">
        <v>168</v>
      </c>
      <c r="E324" s="167"/>
      <c r="F324" s="168" t="s">
        <v>445</v>
      </c>
      <c r="G324" s="168" t="s">
        <v>3</v>
      </c>
      <c r="H324" s="168"/>
      <c r="I324" s="168"/>
      <c r="Q324" s="107">
        <v>0.15140845070422526</v>
      </c>
      <c r="R324" s="107">
        <v>-0.21630988786952088</v>
      </c>
      <c r="S324" s="107">
        <v>0.20031217481789798</v>
      </c>
      <c r="T324" s="107">
        <v>0.15604681404421328</v>
      </c>
      <c r="U324" s="107">
        <v>0.10348706411698538</v>
      </c>
      <c r="V324" s="107">
        <v>5.8783554196398136E-2</v>
      </c>
      <c r="W324" s="107">
        <v>3.145057766367132E-2</v>
      </c>
      <c r="X324" s="107">
        <v>-7.9340385812072145E-2</v>
      </c>
      <c r="Y324" s="107">
        <v>0.10273741128759717</v>
      </c>
      <c r="Z324" s="107">
        <v>0.19000919399325777</v>
      </c>
      <c r="AA324" s="107">
        <v>0.14318825650270406</v>
      </c>
      <c r="AB324" s="107">
        <v>0.1236765037170533</v>
      </c>
      <c r="AC324" s="107">
        <v>0.16511026463512435</v>
      </c>
      <c r="AD324" s="107">
        <v>0.11890590666549672</v>
      </c>
      <c r="AE324" s="107">
        <v>4.3896127899454296E-3</v>
      </c>
      <c r="AF324" s="107">
        <v>0.12462253300823467</v>
      </c>
      <c r="AG324" s="107">
        <v>7.7385063301633306E-2</v>
      </c>
      <c r="AH324" s="107">
        <v>6.7647422790408696E-2</v>
      </c>
      <c r="AI324" s="107">
        <v>5.376651447932268E-2</v>
      </c>
      <c r="AJ324" s="107">
        <v>5.0642284339342591E-2</v>
      </c>
      <c r="AK324" s="107">
        <v>4.8690629293862697E-2</v>
      </c>
      <c r="AL324" s="107">
        <v>4.7964363602310378E-2</v>
      </c>
      <c r="AM324" s="107">
        <v>4.686970450745731E-2</v>
      </c>
      <c r="AN324" s="107">
        <v>0.03</v>
      </c>
      <c r="AO324" s="107">
        <f t="shared" ref="AO324:BG324" si="128">+AN324</f>
        <v>0.03</v>
      </c>
      <c r="AP324" s="107">
        <f t="shared" si="128"/>
        <v>0.03</v>
      </c>
      <c r="AQ324" s="107">
        <f t="shared" si="128"/>
        <v>0.03</v>
      </c>
      <c r="AR324" s="107">
        <f t="shared" si="128"/>
        <v>0.03</v>
      </c>
      <c r="AS324" s="107">
        <f t="shared" si="128"/>
        <v>0.03</v>
      </c>
      <c r="AT324" s="107">
        <f t="shared" si="128"/>
        <v>0.03</v>
      </c>
      <c r="AU324" s="107">
        <f t="shared" si="128"/>
        <v>0.03</v>
      </c>
      <c r="AV324" s="107">
        <f t="shared" si="128"/>
        <v>0.03</v>
      </c>
      <c r="AW324" s="107">
        <f t="shared" si="128"/>
        <v>0.03</v>
      </c>
      <c r="AX324" s="107">
        <f t="shared" si="128"/>
        <v>0.03</v>
      </c>
      <c r="AY324" s="107">
        <f t="shared" si="128"/>
        <v>0.03</v>
      </c>
      <c r="AZ324" s="107">
        <f t="shared" si="128"/>
        <v>0.03</v>
      </c>
      <c r="BA324" s="107">
        <f t="shared" si="128"/>
        <v>0.03</v>
      </c>
      <c r="BB324" s="107">
        <f t="shared" si="128"/>
        <v>0.03</v>
      </c>
      <c r="BC324" s="107">
        <f t="shared" si="128"/>
        <v>0.03</v>
      </c>
      <c r="BD324" s="107">
        <f t="shared" si="128"/>
        <v>0.03</v>
      </c>
      <c r="BE324" s="107">
        <f t="shared" si="128"/>
        <v>0.03</v>
      </c>
      <c r="BF324" s="107">
        <f t="shared" si="128"/>
        <v>0.03</v>
      </c>
      <c r="BG324" s="107">
        <f t="shared" si="128"/>
        <v>0.03</v>
      </c>
    </row>
    <row r="325" spans="1:59" ht="13.75" customHeight="1" outlineLevel="1">
      <c r="A325" s="171" t="s">
        <v>166</v>
      </c>
      <c r="B325" s="165" t="s">
        <v>413</v>
      </c>
      <c r="C325" s="165" t="s">
        <v>414</v>
      </c>
      <c r="D325" s="165" t="s">
        <v>168</v>
      </c>
      <c r="E325" s="167"/>
      <c r="F325" s="168" t="s">
        <v>446</v>
      </c>
      <c r="G325" s="168" t="s">
        <v>3</v>
      </c>
      <c r="H325" s="168"/>
      <c r="I325" s="168"/>
      <c r="X325" s="107">
        <v>-0.16492083993052098</v>
      </c>
      <c r="Y325" s="107">
        <v>-0.15255721133965194</v>
      </c>
      <c r="Z325" s="107">
        <v>0.32269592095810884</v>
      </c>
      <c r="AA325" s="107">
        <v>0.12076818601514416</v>
      </c>
      <c r="AB325" s="107">
        <v>8.3105885775112354E-2</v>
      </c>
      <c r="AC325" s="107">
        <v>-0.76922335179826584</v>
      </c>
      <c r="AD325" s="156">
        <v>0.71350011313218742</v>
      </c>
      <c r="AE325" s="107">
        <v>2.9343036924097454E-2</v>
      </c>
      <c r="AF325" s="107">
        <v>0.19471947194719497</v>
      </c>
      <c r="AG325" s="107">
        <v>5.5248618784530468E-2</v>
      </c>
      <c r="AH325" s="107">
        <v>5.3664921465968574E-2</v>
      </c>
      <c r="AI325" s="107">
        <v>5.3416149068322705E-2</v>
      </c>
      <c r="AJ325" s="107">
        <v>4.7169811320754818E-2</v>
      </c>
      <c r="AK325" s="107">
        <v>4.5045045045045029E-2</v>
      </c>
      <c r="AL325" s="107">
        <v>3.6637931034482873E-2</v>
      </c>
      <c r="AM325" s="107">
        <v>3.3264033264033266E-2</v>
      </c>
      <c r="AN325" s="107">
        <v>0.03</v>
      </c>
      <c r="AO325" s="107">
        <f>AN325</f>
        <v>0.03</v>
      </c>
      <c r="AP325" s="107">
        <f t="shared" ref="AP325:BE326" si="129">AO325</f>
        <v>0.03</v>
      </c>
      <c r="AQ325" s="107">
        <f t="shared" si="129"/>
        <v>0.03</v>
      </c>
      <c r="AR325" s="107">
        <f t="shared" si="129"/>
        <v>0.03</v>
      </c>
      <c r="AS325" s="107">
        <f t="shared" si="129"/>
        <v>0.03</v>
      </c>
      <c r="AT325" s="107">
        <f t="shared" si="129"/>
        <v>0.03</v>
      </c>
      <c r="AU325" s="107">
        <f t="shared" si="129"/>
        <v>0.03</v>
      </c>
      <c r="AV325" s="107">
        <f t="shared" si="129"/>
        <v>0.03</v>
      </c>
      <c r="AW325" s="107">
        <f t="shared" si="129"/>
        <v>0.03</v>
      </c>
      <c r="AX325" s="107">
        <f t="shared" si="129"/>
        <v>0.03</v>
      </c>
      <c r="AY325" s="107">
        <f t="shared" si="129"/>
        <v>0.03</v>
      </c>
      <c r="AZ325" s="107">
        <f t="shared" si="129"/>
        <v>0.03</v>
      </c>
      <c r="BA325" s="107">
        <f t="shared" si="129"/>
        <v>0.03</v>
      </c>
      <c r="BB325" s="107">
        <f t="shared" si="129"/>
        <v>0.03</v>
      </c>
      <c r="BC325" s="107">
        <f t="shared" si="129"/>
        <v>0.03</v>
      </c>
      <c r="BD325" s="107">
        <f t="shared" si="129"/>
        <v>0.03</v>
      </c>
      <c r="BE325" s="107">
        <f t="shared" si="129"/>
        <v>0.03</v>
      </c>
      <c r="BF325" s="107">
        <f t="shared" ref="BB325:BG326" si="130">BE325</f>
        <v>0.03</v>
      </c>
      <c r="BG325" s="107">
        <f t="shared" si="130"/>
        <v>0.03</v>
      </c>
    </row>
    <row r="326" spans="1:59" ht="13.75" customHeight="1" outlineLevel="1">
      <c r="A326" s="171" t="s">
        <v>166</v>
      </c>
      <c r="B326" s="165" t="s">
        <v>413</v>
      </c>
      <c r="C326" s="165" t="s">
        <v>414</v>
      </c>
      <c r="D326" s="165" t="s">
        <v>168</v>
      </c>
      <c r="E326" s="167"/>
      <c r="F326" s="168" t="s">
        <v>447</v>
      </c>
      <c r="G326" s="168" t="s">
        <v>3</v>
      </c>
      <c r="H326" s="168"/>
      <c r="I326" s="168"/>
      <c r="X326" s="107">
        <v>0.13603010050821651</v>
      </c>
      <c r="Y326" s="107">
        <v>7.2944976798719585E-2</v>
      </c>
      <c r="Z326" s="107">
        <v>0.10940673262953249</v>
      </c>
      <c r="AA326" s="107">
        <v>0.10003168724899392</v>
      </c>
      <c r="AB326" s="107">
        <v>5.9772373762017939E-2</v>
      </c>
      <c r="AC326" s="107">
        <v>-0.23016862690538342</v>
      </c>
      <c r="AD326" s="156">
        <v>0.55828129455246756</v>
      </c>
      <c r="AE326" s="107">
        <v>-0.11200925540067508</v>
      </c>
      <c r="AF326" s="107">
        <v>0.10000000000000009</v>
      </c>
      <c r="AG326" s="107">
        <v>5.7330057330057471E-2</v>
      </c>
      <c r="AH326" s="107">
        <v>4.758216222197631E-2</v>
      </c>
      <c r="AI326" s="107">
        <v>4.0139431710151108E-2</v>
      </c>
      <c r="AJ326" s="107">
        <v>3.554382045292992E-2</v>
      </c>
      <c r="AK326" s="107">
        <v>3.4323820731587684E-2</v>
      </c>
      <c r="AL326" s="107">
        <v>3.1288518062008164E-2</v>
      </c>
      <c r="AM326" s="107">
        <v>3.0339247954399129E-2</v>
      </c>
      <c r="AN326" s="107">
        <v>0.03</v>
      </c>
      <c r="AO326" s="107">
        <f t="shared" ref="AO326" si="131">AN326</f>
        <v>0.03</v>
      </c>
      <c r="AP326" s="107">
        <f t="shared" si="129"/>
        <v>0.03</v>
      </c>
      <c r="AQ326" s="107">
        <f t="shared" si="129"/>
        <v>0.03</v>
      </c>
      <c r="AR326" s="107">
        <f t="shared" si="129"/>
        <v>0.03</v>
      </c>
      <c r="AS326" s="107">
        <f t="shared" si="129"/>
        <v>0.03</v>
      </c>
      <c r="AT326" s="107">
        <f t="shared" si="129"/>
        <v>0.03</v>
      </c>
      <c r="AU326" s="107">
        <f t="shared" si="129"/>
        <v>0.03</v>
      </c>
      <c r="AV326" s="107">
        <f t="shared" si="129"/>
        <v>0.03</v>
      </c>
      <c r="AW326" s="107">
        <f t="shared" si="129"/>
        <v>0.03</v>
      </c>
      <c r="AX326" s="107">
        <f t="shared" si="129"/>
        <v>0.03</v>
      </c>
      <c r="AY326" s="107">
        <f t="shared" si="129"/>
        <v>0.03</v>
      </c>
      <c r="AZ326" s="107">
        <f t="shared" si="129"/>
        <v>0.03</v>
      </c>
      <c r="BA326" s="107">
        <f t="shared" si="129"/>
        <v>0.03</v>
      </c>
      <c r="BB326" s="107">
        <f t="shared" si="130"/>
        <v>0.03</v>
      </c>
      <c r="BC326" s="107">
        <f t="shared" si="130"/>
        <v>0.03</v>
      </c>
      <c r="BD326" s="107">
        <f t="shared" si="130"/>
        <v>0.03</v>
      </c>
      <c r="BE326" s="107">
        <f t="shared" si="130"/>
        <v>0.03</v>
      </c>
      <c r="BF326" s="107">
        <f t="shared" si="130"/>
        <v>0.03</v>
      </c>
      <c r="BG326" s="107">
        <f t="shared" si="130"/>
        <v>0.03</v>
      </c>
    </row>
    <row r="327" spans="1:59" ht="13.75" customHeight="1" outlineLevel="1">
      <c r="A327" s="171" t="s">
        <v>166</v>
      </c>
      <c r="B327" s="165" t="s">
        <v>413</v>
      </c>
      <c r="C327" s="165"/>
      <c r="D327" s="165"/>
      <c r="E327" s="167"/>
      <c r="F327" s="168"/>
      <c r="G327" s="168"/>
      <c r="H327" s="168"/>
      <c r="I327" s="168"/>
      <c r="AM327" s="119"/>
    </row>
    <row r="328" spans="1:59" ht="13.75" customHeight="1" outlineLevel="1">
      <c r="A328" s="171" t="s">
        <v>166</v>
      </c>
      <c r="B328" s="165" t="s">
        <v>413</v>
      </c>
      <c r="C328" s="165"/>
      <c r="D328" s="165"/>
      <c r="E328" s="167"/>
      <c r="F328" s="168"/>
      <c r="G328" s="168"/>
      <c r="H328" s="168"/>
      <c r="I328" s="168"/>
      <c r="AM328" s="119"/>
    </row>
    <row r="329" spans="1:59" ht="13.75" customHeight="1" outlineLevel="1">
      <c r="A329" s="171" t="s">
        <v>166</v>
      </c>
      <c r="B329" s="165" t="s">
        <v>413</v>
      </c>
      <c r="C329" s="165"/>
      <c r="D329" s="165"/>
      <c r="E329" s="167"/>
      <c r="F329" s="168"/>
      <c r="G329" s="168"/>
      <c r="H329" s="168"/>
      <c r="I329" s="168"/>
      <c r="AM329" s="119"/>
    </row>
    <row r="330" spans="1:59" ht="13.75" customHeight="1" outlineLevel="1">
      <c r="A330" s="171" t="s">
        <v>166</v>
      </c>
      <c r="B330" s="165" t="s">
        <v>413</v>
      </c>
      <c r="C330" s="165"/>
      <c r="D330" s="165"/>
      <c r="E330" s="167"/>
      <c r="F330" s="168"/>
      <c r="G330" s="168"/>
      <c r="H330" s="168"/>
      <c r="I330" s="168"/>
      <c r="AM330" s="119"/>
    </row>
    <row r="331" spans="1:59" ht="13.75" customHeight="1" outlineLevel="1">
      <c r="A331" s="171" t="s">
        <v>166</v>
      </c>
      <c r="B331" s="165" t="s">
        <v>413</v>
      </c>
      <c r="C331" s="165"/>
      <c r="D331" s="165"/>
      <c r="E331" s="167"/>
      <c r="F331" s="168"/>
      <c r="G331" s="168"/>
      <c r="H331" s="168"/>
      <c r="I331" s="168"/>
      <c r="AM331" s="119"/>
    </row>
    <row r="332" spans="1:59" ht="13.75" customHeight="1" outlineLevel="1">
      <c r="A332" s="171"/>
      <c r="B332" s="165"/>
      <c r="C332" s="165"/>
      <c r="D332" s="165"/>
      <c r="E332" s="167"/>
      <c r="F332" s="168"/>
      <c r="G332" s="168"/>
      <c r="H332" s="168"/>
      <c r="I332" s="168"/>
      <c r="AM332" s="119"/>
    </row>
    <row r="333" spans="1:59" ht="13.75" customHeight="1" outlineLevel="1">
      <c r="A333" s="171"/>
      <c r="B333" s="165"/>
      <c r="C333" s="165"/>
      <c r="D333" s="165"/>
      <c r="E333" s="167"/>
      <c r="F333" s="168"/>
      <c r="G333" s="168"/>
      <c r="H333" s="168"/>
      <c r="I333" s="168"/>
      <c r="AM333" s="119"/>
    </row>
    <row r="334" spans="1:59" ht="13.75" customHeight="1" outlineLevel="1">
      <c r="A334" s="171"/>
      <c r="B334" s="165"/>
      <c r="C334" s="165"/>
      <c r="D334" s="165"/>
      <c r="E334" s="167"/>
      <c r="F334" s="168"/>
      <c r="G334" s="168"/>
      <c r="H334" s="168"/>
      <c r="I334" s="168"/>
      <c r="AM334" s="119"/>
    </row>
    <row r="335" spans="1:59" ht="13.75" customHeight="1" outlineLevel="1">
      <c r="A335" s="171"/>
      <c r="B335" s="165"/>
      <c r="C335" s="165"/>
      <c r="D335" s="165"/>
      <c r="E335" s="167"/>
      <c r="F335" s="168"/>
      <c r="G335" s="168"/>
      <c r="H335" s="168"/>
      <c r="I335" s="168"/>
      <c r="AM335" s="119"/>
    </row>
    <row r="336" spans="1:59" ht="13.75" customHeight="1" outlineLevel="1">
      <c r="A336" s="171"/>
      <c r="B336" s="165"/>
      <c r="C336" s="165"/>
      <c r="D336" s="165"/>
      <c r="E336" s="167"/>
      <c r="F336" s="168"/>
      <c r="G336" s="168"/>
      <c r="H336" s="168"/>
      <c r="I336" s="168"/>
      <c r="AM336" s="119"/>
    </row>
    <row r="337" spans="1:59" ht="13.75" customHeight="1" outlineLevel="1">
      <c r="A337" s="171"/>
      <c r="B337" s="165"/>
      <c r="C337" s="165"/>
      <c r="D337" s="165"/>
      <c r="E337" s="167"/>
      <c r="F337" s="168"/>
      <c r="G337" s="168"/>
      <c r="H337" s="168"/>
      <c r="I337" s="168"/>
      <c r="AM337" s="119"/>
    </row>
    <row r="338" spans="1:59" ht="13.75" customHeight="1">
      <c r="A338" s="171" t="s">
        <v>166</v>
      </c>
      <c r="B338" s="165" t="s">
        <v>448</v>
      </c>
      <c r="C338" s="165"/>
      <c r="D338" s="165" t="s">
        <v>168</v>
      </c>
      <c r="E338" s="167"/>
      <c r="F338" s="168" t="s">
        <v>449</v>
      </c>
      <c r="G338" s="168" t="s">
        <v>4</v>
      </c>
      <c r="H338" s="168"/>
      <c r="I338" s="168"/>
      <c r="U338" s="128"/>
      <c r="V338" s="128"/>
      <c r="W338" s="128">
        <v>2212.9166666666665</v>
      </c>
      <c r="X338" s="128">
        <v>1569.8333333333333</v>
      </c>
      <c r="Y338" s="128">
        <v>1365.6666666666667</v>
      </c>
      <c r="Z338" s="128">
        <v>1880.75</v>
      </c>
      <c r="AA338" s="128">
        <v>2097.4166666666665</v>
      </c>
      <c r="AB338" s="128">
        <v>1535.25</v>
      </c>
      <c r="AC338" s="128">
        <v>1148.1666666666667</v>
      </c>
      <c r="AD338" s="128">
        <v>1967.9166666666667</v>
      </c>
      <c r="AE338" s="128">
        <v>2006</v>
      </c>
      <c r="AF338" s="128">
        <v>1868.6717884615482</v>
      </c>
      <c r="AG338" s="128">
        <v>2070.5734269040877</v>
      </c>
      <c r="AH338" s="128">
        <v>2020.4492772966867</v>
      </c>
      <c r="AI338" s="128">
        <v>2037.0102049011764</v>
      </c>
      <c r="AJ338" s="128">
        <v>2067.587655345294</v>
      </c>
      <c r="AK338" s="128">
        <v>2075.8580059666751</v>
      </c>
      <c r="AL338" s="128">
        <v>2084.1614379905418</v>
      </c>
      <c r="AM338" s="128">
        <v>2092.4980837425041</v>
      </c>
      <c r="AN338" s="128">
        <v>2100.8680760774741</v>
      </c>
      <c r="AO338" s="128">
        <v>2109.2715483817842</v>
      </c>
      <c r="AP338" s="128">
        <v>2117.7086345753114</v>
      </c>
      <c r="AQ338" s="128">
        <v>2126.1794691136129</v>
      </c>
      <c r="AR338" s="128">
        <v>2134.6841869900672</v>
      </c>
      <c r="AS338" s="128">
        <v>2143.2229237380275</v>
      </c>
      <c r="AT338" s="128">
        <v>2151.7958154329795</v>
      </c>
      <c r="AU338" s="128">
        <v>2160.4029986947112</v>
      </c>
      <c r="AV338" s="128">
        <v>2169.0446106894901</v>
      </c>
      <c r="AW338" s="128">
        <v>2177.7207891322482</v>
      </c>
      <c r="AX338" s="128">
        <v>2186.431672288777</v>
      </c>
      <c r="AY338" s="128">
        <v>2195.1773989779322</v>
      </c>
      <c r="AZ338" s="128">
        <v>2203.9581085738441</v>
      </c>
      <c r="BA338" s="128">
        <v>2212.7739410081394</v>
      </c>
      <c r="BB338" s="128">
        <v>2221.6250367721718</v>
      </c>
      <c r="BC338" s="128">
        <f t="shared" ref="BC338:BG342" si="132">BB338*(1+((BB338-BA338)/BA338))</f>
        <v>2230.5115369192604</v>
      </c>
      <c r="BD338" s="128">
        <f t="shared" si="132"/>
        <v>2239.4335830669374</v>
      </c>
      <c r="BE338" s="128">
        <f t="shared" si="132"/>
        <v>2248.391317399205</v>
      </c>
      <c r="BF338" s="128">
        <f t="shared" si="132"/>
        <v>2257.3848826688018</v>
      </c>
      <c r="BG338" s="128">
        <f t="shared" si="132"/>
        <v>2266.414422199477</v>
      </c>
    </row>
    <row r="339" spans="1:59" ht="13.75" customHeight="1">
      <c r="A339" s="171" t="s">
        <v>166</v>
      </c>
      <c r="B339" s="165" t="s">
        <v>448</v>
      </c>
      <c r="C339" s="165"/>
      <c r="D339" s="165" t="s">
        <v>377</v>
      </c>
      <c r="E339" s="167"/>
      <c r="F339" s="168" t="s">
        <v>450</v>
      </c>
      <c r="G339" s="168" t="s">
        <v>4</v>
      </c>
      <c r="H339" s="168"/>
      <c r="I339" s="168" t="s">
        <v>451</v>
      </c>
      <c r="U339" s="128"/>
      <c r="V339" s="128"/>
      <c r="W339" s="128"/>
      <c r="X339" s="128"/>
      <c r="Y339" s="128"/>
      <c r="Z339" s="128"/>
      <c r="AA339" s="128">
        <v>2297</v>
      </c>
      <c r="AB339" s="128">
        <v>2531.25</v>
      </c>
      <c r="AC339" s="128">
        <v>2173.8868725902157</v>
      </c>
      <c r="AD339" s="128">
        <v>2357.7921733969361</v>
      </c>
      <c r="AE339" s="128">
        <v>2558.6089942709536</v>
      </c>
      <c r="AF339" s="128">
        <v>2687.6703168495969</v>
      </c>
      <c r="AG339" s="128">
        <v>2803.8332629840775</v>
      </c>
      <c r="AH339" s="128">
        <v>2803.8332629840775</v>
      </c>
      <c r="AI339" s="128">
        <v>2803.8332629840775</v>
      </c>
      <c r="AJ339" s="128">
        <v>2807.1164467756089</v>
      </c>
      <c r="AK339" s="128">
        <v>2810.4127633023058</v>
      </c>
      <c r="AL339" s="128">
        <v>2813.7222650951098</v>
      </c>
      <c r="AM339" s="128">
        <v>2817.0450048950852</v>
      </c>
      <c r="AN339" s="128">
        <v>2828.3131849146657</v>
      </c>
      <c r="AO339" s="128">
        <v>2839.6264376543245</v>
      </c>
      <c r="AP339" s="128">
        <v>2850.984943404942</v>
      </c>
      <c r="AQ339" s="128">
        <v>2862.3888831785616</v>
      </c>
      <c r="AR339" s="128">
        <v>2873.838438711276</v>
      </c>
      <c r="AS339" s="128">
        <v>2885.3337924661209</v>
      </c>
      <c r="AT339" s="128">
        <v>2896.8751276359853</v>
      </c>
      <c r="AU339" s="128">
        <v>2908.4626281465294</v>
      </c>
      <c r="AV339" s="128">
        <v>2920.0964786591153</v>
      </c>
      <c r="AW339" s="128">
        <v>2931.7768645737519</v>
      </c>
      <c r="AX339" s="128">
        <v>2943.5039720320469</v>
      </c>
      <c r="AY339" s="128">
        <v>2955.2779879201753</v>
      </c>
      <c r="AZ339" s="128">
        <v>2955.2779879201753</v>
      </c>
      <c r="BA339" s="128">
        <v>2955.2779879201753</v>
      </c>
      <c r="BB339" s="128">
        <v>2955.2779879201753</v>
      </c>
      <c r="BC339" s="128">
        <f t="shared" si="132"/>
        <v>2955.2779879201753</v>
      </c>
      <c r="BD339" s="128">
        <f t="shared" si="132"/>
        <v>2955.2779879201753</v>
      </c>
      <c r="BE339" s="128">
        <f t="shared" si="132"/>
        <v>2955.2779879201753</v>
      </c>
      <c r="BF339" s="128">
        <f t="shared" si="132"/>
        <v>2955.2779879201753</v>
      </c>
      <c r="BG339" s="128">
        <f t="shared" si="132"/>
        <v>2955.2779879201753</v>
      </c>
    </row>
    <row r="340" spans="1:59" ht="13.75" customHeight="1">
      <c r="A340" s="171" t="s">
        <v>166</v>
      </c>
      <c r="B340" s="165" t="s">
        <v>448</v>
      </c>
      <c r="C340" s="165"/>
      <c r="D340" s="165" t="s">
        <v>168</v>
      </c>
      <c r="E340" s="167"/>
      <c r="F340" s="168" t="s">
        <v>452</v>
      </c>
      <c r="G340" s="168" t="s">
        <v>4</v>
      </c>
      <c r="H340" s="168"/>
      <c r="I340" s="168" t="s">
        <v>453</v>
      </c>
      <c r="U340" s="128">
        <v>400.8502125</v>
      </c>
      <c r="V340" s="186">
        <v>499.14800624999998</v>
      </c>
      <c r="W340" s="186">
        <v>388.20847499999996</v>
      </c>
      <c r="X340" s="186">
        <v>309</v>
      </c>
      <c r="Y340" s="192">
        <v>228</v>
      </c>
      <c r="Z340" s="186">
        <v>336</v>
      </c>
      <c r="AA340" s="186">
        <v>404</v>
      </c>
      <c r="AB340" s="186">
        <v>268.45</v>
      </c>
      <c r="AC340" s="186">
        <v>242.00491666666667</v>
      </c>
      <c r="AD340" s="186">
        <v>350</v>
      </c>
      <c r="AE340" s="186">
        <v>379.89514356489553</v>
      </c>
      <c r="AF340" s="192">
        <v>301.84106966147061</v>
      </c>
      <c r="AG340" s="192">
        <v>361.18391796882401</v>
      </c>
      <c r="AH340" s="186">
        <v>348.24950513445543</v>
      </c>
      <c r="AI340" s="186">
        <v>336.26154264949747</v>
      </c>
      <c r="AJ340" s="186">
        <v>335.88221443620279</v>
      </c>
      <c r="AK340" s="186">
        <v>337.22574329394757</v>
      </c>
      <c r="AL340" s="186">
        <v>338.57464626712334</v>
      </c>
      <c r="AM340" s="186">
        <v>339.92894485219182</v>
      </c>
      <c r="AN340" s="186">
        <v>341.28866063160058</v>
      </c>
      <c r="AO340" s="186">
        <v>342.653815274127</v>
      </c>
      <c r="AP340" s="186">
        <v>344.02443053522353</v>
      </c>
      <c r="AQ340" s="186">
        <v>345.40052825736444</v>
      </c>
      <c r="AR340" s="186">
        <v>346.78213037039393</v>
      </c>
      <c r="AS340" s="186">
        <v>348.16925889187553</v>
      </c>
      <c r="AT340" s="186">
        <v>349.56193592744302</v>
      </c>
      <c r="AU340" s="186">
        <v>350.96018367115278</v>
      </c>
      <c r="AV340" s="186">
        <v>352.36402440583737</v>
      </c>
      <c r="AW340" s="186">
        <v>353.77348050346075</v>
      </c>
      <c r="AX340" s="186">
        <v>355.1885744254746</v>
      </c>
      <c r="AY340" s="186">
        <v>356.60932872317647</v>
      </c>
      <c r="AZ340" s="186">
        <v>358.0357660380692</v>
      </c>
      <c r="BA340" s="186">
        <v>359.46790910222148</v>
      </c>
      <c r="BB340" s="186">
        <v>360.90578073863037</v>
      </c>
      <c r="BC340" s="186">
        <f t="shared" si="132"/>
        <v>362.3494038615849</v>
      </c>
      <c r="BD340" s="186">
        <f t="shared" si="132"/>
        <v>363.79880147703125</v>
      </c>
      <c r="BE340" s="186">
        <f t="shared" si="132"/>
        <v>365.25399668293937</v>
      </c>
      <c r="BF340" s="186">
        <f t="shared" si="132"/>
        <v>366.71501266967113</v>
      </c>
      <c r="BG340" s="186">
        <f t="shared" si="132"/>
        <v>368.18187272034982</v>
      </c>
    </row>
    <row r="341" spans="1:59" ht="13.75" customHeight="1">
      <c r="A341" s="171" t="s">
        <v>166</v>
      </c>
      <c r="B341" s="165" t="s">
        <v>448</v>
      </c>
      <c r="C341" s="165"/>
      <c r="D341" s="165" t="s">
        <v>168</v>
      </c>
      <c r="E341" s="167"/>
      <c r="F341" s="168" t="s">
        <v>454</v>
      </c>
      <c r="G341" s="168" t="s">
        <v>291</v>
      </c>
      <c r="H341" s="168"/>
      <c r="I341" s="168"/>
      <c r="U341" s="128">
        <v>34302.92</v>
      </c>
      <c r="V341" s="128">
        <v>33093.68</v>
      </c>
      <c r="W341" s="128">
        <v>35358</v>
      </c>
      <c r="X341" s="128">
        <v>50289</v>
      </c>
      <c r="Y341" s="128">
        <v>46841</v>
      </c>
      <c r="Z341" s="128">
        <v>50028.72</v>
      </c>
      <c r="AA341" s="128">
        <v>63088.539951190418</v>
      </c>
      <c r="AB341" s="128">
        <v>65199</v>
      </c>
      <c r="AC341" s="128">
        <v>60187.062225749447</v>
      </c>
      <c r="AD341" s="128">
        <v>102995.6</v>
      </c>
      <c r="AE341" s="128">
        <v>99907</v>
      </c>
      <c r="AF341" s="128">
        <v>70907.220506559956</v>
      </c>
      <c r="AG341" s="128">
        <v>86005.697410973371</v>
      </c>
      <c r="AH341" s="128">
        <v>86172.866983000014</v>
      </c>
      <c r="AI341" s="128">
        <v>87564.276151013502</v>
      </c>
      <c r="AJ341" s="128">
        <v>89820.964661471546</v>
      </c>
      <c r="AK341" s="128">
        <v>91983.853490519788</v>
      </c>
      <c r="AL341" s="128">
        <v>94198.824682571503</v>
      </c>
      <c r="AM341" s="128">
        <v>96467.13238092784</v>
      </c>
      <c r="AN341" s="128">
        <v>98790.060928660576</v>
      </c>
      <c r="AO341" s="128">
        <v>101168.92559582273</v>
      </c>
      <c r="AP341" s="128">
        <v>103605.07332417015</v>
      </c>
      <c r="AQ341" s="128">
        <v>106099.88348981617</v>
      </c>
      <c r="AR341" s="128">
        <v>108654.76868425094</v>
      </c>
      <c r="AS341" s="128">
        <v>111271.17551416771</v>
      </c>
      <c r="AT341" s="128">
        <v>113950.58542054889</v>
      </c>
      <c r="AU341" s="128">
        <v>116694.51551747571</v>
      </c>
      <c r="AV341" s="128">
        <v>119504.51945113654</v>
      </c>
      <c r="AW341" s="128">
        <v>122382.18827951993</v>
      </c>
      <c r="AX341" s="128">
        <v>125329.15137329076</v>
      </c>
      <c r="AY341" s="128">
        <v>128347.07733835961</v>
      </c>
      <c r="AZ341" s="128">
        <v>131437.6749606673</v>
      </c>
      <c r="BA341" s="128">
        <v>134602.6941737202</v>
      </c>
      <c r="BB341" s="128">
        <v>137843.92704942339</v>
      </c>
      <c r="BC341" s="128">
        <f t="shared" si="132"/>
        <v>141163.20881277352</v>
      </c>
      <c r="BD341" s="128">
        <f t="shared" si="132"/>
        <v>144562.41888098512</v>
      </c>
      <c r="BE341" s="128">
        <f t="shared" si="132"/>
        <v>148043.48192763925</v>
      </c>
      <c r="BF341" s="128">
        <f t="shared" si="132"/>
        <v>151608.36897245681</v>
      </c>
      <c r="BG341" s="128">
        <f t="shared" si="132"/>
        <v>155259.09849731359</v>
      </c>
    </row>
    <row r="342" spans="1:59" ht="13.75" customHeight="1">
      <c r="A342" s="171" t="s">
        <v>166</v>
      </c>
      <c r="B342" s="165" t="s">
        <v>448</v>
      </c>
      <c r="C342" s="165"/>
      <c r="D342" s="165" t="s">
        <v>168</v>
      </c>
      <c r="E342" s="167"/>
      <c r="F342" s="168" t="s">
        <v>455</v>
      </c>
      <c r="G342" s="168" t="s">
        <v>291</v>
      </c>
      <c r="H342" s="168"/>
      <c r="I342" s="168"/>
      <c r="U342" s="128">
        <v>8486.2800000000007</v>
      </c>
      <c r="V342" s="128">
        <v>8995.5</v>
      </c>
      <c r="W342" s="128">
        <v>7818</v>
      </c>
      <c r="X342" s="128">
        <v>9984</v>
      </c>
      <c r="Y342" s="128">
        <v>11617</v>
      </c>
      <c r="Z342" s="128">
        <v>11633</v>
      </c>
      <c r="AA342" s="128">
        <v>12014.562400000001</v>
      </c>
      <c r="AB342" s="128">
        <v>12476</v>
      </c>
      <c r="AC342" s="128">
        <v>13342.761666666667</v>
      </c>
      <c r="AD342" s="128">
        <v>13024.14</v>
      </c>
      <c r="AE342" s="128">
        <v>14876</v>
      </c>
      <c r="AF342" s="128">
        <v>15908.907057186181</v>
      </c>
      <c r="AG342" s="128">
        <v>16918.190713251177</v>
      </c>
      <c r="AH342" s="128">
        <v>17452.629986915304</v>
      </c>
      <c r="AI342" s="128">
        <v>18144.899796265199</v>
      </c>
      <c r="AJ342" s="128">
        <v>18581.828983359264</v>
      </c>
      <c r="AK342" s="128">
        <v>19029.279425278557</v>
      </c>
      <c r="AL342" s="128">
        <v>19487.504473839264</v>
      </c>
      <c r="AM342" s="128">
        <v>19956.763581569314</v>
      </c>
      <c r="AN342" s="128">
        <v>20437.322448613504</v>
      </c>
      <c r="AO342" s="128">
        <v>20929.45317317612</v>
      </c>
      <c r="AP342" s="128">
        <v>21433.434405586202</v>
      </c>
      <c r="AQ342" s="128">
        <v>21949.551506072719</v>
      </c>
      <c r="AR342" s="128">
        <v>22478.096706338951</v>
      </c>
      <c r="AS342" s="128">
        <v>23019.369275027591</v>
      </c>
      <c r="AT342" s="128">
        <v>23573.67568717026</v>
      </c>
      <c r="AU342" s="128">
        <v>24141.329797717321</v>
      </c>
      <c r="AV342" s="128">
        <v>24722.653019246354</v>
      </c>
      <c r="AW342" s="128">
        <v>25317.974503949808</v>
      </c>
      <c r="AX342" s="128">
        <v>25927.631330004919</v>
      </c>
      <c r="AY342" s="128">
        <v>26551.968692431441</v>
      </c>
      <c r="AZ342" s="128">
        <v>27191.340098545192</v>
      </c>
      <c r="BA342" s="128">
        <v>27846.107568118165</v>
      </c>
      <c r="BB342" s="128">
        <v>28516.64183835845</v>
      </c>
      <c r="BC342" s="128">
        <f t="shared" si="132"/>
        <v>29203.322573826117</v>
      </c>
      <c r="BD342" s="128">
        <f t="shared" si="132"/>
        <v>29906.538581403845</v>
      </c>
      <c r="BE342" s="128">
        <f t="shared" si="132"/>
        <v>30626.688030444046</v>
      </c>
      <c r="BF342" s="128">
        <f t="shared" si="132"/>
        <v>31364.178678217133</v>
      </c>
      <c r="BG342" s="128">
        <f t="shared" si="132"/>
        <v>32119.428100788598</v>
      </c>
    </row>
    <row r="343" spans="1:59" ht="13.75" customHeight="1">
      <c r="A343" s="171" t="s">
        <v>166</v>
      </c>
      <c r="B343" s="165" t="s">
        <v>448</v>
      </c>
      <c r="C343" s="165"/>
      <c r="D343" s="165" t="s">
        <v>168</v>
      </c>
      <c r="E343" s="167"/>
      <c r="F343" s="168" t="s">
        <v>456</v>
      </c>
      <c r="G343" s="168" t="s">
        <v>291</v>
      </c>
      <c r="H343" s="168"/>
      <c r="I343" s="168" t="s">
        <v>457</v>
      </c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</row>
    <row r="344" spans="1:59" ht="13.75" customHeight="1">
      <c r="A344" s="171" t="s">
        <v>166</v>
      </c>
      <c r="B344" s="165" t="s">
        <v>448</v>
      </c>
      <c r="C344" s="165"/>
      <c r="D344" s="165" t="s">
        <v>168</v>
      </c>
      <c r="E344" s="167"/>
      <c r="F344" s="168" t="s">
        <v>458</v>
      </c>
      <c r="G344" s="168" t="s">
        <v>291</v>
      </c>
      <c r="H344" s="168"/>
      <c r="I344" s="168"/>
      <c r="U344" s="128">
        <v>26328.38</v>
      </c>
      <c r="V344" s="128">
        <v>27279.35</v>
      </c>
      <c r="W344" s="128">
        <v>23080</v>
      </c>
      <c r="X344" s="128">
        <v>0</v>
      </c>
      <c r="Y344" s="128">
        <v>0</v>
      </c>
      <c r="Z344" s="128">
        <v>0</v>
      </c>
      <c r="AA344" s="128">
        <v>0</v>
      </c>
      <c r="AB344" s="128">
        <v>0</v>
      </c>
      <c r="AC344" s="128">
        <v>0</v>
      </c>
      <c r="AD344" s="128">
        <v>0</v>
      </c>
      <c r="AE344" s="128">
        <v>0</v>
      </c>
      <c r="AF344" s="128">
        <v>0</v>
      </c>
      <c r="AG344" s="128">
        <v>0</v>
      </c>
      <c r="AH344" s="128">
        <v>0</v>
      </c>
      <c r="AI344" s="128">
        <v>0</v>
      </c>
      <c r="AJ344" s="128">
        <v>0</v>
      </c>
      <c r="AK344" s="128">
        <v>0</v>
      </c>
      <c r="AL344" s="128">
        <v>0</v>
      </c>
      <c r="AM344" s="128">
        <v>0</v>
      </c>
      <c r="AN344" s="128">
        <v>0</v>
      </c>
      <c r="AO344" s="128">
        <v>0</v>
      </c>
      <c r="AP344" s="128">
        <v>0</v>
      </c>
      <c r="AQ344" s="128">
        <v>0</v>
      </c>
      <c r="AR344" s="128">
        <v>0</v>
      </c>
      <c r="AS344" s="128">
        <v>0</v>
      </c>
      <c r="AT344" s="128">
        <v>0</v>
      </c>
      <c r="AU344" s="128">
        <v>0</v>
      </c>
      <c r="AV344" s="128">
        <v>0</v>
      </c>
      <c r="AW344" s="128">
        <v>0</v>
      </c>
      <c r="AX344" s="128">
        <v>0</v>
      </c>
      <c r="AY344" s="128">
        <v>0</v>
      </c>
      <c r="AZ344" s="128">
        <v>0</v>
      </c>
      <c r="BA344" s="128">
        <v>0</v>
      </c>
      <c r="BB344" s="128">
        <v>0</v>
      </c>
      <c r="BC344" s="128">
        <f>BB344</f>
        <v>0</v>
      </c>
      <c r="BD344" s="128">
        <f t="shared" ref="BD344:BG344" si="133">BC344</f>
        <v>0</v>
      </c>
      <c r="BE344" s="128">
        <f t="shared" si="133"/>
        <v>0</v>
      </c>
      <c r="BF344" s="128">
        <f t="shared" si="133"/>
        <v>0</v>
      </c>
      <c r="BG344" s="128">
        <f t="shared" si="133"/>
        <v>0</v>
      </c>
    </row>
    <row r="345" spans="1:59" ht="13.75" customHeight="1">
      <c r="A345" s="171" t="s">
        <v>166</v>
      </c>
      <c r="B345" s="165" t="s">
        <v>448</v>
      </c>
      <c r="C345" s="165"/>
      <c r="D345" s="165" t="s">
        <v>168</v>
      </c>
      <c r="E345" s="167"/>
      <c r="F345" s="168" t="s">
        <v>459</v>
      </c>
      <c r="G345" s="168" t="s">
        <v>4</v>
      </c>
      <c r="H345" s="168"/>
      <c r="I345" s="168"/>
      <c r="W345" s="151">
        <v>1197.0833333333333</v>
      </c>
      <c r="X345" s="128">
        <v>691.25</v>
      </c>
      <c r="Y345" s="128">
        <v>642.54166666666663</v>
      </c>
      <c r="Z345" s="128">
        <v>823.70833333333337</v>
      </c>
      <c r="AA345" s="128">
        <v>828.5763888888888</v>
      </c>
      <c r="AB345" s="128">
        <v>646.58333333333337</v>
      </c>
      <c r="AC345" s="128">
        <v>494.45833333333331</v>
      </c>
      <c r="AD345" s="128">
        <v>928.27499999999998</v>
      </c>
      <c r="AE345" s="128">
        <v>1064</v>
      </c>
      <c r="AF345" s="128">
        <v>914.58619579855622</v>
      </c>
      <c r="AG345" s="128">
        <v>919.1558115326352</v>
      </c>
      <c r="AH345" s="128">
        <v>889.41221353170897</v>
      </c>
      <c r="AI345" s="128">
        <v>899.23944405927989</v>
      </c>
      <c r="AJ345" s="128">
        <v>917.384059000913</v>
      </c>
      <c r="AK345" s="128">
        <v>921.05359523691664</v>
      </c>
      <c r="AL345" s="128">
        <v>924.73780961786429</v>
      </c>
      <c r="AM345" s="128">
        <v>928.4367608563357</v>
      </c>
      <c r="AN345" s="128">
        <v>932.15050789976101</v>
      </c>
      <c r="AO345" s="128">
        <v>935.87910993136006</v>
      </c>
      <c r="AP345" s="128">
        <v>939.62262637108552</v>
      </c>
      <c r="AQ345" s="128">
        <v>943.38111687656988</v>
      </c>
      <c r="AR345" s="128">
        <v>947.15464134407614</v>
      </c>
      <c r="AS345" s="128">
        <v>950.94325990945242</v>
      </c>
      <c r="AT345" s="128">
        <v>954.74703294909023</v>
      </c>
      <c r="AU345" s="128">
        <v>958.56602108088657</v>
      </c>
      <c r="AV345" s="128">
        <v>962.40028516521011</v>
      </c>
      <c r="AW345" s="128">
        <v>966.24988630587097</v>
      </c>
      <c r="AX345" s="128">
        <v>970.11488585109441</v>
      </c>
      <c r="AY345" s="128">
        <v>973.99534539449883</v>
      </c>
      <c r="AZ345" s="128">
        <v>977.89132677607688</v>
      </c>
      <c r="BA345" s="128">
        <v>981.80289208318118</v>
      </c>
      <c r="BB345" s="128">
        <v>985.7301036515139</v>
      </c>
      <c r="BC345" s="128">
        <f t="shared" ref="BC345:BG346" si="134">BB345*(1+((BB345-BA345)/BA345))</f>
        <v>989.67302406611998</v>
      </c>
      <c r="BD345" s="128">
        <f t="shared" si="134"/>
        <v>993.63171616238446</v>
      </c>
      <c r="BE345" s="128">
        <f t="shared" si="134"/>
        <v>997.606243027034</v>
      </c>
      <c r="BF345" s="128">
        <f t="shared" si="134"/>
        <v>1001.5966679991421</v>
      </c>
      <c r="BG345" s="128">
        <f t="shared" si="134"/>
        <v>1005.6030546711387</v>
      </c>
    </row>
    <row r="346" spans="1:59" ht="13.75" customHeight="1">
      <c r="A346" s="171" t="s">
        <v>166</v>
      </c>
      <c r="B346" s="165" t="s">
        <v>448</v>
      </c>
      <c r="C346" s="165"/>
      <c r="D346" s="165" t="s">
        <v>168</v>
      </c>
      <c r="E346" s="167"/>
      <c r="F346" s="168" t="s">
        <v>460</v>
      </c>
      <c r="G346" s="168" t="s">
        <v>4</v>
      </c>
      <c r="H346" s="168"/>
      <c r="I346" s="168"/>
      <c r="X346" s="116">
        <v>0</v>
      </c>
      <c r="Y346" s="128">
        <v>1095.8490566037735</v>
      </c>
      <c r="Z346" s="128">
        <v>1193.4615384615386</v>
      </c>
      <c r="AA346" s="128">
        <v>1258.2352941176471</v>
      </c>
      <c r="AB346" s="128">
        <v>898.07692307692309</v>
      </c>
      <c r="AC346" s="128">
        <v>747.88461538461536</v>
      </c>
      <c r="AD346" s="128">
        <v>1046.7924528301887</v>
      </c>
      <c r="AE346" s="128">
        <v>1018</v>
      </c>
      <c r="AF346" s="128">
        <v>915.14354903550247</v>
      </c>
      <c r="AG346" s="128">
        <v>1089.5516886431435</v>
      </c>
      <c r="AH346" s="128">
        <v>1060.4789890040233</v>
      </c>
      <c r="AI346" s="128">
        <v>1074.5015607291969</v>
      </c>
      <c r="AJ346" s="128">
        <v>1078.7995669721136</v>
      </c>
      <c r="AK346" s="128">
        <v>1083.114765240002</v>
      </c>
      <c r="AL346" s="128">
        <v>1087.447224300962</v>
      </c>
      <c r="AM346" s="128">
        <v>1091.7970131981658</v>
      </c>
      <c r="AN346" s="128">
        <v>1096.1642012509585</v>
      </c>
      <c r="AO346" s="128">
        <v>1100.5488580559625</v>
      </c>
      <c r="AP346" s="128">
        <v>1104.9510534881863</v>
      </c>
      <c r="AQ346" s="128">
        <v>1109.3708577021391</v>
      </c>
      <c r="AR346" s="128">
        <v>1113.8083411329476</v>
      </c>
      <c r="AS346" s="128">
        <v>1118.2635744974793</v>
      </c>
      <c r="AT346" s="128">
        <v>1122.7366287954692</v>
      </c>
      <c r="AU346" s="128">
        <v>1127.227575310651</v>
      </c>
      <c r="AV346" s="128">
        <v>1131.7364856118936</v>
      </c>
      <c r="AW346" s="128">
        <v>1136.2634315543412</v>
      </c>
      <c r="AX346" s="128">
        <v>1140.8084852805587</v>
      </c>
      <c r="AY346" s="128">
        <v>1145.3717192216809</v>
      </c>
      <c r="AZ346" s="128">
        <v>1149.9532060985675</v>
      </c>
      <c r="BA346" s="128">
        <v>1154.5530189229619</v>
      </c>
      <c r="BB346" s="128">
        <v>1159.1712309986538</v>
      </c>
      <c r="BC346" s="128">
        <f t="shared" si="134"/>
        <v>1163.8079159226484</v>
      </c>
      <c r="BD346" s="128">
        <f t="shared" si="134"/>
        <v>1168.4631475863389</v>
      </c>
      <c r="BE346" s="128">
        <f t="shared" si="134"/>
        <v>1173.1370001766843</v>
      </c>
      <c r="BF346" s="128">
        <f t="shared" si="134"/>
        <v>1177.829548177391</v>
      </c>
      <c r="BG346" s="128">
        <f t="shared" si="134"/>
        <v>1182.5408663701005</v>
      </c>
    </row>
    <row r="347" spans="1:59" ht="13.75" customHeight="1" outlineLevel="1">
      <c r="A347" s="171"/>
      <c r="B347" s="165"/>
      <c r="C347" s="165"/>
      <c r="D347" s="165"/>
      <c r="E347" s="167"/>
      <c r="F347" s="168"/>
      <c r="G347" s="168"/>
      <c r="H347" s="168"/>
      <c r="I347" s="168"/>
      <c r="Y347" s="120"/>
      <c r="Z347" s="128"/>
      <c r="AA347" s="128"/>
      <c r="AB347" s="128"/>
      <c r="AC347" s="128"/>
      <c r="AD347" s="128"/>
      <c r="AE347" s="128"/>
      <c r="AF347" s="128"/>
      <c r="AG347" s="128"/>
      <c r="AH347" s="128"/>
    </row>
    <row r="348" spans="1:59" ht="13.75" customHeight="1" outlineLevel="1">
      <c r="A348" s="171"/>
      <c r="B348" s="165"/>
      <c r="C348" s="165"/>
      <c r="D348" s="165"/>
      <c r="E348" s="167"/>
      <c r="F348" s="168"/>
      <c r="G348" s="168"/>
      <c r="H348" s="168"/>
      <c r="I348" s="168"/>
      <c r="Y348" s="120"/>
      <c r="Z348" s="157"/>
      <c r="AA348" s="157"/>
      <c r="AB348" s="157"/>
      <c r="AC348" s="157"/>
      <c r="AD348" s="157"/>
      <c r="AE348" s="157"/>
      <c r="AF348" s="157"/>
      <c r="AG348" s="157"/>
      <c r="AH348" s="157"/>
    </row>
    <row r="349" spans="1:59" ht="13.75" customHeight="1" outlineLevel="1">
      <c r="A349" s="171"/>
      <c r="B349" s="165"/>
      <c r="C349" s="165"/>
      <c r="D349" s="165"/>
      <c r="E349" s="167"/>
      <c r="F349" s="168"/>
      <c r="G349" s="168"/>
      <c r="H349" s="168"/>
      <c r="I349" s="168"/>
      <c r="Y349" s="120"/>
      <c r="Z349" s="157"/>
      <c r="AA349" s="157"/>
      <c r="AB349" s="157"/>
      <c r="AC349" s="157"/>
      <c r="AD349" s="157"/>
      <c r="AE349" s="157"/>
      <c r="AF349" s="157"/>
      <c r="AG349" s="157"/>
      <c r="AH349" s="157"/>
    </row>
    <row r="350" spans="1:59" ht="13.75" customHeight="1" outlineLevel="1">
      <c r="A350" s="171"/>
      <c r="B350" s="165"/>
      <c r="C350" s="165"/>
      <c r="D350" s="165"/>
      <c r="E350" s="167"/>
      <c r="F350" s="168"/>
      <c r="G350" s="168"/>
      <c r="H350" s="168"/>
      <c r="I350" s="168"/>
      <c r="Y350" s="120"/>
      <c r="Z350" s="157"/>
      <c r="AA350" s="157"/>
      <c r="AB350" s="157"/>
      <c r="AC350" s="157"/>
      <c r="AD350" s="157"/>
      <c r="AE350" s="157"/>
      <c r="AF350" s="157"/>
      <c r="AG350" s="157"/>
      <c r="AH350" s="157"/>
    </row>
    <row r="351" spans="1:59" ht="13.75" customHeight="1" outlineLevel="1">
      <c r="A351" s="171"/>
      <c r="B351" s="165"/>
      <c r="C351" s="165"/>
      <c r="D351" s="165"/>
      <c r="E351" s="167"/>
      <c r="F351" s="168"/>
      <c r="G351" s="168"/>
      <c r="H351" s="168"/>
      <c r="I351" s="168"/>
      <c r="Y351" s="120"/>
      <c r="Z351" s="132"/>
      <c r="AA351" s="132"/>
      <c r="AB351" s="132"/>
      <c r="AC351" s="132"/>
      <c r="AD351" s="132"/>
      <c r="AE351" s="132"/>
      <c r="AF351" s="132"/>
      <c r="AG351" s="132"/>
      <c r="AH351" s="132"/>
    </row>
    <row r="352" spans="1:59" ht="13.75" customHeight="1" outlineLevel="1">
      <c r="A352" s="171"/>
      <c r="B352" s="165"/>
      <c r="C352" s="165"/>
      <c r="D352" s="165"/>
      <c r="E352" s="167"/>
      <c r="F352" s="168"/>
      <c r="G352" s="168"/>
      <c r="H352" s="168"/>
      <c r="I352" s="168"/>
      <c r="Y352" s="120"/>
      <c r="Z352" s="157"/>
      <c r="AA352" s="157"/>
      <c r="AB352" s="157"/>
      <c r="AC352" s="157"/>
      <c r="AD352" s="157"/>
      <c r="AE352" s="157"/>
      <c r="AF352" s="157"/>
      <c r="AG352" s="157"/>
      <c r="AH352" s="157"/>
    </row>
    <row r="353" spans="1:34" ht="13.75" customHeight="1" outlineLevel="1">
      <c r="A353" s="171"/>
      <c r="B353" s="165"/>
      <c r="C353" s="165"/>
      <c r="D353" s="165"/>
      <c r="E353" s="167"/>
      <c r="F353" s="168"/>
      <c r="G353" s="168"/>
      <c r="H353" s="168"/>
      <c r="I353" s="168"/>
      <c r="Y353" s="120"/>
      <c r="Z353" s="157"/>
      <c r="AA353" s="157"/>
      <c r="AB353" s="157"/>
      <c r="AC353" s="157"/>
      <c r="AD353" s="157"/>
      <c r="AE353" s="157"/>
      <c r="AF353" s="157"/>
      <c r="AG353" s="157"/>
      <c r="AH353" s="157"/>
    </row>
    <row r="354" spans="1:34" ht="13.75" customHeight="1" outlineLevel="1">
      <c r="A354" s="171"/>
      <c r="B354" s="165"/>
      <c r="C354" s="165"/>
      <c r="D354" s="165"/>
      <c r="E354" s="167"/>
      <c r="F354" s="168"/>
      <c r="G354" s="168"/>
      <c r="H354" s="168"/>
      <c r="I354" s="168"/>
      <c r="Z354" s="157"/>
      <c r="AA354" s="157"/>
      <c r="AB354" s="157"/>
      <c r="AC354" s="157"/>
      <c r="AD354" s="157"/>
      <c r="AE354" s="157"/>
      <c r="AF354" s="157"/>
      <c r="AG354" s="157"/>
      <c r="AH354" s="157"/>
    </row>
    <row r="355" spans="1:34" ht="13.75" customHeight="1" outlineLevel="1">
      <c r="A355" s="171"/>
      <c r="B355" s="165"/>
      <c r="C355" s="165"/>
      <c r="D355" s="165"/>
      <c r="E355" s="167"/>
      <c r="F355" s="168"/>
      <c r="G355" s="168"/>
      <c r="H355" s="168"/>
      <c r="I355" s="168"/>
    </row>
    <row r="356" spans="1:34" ht="13.75" customHeight="1" outlineLevel="1">
      <c r="A356" s="171"/>
      <c r="B356" s="165"/>
      <c r="C356" s="165"/>
      <c r="D356" s="165"/>
      <c r="E356" s="167"/>
      <c r="F356" s="168"/>
      <c r="G356" s="168"/>
      <c r="H356" s="168"/>
      <c r="I356" s="168"/>
      <c r="Z356" s="128"/>
      <c r="AA356" s="128"/>
      <c r="AB356" s="128"/>
      <c r="AC356" s="128"/>
      <c r="AD356" s="128"/>
      <c r="AE356" s="128"/>
      <c r="AF356" s="128"/>
      <c r="AG356" s="128"/>
      <c r="AH356" s="128"/>
    </row>
    <row r="357" spans="1:34" ht="13.75" customHeight="1" outlineLevel="1">
      <c r="A357" s="171"/>
      <c r="B357" s="165"/>
      <c r="C357" s="165"/>
      <c r="D357" s="165"/>
      <c r="E357" s="167"/>
      <c r="F357" s="168"/>
      <c r="G357" s="168"/>
      <c r="H357" s="168"/>
      <c r="I357" s="168"/>
      <c r="Z357" s="128"/>
      <c r="AA357" s="128"/>
      <c r="AB357" s="128"/>
      <c r="AC357" s="128"/>
      <c r="AD357" s="128"/>
      <c r="AE357" s="128"/>
      <c r="AF357" s="128"/>
      <c r="AG357" s="128"/>
      <c r="AH357" s="128"/>
    </row>
    <row r="358" spans="1:34" ht="13.75" customHeight="1" outlineLevel="1">
      <c r="A358" s="171"/>
      <c r="B358" s="165"/>
      <c r="C358" s="165"/>
      <c r="D358" s="165"/>
      <c r="E358" s="167"/>
      <c r="F358" s="168"/>
      <c r="G358" s="168"/>
      <c r="H358" s="168"/>
      <c r="I358" s="168"/>
      <c r="Z358" s="128"/>
      <c r="AA358" s="128"/>
      <c r="AB358" s="128"/>
      <c r="AC358" s="128"/>
      <c r="AD358" s="128"/>
      <c r="AE358" s="128"/>
      <c r="AF358" s="128"/>
      <c r="AG358" s="128"/>
      <c r="AH358" s="128"/>
    </row>
    <row r="359" spans="1:34" ht="13.75" customHeight="1" outlineLevel="1">
      <c r="A359" s="171"/>
      <c r="B359" s="165"/>
      <c r="C359" s="165"/>
      <c r="D359" s="165"/>
      <c r="E359" s="167"/>
      <c r="F359" s="168"/>
      <c r="G359" s="168"/>
      <c r="H359" s="168"/>
      <c r="I359" s="168"/>
      <c r="Z359" s="128"/>
      <c r="AA359" s="128"/>
      <c r="AB359" s="128"/>
      <c r="AC359" s="128"/>
      <c r="AD359" s="128"/>
      <c r="AE359" s="128"/>
      <c r="AF359" s="128"/>
      <c r="AG359" s="128"/>
      <c r="AH359" s="128"/>
    </row>
    <row r="360" spans="1:34" ht="13.75" customHeight="1" outlineLevel="1">
      <c r="A360" s="171"/>
      <c r="B360" s="165"/>
      <c r="C360" s="165"/>
      <c r="D360" s="165"/>
      <c r="E360" s="167"/>
      <c r="F360" s="168"/>
      <c r="G360" s="168"/>
      <c r="H360" s="168"/>
      <c r="I360" s="168"/>
      <c r="Z360" s="128"/>
      <c r="AA360" s="128"/>
      <c r="AB360" s="128"/>
      <c r="AC360" s="128"/>
      <c r="AD360" s="128"/>
      <c r="AE360" s="128"/>
      <c r="AF360" s="128"/>
      <c r="AG360" s="128"/>
      <c r="AH360" s="128"/>
    </row>
    <row r="361" spans="1:34" ht="13.75" customHeight="1" outlineLevel="1">
      <c r="A361" s="171"/>
      <c r="B361" s="165"/>
      <c r="C361" s="165"/>
      <c r="D361" s="165"/>
      <c r="E361" s="167"/>
      <c r="F361" s="168"/>
      <c r="G361" s="168"/>
      <c r="H361" s="168"/>
      <c r="I361" s="168"/>
      <c r="Z361" s="128"/>
      <c r="AA361" s="128"/>
      <c r="AB361" s="128"/>
      <c r="AC361" s="128"/>
      <c r="AD361" s="128"/>
      <c r="AE361" s="128"/>
      <c r="AF361" s="128"/>
      <c r="AG361" s="128"/>
      <c r="AH361" s="128"/>
    </row>
    <row r="362" spans="1:34" ht="13.75" customHeight="1" outlineLevel="1">
      <c r="A362" s="171"/>
      <c r="B362" s="165"/>
      <c r="C362" s="165"/>
      <c r="D362" s="165"/>
      <c r="E362" s="167"/>
      <c r="F362" s="168"/>
      <c r="G362" s="168"/>
      <c r="H362" s="168"/>
      <c r="I362" s="168"/>
      <c r="Z362" s="128"/>
      <c r="AA362" s="128"/>
      <c r="AB362" s="128"/>
      <c r="AC362" s="128"/>
      <c r="AD362" s="128"/>
      <c r="AE362" s="128"/>
      <c r="AF362" s="128"/>
      <c r="AG362" s="128"/>
      <c r="AH362" s="128"/>
    </row>
    <row r="363" spans="1:34" ht="13.75" customHeight="1" outlineLevel="1">
      <c r="A363" s="171"/>
      <c r="B363" s="165"/>
      <c r="C363" s="165"/>
      <c r="D363" s="165"/>
      <c r="E363" s="167"/>
      <c r="F363" s="168"/>
      <c r="G363" s="168"/>
      <c r="H363" s="168"/>
      <c r="I363" s="168"/>
    </row>
    <row r="364" spans="1:34" ht="13.75" customHeight="1" outlineLevel="1">
      <c r="A364" s="171"/>
      <c r="B364" s="165"/>
      <c r="C364" s="165"/>
      <c r="D364" s="165"/>
      <c r="E364" s="167"/>
      <c r="F364" s="168"/>
      <c r="G364" s="168"/>
      <c r="H364" s="168"/>
      <c r="I364" s="168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</row>
    <row r="365" spans="1:34" ht="13.75" customHeight="1" outlineLevel="1">
      <c r="A365" s="171"/>
      <c r="B365" s="165"/>
      <c r="C365" s="165"/>
      <c r="D365" s="165"/>
      <c r="E365" s="167"/>
      <c r="F365" s="168"/>
      <c r="G365" s="168"/>
      <c r="H365" s="168"/>
      <c r="I365" s="168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</row>
    <row r="366" spans="1:34" ht="13.75" customHeight="1" outlineLevel="1">
      <c r="A366" s="171"/>
      <c r="B366" s="165"/>
      <c r="C366" s="165"/>
      <c r="D366" s="165"/>
      <c r="E366" s="167"/>
      <c r="F366" s="168"/>
      <c r="G366" s="168"/>
      <c r="H366" s="168"/>
      <c r="I366" s="168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</row>
    <row r="367" spans="1:34" ht="13.75" customHeight="1" outlineLevel="1">
      <c r="A367" s="171"/>
      <c r="B367" s="165"/>
      <c r="C367" s="165"/>
      <c r="D367" s="165"/>
      <c r="E367" s="167"/>
      <c r="F367" s="168"/>
      <c r="G367" s="168"/>
      <c r="H367" s="168"/>
      <c r="I367" s="168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</row>
    <row r="368" spans="1:34" ht="13.75" customHeight="1" outlineLevel="1">
      <c r="A368" s="171"/>
      <c r="B368" s="165"/>
      <c r="C368" s="165"/>
      <c r="D368" s="165"/>
      <c r="E368" s="167"/>
      <c r="F368" s="168"/>
      <c r="G368" s="168"/>
      <c r="H368" s="168"/>
      <c r="I368" s="168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</row>
    <row r="369" spans="1:34" ht="13.75" customHeight="1" outlineLevel="1">
      <c r="A369" s="171"/>
      <c r="B369" s="165"/>
      <c r="C369" s="165"/>
      <c r="D369" s="165"/>
      <c r="E369" s="167"/>
      <c r="F369" s="168"/>
      <c r="G369" s="168"/>
      <c r="H369" s="168"/>
      <c r="I369" s="168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</row>
    <row r="370" spans="1:34" ht="13.75" customHeight="1">
      <c r="A370" s="141" t="s">
        <v>461</v>
      </c>
      <c r="B370" s="142" t="s">
        <v>462</v>
      </c>
      <c r="F370" s="168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</row>
    <row r="371" spans="1:34" ht="13.75" customHeight="1" outlineLevel="1">
      <c r="F371" s="168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</row>
    <row r="372" spans="1:34" ht="13.75" customHeight="1" outlineLevel="1">
      <c r="F372" s="168"/>
    </row>
    <row r="373" spans="1:34" ht="13.75" customHeight="1" outlineLevel="1">
      <c r="F373" s="168"/>
    </row>
    <row r="374" spans="1:34" ht="13.75" customHeight="1" outlineLevel="1">
      <c r="F374" s="168"/>
    </row>
    <row r="375" spans="1:34" ht="13.75" customHeight="1" outlineLevel="1">
      <c r="F375" s="168"/>
    </row>
    <row r="376" spans="1:34" ht="13.75" customHeight="1" outlineLevel="1">
      <c r="F376" s="168"/>
    </row>
    <row r="377" spans="1:34" ht="13.75" customHeight="1" outlineLevel="1">
      <c r="F377" s="168"/>
    </row>
    <row r="378" spans="1:34" ht="13.75" customHeight="1" outlineLevel="1">
      <c r="F378" s="168"/>
    </row>
    <row r="379" spans="1:34" ht="13.75" customHeight="1" outlineLevel="1">
      <c r="F379" s="168"/>
    </row>
    <row r="380" spans="1:34" ht="13.75" customHeight="1" outlineLevel="1">
      <c r="F380" s="168"/>
    </row>
    <row r="381" spans="1:34" ht="13.75" customHeight="1" outlineLevel="1">
      <c r="F381" s="168"/>
    </row>
    <row r="382" spans="1:34" ht="13.75" customHeight="1" outlineLevel="1">
      <c r="F382" s="168"/>
    </row>
    <row r="383" spans="1:34" ht="13.75" customHeight="1" outlineLevel="1">
      <c r="F383" s="168"/>
    </row>
    <row r="384" spans="1:34" ht="13.75" customHeight="1" outlineLevel="1">
      <c r="F384" s="168"/>
    </row>
    <row r="385" spans="1:34" ht="13.75" customHeight="1" outlineLevel="1">
      <c r="F385" s="168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</row>
    <row r="386" spans="1:34" ht="13.75" customHeight="1" outlineLevel="1">
      <c r="F386" s="168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</row>
    <row r="387" spans="1:34" ht="13.75" customHeight="1" outlineLevel="1">
      <c r="F387" s="168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</row>
    <row r="388" spans="1:34" ht="13.75" customHeight="1" outlineLevel="1">
      <c r="F388" s="168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</row>
    <row r="389" spans="1:34" ht="13.75" customHeight="1" outlineLevel="1">
      <c r="F389" s="168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</row>
    <row r="390" spans="1:34" ht="13.75" customHeight="1" outlineLevel="1">
      <c r="F390" s="168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</row>
    <row r="391" spans="1:34" ht="13.75" customHeight="1" outlineLevel="1">
      <c r="F391" s="168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</row>
    <row r="392" spans="1:34" ht="13.75" customHeight="1" outlineLevel="1">
      <c r="F392" s="168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</row>
    <row r="393" spans="1:34" ht="13.75" customHeight="1" outlineLevel="1">
      <c r="F393" s="168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</row>
    <row r="394" spans="1:34" ht="13.75" customHeight="1" outlineLevel="1">
      <c r="F394" s="168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</row>
    <row r="395" spans="1:34" ht="13.75" customHeight="1" outlineLevel="1">
      <c r="F395" s="168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</row>
    <row r="396" spans="1:34" ht="13.75" customHeight="1">
      <c r="A396" s="141" t="s">
        <v>166</v>
      </c>
      <c r="B396" s="142" t="s">
        <v>463</v>
      </c>
      <c r="F396" s="168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</row>
    <row r="397" spans="1:34" ht="13.75" customHeight="1" outlineLevel="1">
      <c r="F397" s="168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</row>
    <row r="398" spans="1:34" ht="13.75" customHeight="1" outlineLevel="1">
      <c r="F398" s="168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</row>
    <row r="399" spans="1:34" ht="13.75" customHeight="1" outlineLevel="1">
      <c r="F399" s="168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</row>
    <row r="400" spans="1:34" ht="13.75" customHeight="1" outlineLevel="1">
      <c r="F400" s="168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</row>
    <row r="401" spans="6:34" ht="13.75" customHeight="1" outlineLevel="1">
      <c r="F401" s="168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</row>
    <row r="402" spans="6:34" ht="13.75" customHeight="1" outlineLevel="1">
      <c r="F402" s="168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</row>
    <row r="403" spans="6:34" ht="13.75" customHeight="1" outlineLevel="1">
      <c r="F403" s="168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</row>
    <row r="404" spans="6:34" ht="13.75" customHeight="1" outlineLevel="1">
      <c r="F404" s="168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</row>
    <row r="405" spans="6:34" ht="13.75" customHeight="1" outlineLevel="1">
      <c r="F405" s="168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</row>
    <row r="406" spans="6:34" ht="13.75" customHeight="1" outlineLevel="1">
      <c r="F406" s="168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</row>
    <row r="407" spans="6:34" ht="13.75" customHeight="1" outlineLevel="1">
      <c r="F407" s="168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</row>
    <row r="408" spans="6:34" ht="13.75" customHeight="1" outlineLevel="1">
      <c r="F408" s="168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</row>
    <row r="409" spans="6:34" ht="13.75" customHeight="1" outlineLevel="1">
      <c r="F409" s="168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</row>
    <row r="410" spans="6:34" ht="13.75" customHeight="1" outlineLevel="1">
      <c r="F410" s="168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</row>
    <row r="411" spans="6:34" ht="13.75" customHeight="1" outlineLevel="1">
      <c r="F411" s="168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</row>
    <row r="412" spans="6:34" ht="13.75" customHeight="1" outlineLevel="1">
      <c r="F412" s="168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</row>
    <row r="413" spans="6:34" ht="13.75" customHeight="1" outlineLevel="1">
      <c r="F413" s="168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</row>
    <row r="414" spans="6:34" ht="13.75" customHeight="1" outlineLevel="1">
      <c r="F414" s="168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</row>
    <row r="415" spans="6:34" ht="13.75" customHeight="1" outlineLevel="1">
      <c r="F415" s="168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</row>
    <row r="416" spans="6:34" ht="13.75" customHeight="1" outlineLevel="1">
      <c r="F416" s="168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</row>
    <row r="417" spans="1:59" ht="13.75" customHeight="1" outlineLevel="1">
      <c r="F417" s="168"/>
    </row>
    <row r="418" spans="1:59" ht="13.75" customHeight="1" outlineLevel="1">
      <c r="F418" s="168"/>
    </row>
    <row r="419" spans="1:59" ht="13.75" customHeight="1" outlineLevel="1">
      <c r="F419" s="168"/>
    </row>
    <row r="420" spans="1:59" ht="13.75" customHeight="1" outlineLevel="1">
      <c r="F420" s="168"/>
    </row>
    <row r="421" spans="1:59" ht="13.75" customHeight="1" outlineLevel="1">
      <c r="F421" s="168"/>
      <c r="AB421" s="124"/>
    </row>
    <row r="422" spans="1:59" ht="13.75" customHeight="1">
      <c r="A422" s="141" t="s">
        <v>166</v>
      </c>
      <c r="B422" s="142" t="s">
        <v>464</v>
      </c>
      <c r="D422" s="142" t="s">
        <v>168</v>
      </c>
      <c r="F422" s="168" t="s">
        <v>465</v>
      </c>
      <c r="G422" s="109" t="s">
        <v>443</v>
      </c>
      <c r="I422" s="109" t="s">
        <v>466</v>
      </c>
      <c r="N422" s="133">
        <v>1400</v>
      </c>
      <c r="O422" s="133">
        <v>1800</v>
      </c>
      <c r="P422" s="133">
        <v>2400</v>
      </c>
      <c r="Q422" s="133">
        <v>2740</v>
      </c>
      <c r="R422" s="133">
        <v>1370</v>
      </c>
      <c r="S422" s="133">
        <v>1780</v>
      </c>
      <c r="T422" s="133">
        <v>2480</v>
      </c>
      <c r="U422" s="133">
        <v>2760</v>
      </c>
      <c r="V422" s="133">
        <v>2610</v>
      </c>
      <c r="W422" s="133">
        <v>2340</v>
      </c>
      <c r="X422" s="133">
        <v>1490</v>
      </c>
      <c r="Y422" s="133">
        <v>1310</v>
      </c>
      <c r="Z422" s="133">
        <v>1487.1610000000001</v>
      </c>
      <c r="AA422" s="133">
        <v>1621.12</v>
      </c>
      <c r="AB422" s="133">
        <v>1581.847</v>
      </c>
      <c r="AC422" s="133">
        <v>1443.3869999999999</v>
      </c>
      <c r="AD422" s="133">
        <v>1493.8019999999999</v>
      </c>
      <c r="AE422" s="133">
        <v>637.82299999999998</v>
      </c>
      <c r="AF422" s="133">
        <v>1051.2908</v>
      </c>
      <c r="AG422" s="133">
        <v>1108.2666666666667</v>
      </c>
      <c r="AH422" s="133">
        <f>+AG422*(1+AH$2*4)</f>
        <v>1150.0123860106708</v>
      </c>
      <c r="AI422" s="133">
        <f>+AH422*(1+AI$2*3)</f>
        <v>1195.084798217847</v>
      </c>
      <c r="AJ422" s="133">
        <f t="shared" ref="AJ422:AM422" si="135">+AI422*(1+AJ$2*1.5)</f>
        <v>1221.9742061777486</v>
      </c>
      <c r="AK422" s="133">
        <f t="shared" si="135"/>
        <v>1249.4686258167478</v>
      </c>
      <c r="AL422" s="133">
        <f t="shared" si="135"/>
        <v>1277.5816698976246</v>
      </c>
      <c r="AM422" s="133">
        <f t="shared" si="135"/>
        <v>1306.327257470321</v>
      </c>
      <c r="AN422" s="133">
        <f>+AM422*(1+AN$2*1.5)</f>
        <v>1335.7196207634031</v>
      </c>
      <c r="AO422" s="133">
        <f t="shared" ref="AO422:BD423" si="136">+AN422*(1+AO$2*1.5)</f>
        <v>1365.7733122305797</v>
      </c>
      <c r="AP422" s="133">
        <f t="shared" si="136"/>
        <v>1396.5032117557678</v>
      </c>
      <c r="AQ422" s="133">
        <f t="shared" si="136"/>
        <v>1427.9245340202724</v>
      </c>
      <c r="AR422" s="133">
        <f t="shared" si="136"/>
        <v>1460.0528360357284</v>
      </c>
      <c r="AS422" s="133">
        <f t="shared" si="136"/>
        <v>1492.9040248465324</v>
      </c>
      <c r="AT422" s="133">
        <f t="shared" si="136"/>
        <v>1526.4943654055794</v>
      </c>
      <c r="AU422" s="133">
        <f t="shared" si="136"/>
        <v>1560.8404886272049</v>
      </c>
      <c r="AV422" s="133">
        <f t="shared" si="136"/>
        <v>1595.9593996213168</v>
      </c>
      <c r="AW422" s="133">
        <f t="shared" si="136"/>
        <v>1631.8684861127965</v>
      </c>
      <c r="AX422" s="133">
        <f t="shared" si="136"/>
        <v>1668.5855270503343</v>
      </c>
      <c r="AY422" s="133">
        <f t="shared" si="136"/>
        <v>1706.1287014089669</v>
      </c>
      <c r="AZ422" s="133">
        <f t="shared" si="136"/>
        <v>1744.5165971906686</v>
      </c>
      <c r="BA422" s="133">
        <f t="shared" si="136"/>
        <v>1783.7682206274585</v>
      </c>
      <c r="BB422" s="133">
        <f t="shared" si="136"/>
        <v>1823.9030055915762</v>
      </c>
      <c r="BC422" s="133">
        <f t="shared" si="136"/>
        <v>1864.9408232173867</v>
      </c>
      <c r="BD422" s="133">
        <f t="shared" si="136"/>
        <v>1906.9019917397777</v>
      </c>
      <c r="BE422" s="133">
        <f t="shared" ref="BE422:BG423" si="137">+BD422*(1+BE$2*1.5)</f>
        <v>1949.8072865539227</v>
      </c>
      <c r="BF422" s="133">
        <f t="shared" si="137"/>
        <v>1993.677950501386</v>
      </c>
      <c r="BG422" s="133">
        <f t="shared" si="137"/>
        <v>2038.5357043876672</v>
      </c>
    </row>
    <row r="423" spans="1:59" ht="13.75" customHeight="1">
      <c r="A423" s="141" t="s">
        <v>166</v>
      </c>
      <c r="B423" s="142" t="s">
        <v>464</v>
      </c>
      <c r="D423" s="142" t="s">
        <v>168</v>
      </c>
      <c r="F423" s="168" t="s">
        <v>467</v>
      </c>
      <c r="G423" s="109" t="s">
        <v>443</v>
      </c>
      <c r="I423" s="109" t="s">
        <v>466</v>
      </c>
      <c r="N423" s="133"/>
      <c r="O423" s="133"/>
      <c r="P423" s="133"/>
      <c r="Q423" s="133"/>
      <c r="R423" s="133">
        <v>91</v>
      </c>
      <c r="S423" s="133">
        <v>122</v>
      </c>
      <c r="T423" s="133">
        <v>166</v>
      </c>
      <c r="U423" s="133">
        <v>174</v>
      </c>
      <c r="V423" s="133">
        <v>165</v>
      </c>
      <c r="W423" s="133">
        <v>141</v>
      </c>
      <c r="X423" s="133">
        <v>92</v>
      </c>
      <c r="Y423" s="133">
        <v>93</v>
      </c>
      <c r="Z423" s="133">
        <v>108.57599999999999</v>
      </c>
      <c r="AA423" s="133">
        <v>106.224</v>
      </c>
      <c r="AB423" s="133">
        <v>104.224</v>
      </c>
      <c r="AC423" s="133">
        <v>101.754</v>
      </c>
      <c r="AD423" s="133">
        <v>132.303</v>
      </c>
      <c r="AE423" s="133">
        <v>72.525000000000006</v>
      </c>
      <c r="AF423" s="133">
        <v>82.1</v>
      </c>
      <c r="AG423" s="133">
        <v>83.2</v>
      </c>
      <c r="AH423" s="133">
        <f t="shared" ref="AH423:AM423" si="138">+AG423*(1+AH$2*1.5)</f>
        <v>84.375228383842284</v>
      </c>
      <c r="AI423" s="133">
        <f t="shared" si="138"/>
        <v>86.028686694401699</v>
      </c>
      <c r="AJ423" s="133">
        <f t="shared" si="138"/>
        <v>87.964332145025736</v>
      </c>
      <c r="AK423" s="133">
        <f t="shared" si="138"/>
        <v>89.943529618288807</v>
      </c>
      <c r="AL423" s="133">
        <f t="shared" si="138"/>
        <v>91.967259034700305</v>
      </c>
      <c r="AM423" s="133">
        <f t="shared" si="138"/>
        <v>94.03652236298106</v>
      </c>
      <c r="AN423" s="133">
        <f>+AM423*(1+AN$2*1.5)</f>
        <v>96.152344116148129</v>
      </c>
      <c r="AO423" s="133">
        <f t="shared" si="136"/>
        <v>98.315771858761451</v>
      </c>
      <c r="AP423" s="133">
        <f t="shared" si="136"/>
        <v>100.52787672558358</v>
      </c>
      <c r="AQ423" s="133">
        <f t="shared" si="136"/>
        <v>102.7897539519092</v>
      </c>
      <c r="AR423" s="133">
        <f t="shared" si="136"/>
        <v>105.10252341582716</v>
      </c>
      <c r="AS423" s="133">
        <f t="shared" si="136"/>
        <v>107.46733019268328</v>
      </c>
      <c r="AT423" s="133">
        <f t="shared" si="136"/>
        <v>109.88534512201865</v>
      </c>
      <c r="AU423" s="133">
        <f t="shared" si="136"/>
        <v>112.35776538726407</v>
      </c>
      <c r="AV423" s="133">
        <f t="shared" si="136"/>
        <v>114.8858151084775</v>
      </c>
      <c r="AW423" s="133">
        <f t="shared" si="136"/>
        <v>117.47074594841824</v>
      </c>
      <c r="AX423" s="133">
        <f t="shared" si="136"/>
        <v>120.11383773225765</v>
      </c>
      <c r="AY423" s="133">
        <f t="shared" si="136"/>
        <v>122.81639908123344</v>
      </c>
      <c r="AZ423" s="133">
        <f t="shared" si="136"/>
        <v>125.57976806056119</v>
      </c>
      <c r="BA423" s="133">
        <f t="shared" si="136"/>
        <v>128.4053128419238</v>
      </c>
      <c r="BB423" s="133">
        <f t="shared" si="136"/>
        <v>131.29443238086708</v>
      </c>
      <c r="BC423" s="133">
        <f t="shared" si="136"/>
        <v>134.24855710943658</v>
      </c>
      <c r="BD423" s="133">
        <f t="shared" si="136"/>
        <v>137.26914964439888</v>
      </c>
      <c r="BE423" s="133">
        <f t="shared" si="137"/>
        <v>140.35770551139785</v>
      </c>
      <c r="BF423" s="133">
        <f t="shared" si="137"/>
        <v>143.51575388540431</v>
      </c>
      <c r="BG423" s="133">
        <f t="shared" si="137"/>
        <v>146.7448583478259</v>
      </c>
    </row>
    <row r="424" spans="1:59" ht="13.75" customHeight="1">
      <c r="A424" s="141" t="s">
        <v>166</v>
      </c>
      <c r="B424" s="142" t="s">
        <v>464</v>
      </c>
      <c r="D424" s="142" t="s">
        <v>168</v>
      </c>
      <c r="F424" s="168" t="s">
        <v>468</v>
      </c>
      <c r="G424" s="109" t="s">
        <v>443</v>
      </c>
      <c r="I424" s="109" t="s">
        <v>466</v>
      </c>
      <c r="N424" s="133"/>
      <c r="O424" s="133"/>
      <c r="P424" s="133"/>
      <c r="Q424" s="133"/>
      <c r="R424" s="133">
        <v>41</v>
      </c>
      <c r="S424" s="133">
        <v>60</v>
      </c>
      <c r="T424" s="133">
        <v>111</v>
      </c>
      <c r="U424" s="133">
        <v>129</v>
      </c>
      <c r="V424" s="133">
        <v>111</v>
      </c>
      <c r="W424" s="133">
        <v>88</v>
      </c>
      <c r="X424" s="133">
        <v>51</v>
      </c>
      <c r="Y424" s="133">
        <v>53</v>
      </c>
      <c r="Z424" s="133">
        <v>80.153999999999996</v>
      </c>
      <c r="AA424" s="133">
        <v>80.701999999999998</v>
      </c>
      <c r="AB424" s="133">
        <v>78.807000000000002</v>
      </c>
      <c r="AC424" s="133">
        <v>72.683000000000007</v>
      </c>
      <c r="AD424" s="133">
        <v>100.196</v>
      </c>
      <c r="AE424" s="133">
        <v>84.671999999999997</v>
      </c>
      <c r="AF424" s="133">
        <v>145.30000000000001</v>
      </c>
      <c r="AG424" s="133">
        <v>107.5</v>
      </c>
      <c r="AH424" s="133">
        <v>107.9</v>
      </c>
      <c r="AI424" s="133">
        <f t="shared" ref="AI424:AX425" si="139">+AH424*(1+AI$2)</f>
        <v>109.30964083990578</v>
      </c>
      <c r="AJ424" s="133">
        <f t="shared" si="139"/>
        <v>110.94928545250436</v>
      </c>
      <c r="AK424" s="133">
        <f t="shared" si="139"/>
        <v>112.61352473429191</v>
      </c>
      <c r="AL424" s="133">
        <f t="shared" si="139"/>
        <v>114.30272760530629</v>
      </c>
      <c r="AM424" s="133">
        <f t="shared" si="139"/>
        <v>116.01726851938587</v>
      </c>
      <c r="AN424" s="133">
        <f t="shared" si="139"/>
        <v>117.75752754717664</v>
      </c>
      <c r="AO424" s="133">
        <f t="shared" si="139"/>
        <v>119.52389046038428</v>
      </c>
      <c r="AP424" s="133">
        <f t="shared" si="139"/>
        <v>121.31674881729003</v>
      </c>
      <c r="AQ424" s="133">
        <f t="shared" si="139"/>
        <v>123.13650004954937</v>
      </c>
      <c r="AR424" s="133">
        <f t="shared" si="139"/>
        <v>124.9835475502926</v>
      </c>
      <c r="AS424" s="133">
        <f t="shared" si="139"/>
        <v>126.85830076354698</v>
      </c>
      <c r="AT424" s="133">
        <f t="shared" si="139"/>
        <v>128.76117527500017</v>
      </c>
      <c r="AU424" s="133">
        <f t="shared" si="139"/>
        <v>130.69259290412515</v>
      </c>
      <c r="AV424" s="133">
        <f t="shared" si="139"/>
        <v>132.652981797687</v>
      </c>
      <c r="AW424" s="133">
        <f t="shared" si="139"/>
        <v>134.64277652465231</v>
      </c>
      <c r="AX424" s="133">
        <f t="shared" si="139"/>
        <v>136.66241817252208</v>
      </c>
      <c r="AY424" s="133">
        <f t="shared" ref="AY424:BG425" si="140">+AX424*(1+AY$2)</f>
        <v>138.7123544451099</v>
      </c>
      <c r="AZ424" s="133">
        <f t="shared" si="140"/>
        <v>140.79303976178653</v>
      </c>
      <c r="BA424" s="133">
        <f t="shared" si="140"/>
        <v>142.90493535821332</v>
      </c>
      <c r="BB424" s="133">
        <f t="shared" si="140"/>
        <v>145.0485093885865</v>
      </c>
      <c r="BC424" s="133">
        <f t="shared" si="140"/>
        <v>147.22423702941529</v>
      </c>
      <c r="BD424" s="133">
        <f t="shared" si="140"/>
        <v>149.43260058485652</v>
      </c>
      <c r="BE424" s="133">
        <f t="shared" si="140"/>
        <v>151.67408959362936</v>
      </c>
      <c r="BF424" s="133">
        <f t="shared" si="140"/>
        <v>153.94920093753379</v>
      </c>
      <c r="BG424" s="133">
        <f t="shared" si="140"/>
        <v>156.25843895159679</v>
      </c>
    </row>
    <row r="425" spans="1:59" ht="13.75" customHeight="1">
      <c r="A425" s="141" t="s">
        <v>166</v>
      </c>
      <c r="B425" s="142" t="s">
        <v>464</v>
      </c>
      <c r="D425" s="142" t="s">
        <v>168</v>
      </c>
      <c r="F425" s="168" t="s">
        <v>469</v>
      </c>
      <c r="G425" s="109" t="s">
        <v>443</v>
      </c>
      <c r="I425" s="109" t="s">
        <v>466</v>
      </c>
      <c r="N425" s="133"/>
      <c r="O425" s="133"/>
      <c r="P425" s="133"/>
      <c r="Q425" s="133"/>
      <c r="R425" s="133">
        <v>10.3</v>
      </c>
      <c r="S425" s="133">
        <v>12.4</v>
      </c>
      <c r="T425" s="133">
        <v>16.399999999999999</v>
      </c>
      <c r="U425" s="133">
        <v>17.100000000000001</v>
      </c>
      <c r="V425" s="133">
        <v>15.2</v>
      </c>
      <c r="W425" s="133">
        <v>11.2</v>
      </c>
      <c r="X425" s="133">
        <v>9</v>
      </c>
      <c r="Y425" s="133">
        <v>10.4</v>
      </c>
      <c r="Z425" s="133">
        <v>11.7</v>
      </c>
      <c r="AA425" s="133">
        <v>13.273999999999999</v>
      </c>
      <c r="AB425" s="133">
        <v>13.962999999999999</v>
      </c>
      <c r="AC425" s="133">
        <v>13.339</v>
      </c>
      <c r="AD425" s="133">
        <v>15.664</v>
      </c>
      <c r="AE425" s="133">
        <v>13.584</v>
      </c>
      <c r="AF425" s="133">
        <v>16.7</v>
      </c>
      <c r="AG425" s="133">
        <v>15.8</v>
      </c>
      <c r="AH425" s="133">
        <f t="shared" ref="AH425:AM425" si="141">+AG425*(1+AH$2)</f>
        <v>15.948786926800544</v>
      </c>
      <c r="AI425" s="133">
        <f t="shared" si="141"/>
        <v>16.157147088051456</v>
      </c>
      <c r="AJ425" s="133">
        <f t="shared" si="141"/>
        <v>16.399504294372225</v>
      </c>
      <c r="AK425" s="133">
        <f t="shared" si="141"/>
        <v>16.645496858787805</v>
      </c>
      <c r="AL425" s="133">
        <f t="shared" si="141"/>
        <v>16.895179311669619</v>
      </c>
      <c r="AM425" s="133">
        <f t="shared" si="141"/>
        <v>17.148607001344661</v>
      </c>
      <c r="AN425" s="133">
        <f>+AM425*(1+AN$2)</f>
        <v>17.405836106364831</v>
      </c>
      <c r="AO425" s="133">
        <f t="shared" si="139"/>
        <v>17.666923647960303</v>
      </c>
      <c r="AP425" s="133">
        <f t="shared" si="139"/>
        <v>17.931927502679706</v>
      </c>
      <c r="AQ425" s="133">
        <f t="shared" si="139"/>
        <v>18.200906415219901</v>
      </c>
      <c r="AR425" s="133">
        <f t="shared" si="139"/>
        <v>18.473920011448197</v>
      </c>
      <c r="AS425" s="133">
        <f t="shared" si="139"/>
        <v>18.751028811619918</v>
      </c>
      <c r="AT425" s="133">
        <f t="shared" si="139"/>
        <v>19.032294243794215</v>
      </c>
      <c r="AU425" s="133">
        <f t="shared" si="139"/>
        <v>19.317778657451125</v>
      </c>
      <c r="AV425" s="133">
        <f t="shared" si="139"/>
        <v>19.607545337312889</v>
      </c>
      <c r="AW425" s="133">
        <f t="shared" si="139"/>
        <v>19.901658517372582</v>
      </c>
      <c r="AX425" s="133">
        <f t="shared" si="139"/>
        <v>20.20018339513317</v>
      </c>
      <c r="AY425" s="133">
        <f t="shared" si="140"/>
        <v>20.503186146060166</v>
      </c>
      <c r="AZ425" s="133">
        <f t="shared" si="140"/>
        <v>20.810733938251065</v>
      </c>
      <c r="BA425" s="133">
        <f t="shared" si="140"/>
        <v>21.122894947324831</v>
      </c>
      <c r="BB425" s="133">
        <f t="shared" si="140"/>
        <v>21.439738371534702</v>
      </c>
      <c r="BC425" s="133">
        <f t="shared" si="140"/>
        <v>21.761334447107721</v>
      </c>
      <c r="BD425" s="133">
        <f t="shared" si="140"/>
        <v>22.087754463814335</v>
      </c>
      <c r="BE425" s="133">
        <f t="shared" si="140"/>
        <v>22.419070780771548</v>
      </c>
      <c r="BF425" s="133">
        <f t="shared" si="140"/>
        <v>22.755356842483121</v>
      </c>
      <c r="BG425" s="133">
        <f t="shared" si="140"/>
        <v>23.096687195120364</v>
      </c>
    </row>
    <row r="426" spans="1:59" ht="13.75" customHeight="1" outlineLevel="1">
      <c r="F426" s="168"/>
    </row>
    <row r="427" spans="1:59" ht="13.75" customHeight="1" outlineLevel="1">
      <c r="F427" s="168"/>
    </row>
    <row r="428" spans="1:59" ht="13.75" customHeight="1" outlineLevel="1">
      <c r="F428" s="168"/>
    </row>
    <row r="429" spans="1:59" ht="13.75" customHeight="1" outlineLevel="1">
      <c r="F429" s="168"/>
    </row>
    <row r="430" spans="1:59" ht="13.75" customHeight="1" outlineLevel="1">
      <c r="F430" s="168"/>
    </row>
    <row r="431" spans="1:59" ht="13.75" customHeight="1" outlineLevel="1">
      <c r="F431" s="168"/>
    </row>
    <row r="432" spans="1:59" ht="13.75" customHeight="1" outlineLevel="1">
      <c r="F432" s="168"/>
    </row>
    <row r="433" spans="6:59" ht="13.75" customHeight="1" outlineLevel="1">
      <c r="F433" s="168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</row>
    <row r="434" spans="6:59" ht="13.75" customHeight="1" outlineLevel="1">
      <c r="F434" s="168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</row>
    <row r="435" spans="6:59" ht="13.75" customHeight="1" outlineLevel="1">
      <c r="F435" s="168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</row>
    <row r="436" spans="6:59" ht="13.75" customHeight="1" outlineLevel="1">
      <c r="F436" s="168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</row>
    <row r="437" spans="6:59" ht="13.75" customHeight="1" outlineLevel="1">
      <c r="F437" s="168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</row>
    <row r="438" spans="6:59" ht="13.75" customHeight="1" outlineLevel="1">
      <c r="F438" s="168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</row>
    <row r="439" spans="6:59" ht="13.75" customHeight="1" outlineLevel="1">
      <c r="F439" s="168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</row>
    <row r="440" spans="6:59" ht="13.75" customHeight="1" outlineLevel="1">
      <c r="F440" s="168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</row>
    <row r="441" spans="6:59" ht="13.75" customHeight="1" outlineLevel="1">
      <c r="F441" s="168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</row>
    <row r="442" spans="6:59" ht="13.75" customHeight="1" outlineLevel="1">
      <c r="F442" s="168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</row>
    <row r="443" spans="6:59" ht="13.75" customHeight="1" outlineLevel="1">
      <c r="F443" s="168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</row>
    <row r="444" spans="6:59" ht="13.75" customHeight="1" outlineLevel="1">
      <c r="F444" s="168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</row>
    <row r="445" spans="6:59" ht="13.75" customHeight="1" outlineLevel="1">
      <c r="F445" s="168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</row>
    <row r="446" spans="6:59" ht="13.75" customHeight="1" outlineLevel="1">
      <c r="F446" s="168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</row>
    <row r="447" spans="6:59" ht="13.75" customHeight="1" outlineLevel="1">
      <c r="F447" s="168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</row>
    <row r="448" spans="6:59" ht="13.75" customHeight="1">
      <c r="F448" s="168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107"/>
      <c r="AZ448" s="107"/>
      <c r="BA448" s="107"/>
      <c r="BB448" s="107"/>
      <c r="BC448" s="107"/>
      <c r="BD448" s="107"/>
      <c r="BE448" s="107"/>
      <c r="BF448" s="107"/>
      <c r="BG448" s="107"/>
    </row>
    <row r="449" spans="6:59" ht="13.75" customHeight="1" outlineLevel="1">
      <c r="F449" s="168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107"/>
      <c r="AZ449" s="107"/>
      <c r="BA449" s="107"/>
      <c r="BB449" s="107"/>
      <c r="BC449" s="107"/>
      <c r="BD449" s="107"/>
      <c r="BE449" s="107"/>
      <c r="BF449" s="107"/>
      <c r="BG449" s="107"/>
    </row>
    <row r="450" spans="6:59" ht="13.75" customHeight="1" outlineLevel="1">
      <c r="F450" s="168"/>
      <c r="W450" s="109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107"/>
      <c r="AZ450" s="107"/>
      <c r="BA450" s="107"/>
      <c r="BB450" s="107"/>
      <c r="BC450" s="107"/>
      <c r="BD450" s="107"/>
      <c r="BE450" s="107"/>
      <c r="BF450" s="107"/>
      <c r="BG450" s="107"/>
    </row>
    <row r="451" spans="6:59" ht="13.75" customHeight="1" outlineLevel="1">
      <c r="F451" s="168"/>
      <c r="W451" s="109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107"/>
      <c r="AZ451" s="107"/>
      <c r="BA451" s="107"/>
      <c r="BB451" s="107"/>
      <c r="BC451" s="107"/>
      <c r="BD451" s="107"/>
      <c r="BE451" s="107"/>
      <c r="BF451" s="107"/>
      <c r="BG451" s="107"/>
    </row>
    <row r="452" spans="6:59" ht="13.75" customHeight="1" outlineLevel="1">
      <c r="F452" s="168"/>
      <c r="W452" s="109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107"/>
      <c r="AZ452" s="107"/>
      <c r="BA452" s="107"/>
      <c r="BB452" s="107"/>
      <c r="BC452" s="107"/>
      <c r="BD452" s="107"/>
      <c r="BE452" s="107"/>
      <c r="BF452" s="107"/>
      <c r="BG452" s="107"/>
    </row>
    <row r="453" spans="6:59" ht="13.75" customHeight="1" outlineLevel="1">
      <c r="F453" s="168"/>
      <c r="W453" s="109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107"/>
      <c r="AZ453" s="107"/>
      <c r="BA453" s="107"/>
      <c r="BB453" s="107"/>
      <c r="BC453" s="107"/>
      <c r="BD453" s="107"/>
      <c r="BE453" s="107"/>
      <c r="BF453" s="107"/>
      <c r="BG453" s="107"/>
    </row>
    <row r="454" spans="6:59" ht="13.75" customHeight="1" outlineLevel="1">
      <c r="F454" s="168"/>
      <c r="W454" s="109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107"/>
      <c r="AZ454" s="107"/>
      <c r="BA454" s="107"/>
      <c r="BB454" s="107"/>
      <c r="BC454" s="107"/>
      <c r="BD454" s="107"/>
      <c r="BE454" s="107"/>
      <c r="BF454" s="107"/>
      <c r="BG454" s="107"/>
    </row>
    <row r="455" spans="6:59" ht="13.75" customHeight="1" outlineLevel="1">
      <c r="F455" s="168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107"/>
      <c r="AZ455" s="107"/>
      <c r="BA455" s="107"/>
      <c r="BB455" s="107"/>
      <c r="BC455" s="107"/>
      <c r="BD455" s="107"/>
      <c r="BE455" s="107"/>
      <c r="BF455" s="107"/>
      <c r="BG455" s="107"/>
    </row>
    <row r="456" spans="6:59" ht="13.75" customHeight="1" outlineLevel="1">
      <c r="F456" s="168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</row>
    <row r="457" spans="6:59" ht="13.75" customHeight="1" outlineLevel="1">
      <c r="F457" s="168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</row>
    <row r="458" spans="6:59" ht="13.75" customHeight="1" outlineLevel="1">
      <c r="F458" s="168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</row>
    <row r="459" spans="6:59" ht="13.75" customHeight="1" outlineLevel="1">
      <c r="F459" s="168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</row>
    <row r="460" spans="6:59" ht="13.75" customHeight="1" outlineLevel="1">
      <c r="F460" s="168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</row>
    <row r="461" spans="6:59" ht="13.75" customHeight="1" outlineLevel="1">
      <c r="F461" s="168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</row>
    <row r="462" spans="6:59" ht="13.75" customHeight="1" outlineLevel="1">
      <c r="F462" s="168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</row>
    <row r="463" spans="6:59" ht="13.75" customHeight="1" outlineLevel="1">
      <c r="F463" s="168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</row>
    <row r="464" spans="6:59" ht="13.75" customHeight="1" outlineLevel="1">
      <c r="F464" s="168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</row>
    <row r="465" spans="1:34" ht="13.75" customHeight="1" outlineLevel="1">
      <c r="F465" s="168"/>
    </row>
    <row r="466" spans="1:34" ht="13.75" customHeight="1" outlineLevel="1">
      <c r="F466" s="168"/>
    </row>
    <row r="467" spans="1:34" ht="13.75" customHeight="1" outlineLevel="1">
      <c r="F467" s="168"/>
    </row>
    <row r="468" spans="1:34" ht="13.75" customHeight="1" outlineLevel="1">
      <c r="F468" s="168"/>
    </row>
    <row r="469" spans="1:34" ht="13.75" customHeight="1" outlineLevel="1">
      <c r="F469" s="168"/>
    </row>
    <row r="470" spans="1:34" ht="13.75" customHeight="1" outlineLevel="1">
      <c r="F470" s="168"/>
    </row>
    <row r="471" spans="1:34" ht="13.75" customHeight="1" outlineLevel="1">
      <c r="F471" s="168"/>
    </row>
    <row r="472" spans="1:34" ht="13.75" customHeight="1" outlineLevel="1">
      <c r="F472" s="168"/>
    </row>
    <row r="473" spans="1:34" ht="13.75" customHeight="1" outlineLevel="1">
      <c r="F473" s="168"/>
    </row>
    <row r="474" spans="1:34" ht="13.75" customHeight="1">
      <c r="A474" s="141" t="s">
        <v>166</v>
      </c>
      <c r="B474" s="142" t="s">
        <v>470</v>
      </c>
      <c r="D474" s="142" t="s">
        <v>168</v>
      </c>
      <c r="F474" s="168" t="s">
        <v>471</v>
      </c>
      <c r="G474" s="109" t="s">
        <v>472</v>
      </c>
      <c r="W474" s="112">
        <v>2850.1783333333333</v>
      </c>
      <c r="X474" s="128">
        <v>2885</v>
      </c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</row>
    <row r="475" spans="1:34" ht="13.75" customHeight="1">
      <c r="A475" s="141" t="s">
        <v>166</v>
      </c>
      <c r="B475" s="142" t="s">
        <v>470</v>
      </c>
      <c r="D475" s="142" t="s">
        <v>168</v>
      </c>
      <c r="F475" s="168" t="s">
        <v>473</v>
      </c>
      <c r="G475" s="109" t="s">
        <v>472</v>
      </c>
      <c r="W475" s="112">
        <v>2714.8058333333333</v>
      </c>
      <c r="X475" s="128">
        <v>2764</v>
      </c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</row>
    <row r="476" spans="1:34" ht="13.75" customHeight="1">
      <c r="A476" s="141" t="s">
        <v>166</v>
      </c>
      <c r="B476" s="142" t="s">
        <v>470</v>
      </c>
      <c r="D476" s="142" t="s">
        <v>168</v>
      </c>
      <c r="F476" s="168" t="s">
        <v>474</v>
      </c>
      <c r="G476" s="109" t="s">
        <v>472</v>
      </c>
      <c r="W476" s="112">
        <v>2721.3241666666668</v>
      </c>
      <c r="X476" s="128">
        <v>3071</v>
      </c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</row>
    <row r="477" spans="1:34" ht="13.75" customHeight="1">
      <c r="A477" s="141" t="s">
        <v>166</v>
      </c>
      <c r="B477" s="142" t="s">
        <v>470</v>
      </c>
      <c r="D477" s="142" t="s">
        <v>168</v>
      </c>
      <c r="F477" s="168" t="s">
        <v>475</v>
      </c>
      <c r="G477" s="109" t="s">
        <v>472</v>
      </c>
      <c r="W477" s="112">
        <v>4249.96</v>
      </c>
      <c r="X477" s="128">
        <v>4255</v>
      </c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</row>
    <row r="478" spans="1:34" ht="13.75" customHeight="1">
      <c r="A478" s="141" t="s">
        <v>166</v>
      </c>
      <c r="B478" s="142" t="s">
        <v>470</v>
      </c>
      <c r="D478" s="142" t="s">
        <v>168</v>
      </c>
      <c r="F478" s="168" t="s">
        <v>476</v>
      </c>
      <c r="G478" s="109" t="s">
        <v>472</v>
      </c>
      <c r="W478" s="112">
        <v>3278.2641666666664</v>
      </c>
      <c r="X478" s="128">
        <v>3041</v>
      </c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</row>
    <row r="479" spans="1:34" ht="13.75" customHeight="1">
      <c r="A479" s="141" t="s">
        <v>166</v>
      </c>
      <c r="B479" s="142" t="s">
        <v>470</v>
      </c>
      <c r="D479" s="142" t="s">
        <v>168</v>
      </c>
      <c r="F479" s="168" t="s">
        <v>477</v>
      </c>
      <c r="G479" s="109" t="s">
        <v>472</v>
      </c>
      <c r="W479" s="112">
        <v>2908.2416666666668</v>
      </c>
      <c r="X479" s="128">
        <v>2942</v>
      </c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</row>
    <row r="480" spans="1:34" ht="13.75" customHeight="1">
      <c r="A480" s="141" t="s">
        <v>166</v>
      </c>
      <c r="B480" s="142" t="s">
        <v>470</v>
      </c>
      <c r="D480" s="142" t="s">
        <v>168</v>
      </c>
      <c r="F480" s="168" t="s">
        <v>478</v>
      </c>
      <c r="G480" s="109" t="s">
        <v>472</v>
      </c>
      <c r="W480" s="112">
        <v>2376.0224999999996</v>
      </c>
      <c r="X480" s="128">
        <v>2648</v>
      </c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</row>
    <row r="481" spans="1:59" ht="13.75" customHeight="1">
      <c r="A481" s="141" t="s">
        <v>166</v>
      </c>
      <c r="B481" s="142" t="s">
        <v>470</v>
      </c>
      <c r="D481" s="142" t="s">
        <v>168</v>
      </c>
      <c r="F481" s="168" t="s">
        <v>479</v>
      </c>
      <c r="G481" s="109" t="s">
        <v>472</v>
      </c>
      <c r="W481" s="112">
        <v>2945.8766666666666</v>
      </c>
      <c r="X481" s="128">
        <v>2873</v>
      </c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</row>
    <row r="482" spans="1:59" ht="13.75" customHeight="1">
      <c r="A482" s="141" t="s">
        <v>166</v>
      </c>
      <c r="B482" s="142" t="s">
        <v>470</v>
      </c>
      <c r="D482" s="142" t="s">
        <v>168</v>
      </c>
      <c r="F482" s="168" t="s">
        <v>480</v>
      </c>
      <c r="G482" s="109" t="s">
        <v>472</v>
      </c>
    </row>
    <row r="483" spans="1:59" ht="13.75" customHeight="1">
      <c r="A483" s="141" t="s">
        <v>166</v>
      </c>
      <c r="B483" s="142" t="s">
        <v>470</v>
      </c>
      <c r="D483" s="142" t="s">
        <v>168</v>
      </c>
      <c r="F483" s="168" t="s">
        <v>481</v>
      </c>
      <c r="X483" s="107">
        <v>1.2217364176627665E-2</v>
      </c>
      <c r="Y483" s="158">
        <v>7.8682842287695065E-2</v>
      </c>
      <c r="Z483" s="107">
        <v>0.10154241645244211</v>
      </c>
      <c r="AA483" s="158">
        <v>3.7339556592765444E-2</v>
      </c>
      <c r="AB483" s="158">
        <v>5.6896551724137989E-2</v>
      </c>
      <c r="AC483" s="107">
        <v>-4.127609806248933E-2</v>
      </c>
      <c r="AD483" s="107">
        <v>7.1985046384995144E-2</v>
      </c>
      <c r="AE483" s="107">
        <v>0.28100000000000003</v>
      </c>
      <c r="AF483" s="107">
        <v>0.15</v>
      </c>
      <c r="AG483" s="107">
        <f t="shared" ref="AG483:BG483" si="142">AG$3</f>
        <v>6.3441420107429369E-2</v>
      </c>
      <c r="AH483" s="107">
        <f t="shared" si="142"/>
        <v>3.158962342501126E-2</v>
      </c>
      <c r="AI483" s="107">
        <f t="shared" si="142"/>
        <v>3.966564408166029E-2</v>
      </c>
      <c r="AJ483" s="107">
        <f t="shared" si="142"/>
        <v>0.04</v>
      </c>
      <c r="AK483" s="107">
        <f t="shared" si="142"/>
        <v>0.04</v>
      </c>
      <c r="AL483" s="107">
        <f t="shared" si="142"/>
        <v>0.04</v>
      </c>
      <c r="AM483" s="107">
        <f t="shared" si="142"/>
        <v>0.04</v>
      </c>
      <c r="AN483" s="107">
        <f t="shared" si="142"/>
        <v>0.04</v>
      </c>
      <c r="AO483" s="107">
        <f t="shared" si="142"/>
        <v>0.04</v>
      </c>
      <c r="AP483" s="107">
        <f t="shared" si="142"/>
        <v>0.04</v>
      </c>
      <c r="AQ483" s="107">
        <f t="shared" si="142"/>
        <v>0.04</v>
      </c>
      <c r="AR483" s="107">
        <f t="shared" si="142"/>
        <v>0.04</v>
      </c>
      <c r="AS483" s="107">
        <f t="shared" si="142"/>
        <v>0.04</v>
      </c>
      <c r="AT483" s="107">
        <f t="shared" si="142"/>
        <v>0.04</v>
      </c>
      <c r="AU483" s="107">
        <f t="shared" si="142"/>
        <v>0.04</v>
      </c>
      <c r="AV483" s="107">
        <f t="shared" si="142"/>
        <v>0.04</v>
      </c>
      <c r="AW483" s="107">
        <f t="shared" si="142"/>
        <v>0.04</v>
      </c>
      <c r="AX483" s="107">
        <f t="shared" si="142"/>
        <v>0.04</v>
      </c>
      <c r="AY483" s="107">
        <f t="shared" si="142"/>
        <v>0.04</v>
      </c>
      <c r="AZ483" s="107">
        <f t="shared" si="142"/>
        <v>0.04</v>
      </c>
      <c r="BA483" s="107">
        <f t="shared" si="142"/>
        <v>0.04</v>
      </c>
      <c r="BB483" s="107">
        <f t="shared" si="142"/>
        <v>0.04</v>
      </c>
      <c r="BC483" s="107">
        <f t="shared" si="142"/>
        <v>0.04</v>
      </c>
      <c r="BD483" s="107">
        <f t="shared" si="142"/>
        <v>0.04</v>
      </c>
      <c r="BE483" s="107">
        <f t="shared" si="142"/>
        <v>0.04</v>
      </c>
      <c r="BF483" s="107">
        <f t="shared" si="142"/>
        <v>0.04</v>
      </c>
      <c r="BG483" s="107">
        <f t="shared" si="142"/>
        <v>0.04</v>
      </c>
    </row>
    <row r="484" spans="1:59" ht="13.75" customHeight="1">
      <c r="A484" s="141" t="s">
        <v>166</v>
      </c>
      <c r="B484" s="142" t="s">
        <v>470</v>
      </c>
      <c r="D484" s="142" t="s">
        <v>168</v>
      </c>
      <c r="F484" s="168" t="s">
        <v>482</v>
      </c>
      <c r="X484" s="107">
        <v>1.8120694328354281E-2</v>
      </c>
      <c r="Y484" s="158">
        <v>0.17329956584659922</v>
      </c>
      <c r="Z484" s="107">
        <v>7.9247610237434429E-2</v>
      </c>
      <c r="AA484" s="158">
        <v>5.1714285714285824E-2</v>
      </c>
      <c r="AB484" s="158">
        <v>5.1648351648351687E-2</v>
      </c>
      <c r="AC484" s="107">
        <v>3.3372981166087667E-2</v>
      </c>
      <c r="AD484" s="107">
        <v>6.6389174167316378E-2</v>
      </c>
      <c r="AE484" s="107">
        <v>0.20100000000000001</v>
      </c>
      <c r="AF484" s="107">
        <f t="shared" ref="AF484:AM490" si="143">AF483</f>
        <v>0.15</v>
      </c>
      <c r="AG484" s="107">
        <f t="shared" si="143"/>
        <v>6.3441420107429369E-2</v>
      </c>
      <c r="AH484" s="107">
        <f t="shared" si="143"/>
        <v>3.158962342501126E-2</v>
      </c>
      <c r="AI484" s="107">
        <f t="shared" si="143"/>
        <v>3.966564408166029E-2</v>
      </c>
      <c r="AJ484" s="107">
        <f t="shared" si="143"/>
        <v>0.04</v>
      </c>
      <c r="AK484" s="107">
        <f t="shared" si="143"/>
        <v>0.04</v>
      </c>
      <c r="AL484" s="107">
        <f t="shared" si="143"/>
        <v>0.04</v>
      </c>
      <c r="AM484" s="107">
        <f>AM483</f>
        <v>0.04</v>
      </c>
      <c r="AN484" s="107">
        <f t="shared" ref="AN484:BG490" si="144">AN483</f>
        <v>0.04</v>
      </c>
      <c r="AO484" s="107">
        <f t="shared" si="144"/>
        <v>0.04</v>
      </c>
      <c r="AP484" s="107">
        <f t="shared" si="144"/>
        <v>0.04</v>
      </c>
      <c r="AQ484" s="107">
        <f t="shared" si="144"/>
        <v>0.04</v>
      </c>
      <c r="AR484" s="107">
        <f t="shared" si="144"/>
        <v>0.04</v>
      </c>
      <c r="AS484" s="107">
        <f t="shared" si="144"/>
        <v>0.04</v>
      </c>
      <c r="AT484" s="107">
        <f t="shared" si="144"/>
        <v>0.04</v>
      </c>
      <c r="AU484" s="107">
        <f t="shared" si="144"/>
        <v>0.04</v>
      </c>
      <c r="AV484" s="107">
        <f t="shared" si="144"/>
        <v>0.04</v>
      </c>
      <c r="AW484" s="107">
        <f t="shared" si="144"/>
        <v>0.04</v>
      </c>
      <c r="AX484" s="107">
        <f t="shared" si="144"/>
        <v>0.04</v>
      </c>
      <c r="AY484" s="107">
        <f t="shared" si="144"/>
        <v>0.04</v>
      </c>
      <c r="AZ484" s="107">
        <f t="shared" si="144"/>
        <v>0.04</v>
      </c>
      <c r="BA484" s="107">
        <f t="shared" si="144"/>
        <v>0.04</v>
      </c>
      <c r="BB484" s="107">
        <f t="shared" si="144"/>
        <v>0.04</v>
      </c>
      <c r="BC484" s="107">
        <f t="shared" si="144"/>
        <v>0.04</v>
      </c>
      <c r="BD484" s="107">
        <f t="shared" si="144"/>
        <v>0.04</v>
      </c>
      <c r="BE484" s="107">
        <f t="shared" si="144"/>
        <v>0.04</v>
      </c>
      <c r="BF484" s="107">
        <f t="shared" si="144"/>
        <v>0.04</v>
      </c>
      <c r="BG484" s="107">
        <f t="shared" si="144"/>
        <v>0.04</v>
      </c>
    </row>
    <row r="485" spans="1:59" ht="13.75" customHeight="1">
      <c r="A485" s="141" t="s">
        <v>166</v>
      </c>
      <c r="B485" s="142" t="s">
        <v>470</v>
      </c>
      <c r="D485" s="142" t="s">
        <v>168</v>
      </c>
      <c r="F485" s="168" t="s">
        <v>483</v>
      </c>
      <c r="X485" s="107">
        <v>0.12849473709030734</v>
      </c>
      <c r="Y485" s="158">
        <v>0.13871703028329541</v>
      </c>
      <c r="Z485" s="107">
        <v>5.8621675722047462E-2</v>
      </c>
      <c r="AA485" s="158">
        <v>3.2955159373311727E-2</v>
      </c>
      <c r="AB485" s="158">
        <v>5.7507987220447365E-2</v>
      </c>
      <c r="AC485" s="107">
        <v>-4.4507151568307091E-4</v>
      </c>
      <c r="AD485" s="107">
        <v>3.038008264877945E-2</v>
      </c>
      <c r="AE485" s="107">
        <v>2.9000000000000001E-2</v>
      </c>
      <c r="AF485" s="107">
        <f t="shared" si="143"/>
        <v>0.15</v>
      </c>
      <c r="AG485" s="107">
        <f t="shared" si="143"/>
        <v>6.3441420107429369E-2</v>
      </c>
      <c r="AH485" s="107">
        <f t="shared" si="143"/>
        <v>3.158962342501126E-2</v>
      </c>
      <c r="AI485" s="107">
        <f t="shared" si="143"/>
        <v>3.966564408166029E-2</v>
      </c>
      <c r="AJ485" s="107">
        <f t="shared" si="143"/>
        <v>0.04</v>
      </c>
      <c r="AK485" s="107">
        <f t="shared" si="143"/>
        <v>0.04</v>
      </c>
      <c r="AL485" s="107">
        <f t="shared" si="143"/>
        <v>0.04</v>
      </c>
      <c r="AM485" s="107">
        <f t="shared" si="143"/>
        <v>0.04</v>
      </c>
      <c r="AN485" s="107">
        <f t="shared" si="144"/>
        <v>0.04</v>
      </c>
      <c r="AO485" s="107">
        <f t="shared" si="144"/>
        <v>0.04</v>
      </c>
      <c r="AP485" s="107">
        <f t="shared" si="144"/>
        <v>0.04</v>
      </c>
      <c r="AQ485" s="107">
        <f t="shared" si="144"/>
        <v>0.04</v>
      </c>
      <c r="AR485" s="107">
        <f t="shared" si="144"/>
        <v>0.04</v>
      </c>
      <c r="AS485" s="107">
        <f t="shared" si="144"/>
        <v>0.04</v>
      </c>
      <c r="AT485" s="107">
        <f t="shared" si="144"/>
        <v>0.04</v>
      </c>
      <c r="AU485" s="107">
        <f t="shared" si="144"/>
        <v>0.04</v>
      </c>
      <c r="AV485" s="107">
        <f t="shared" si="144"/>
        <v>0.04</v>
      </c>
      <c r="AW485" s="107">
        <f t="shared" si="144"/>
        <v>0.04</v>
      </c>
      <c r="AX485" s="107">
        <f t="shared" si="144"/>
        <v>0.04</v>
      </c>
      <c r="AY485" s="107">
        <f t="shared" si="144"/>
        <v>0.04</v>
      </c>
      <c r="AZ485" s="107">
        <f t="shared" si="144"/>
        <v>0.04</v>
      </c>
      <c r="BA485" s="107">
        <f t="shared" si="144"/>
        <v>0.04</v>
      </c>
      <c r="BB485" s="107">
        <f t="shared" si="144"/>
        <v>0.04</v>
      </c>
      <c r="BC485" s="107">
        <f t="shared" si="144"/>
        <v>0.04</v>
      </c>
      <c r="BD485" s="107">
        <f t="shared" si="144"/>
        <v>0.04</v>
      </c>
      <c r="BE485" s="107">
        <f t="shared" si="144"/>
        <v>0.04</v>
      </c>
      <c r="BF485" s="107">
        <f t="shared" si="144"/>
        <v>0.04</v>
      </c>
      <c r="BG485" s="107">
        <f t="shared" si="144"/>
        <v>0.04</v>
      </c>
    </row>
    <row r="486" spans="1:59" ht="13.75" customHeight="1">
      <c r="A486" s="141" t="s">
        <v>166</v>
      </c>
      <c r="B486" s="142" t="s">
        <v>470</v>
      </c>
      <c r="D486" s="142" t="s">
        <v>168</v>
      </c>
      <c r="F486" s="168" t="s">
        <v>484</v>
      </c>
      <c r="X486" s="107">
        <v>1.1858935142918803E-3</v>
      </c>
      <c r="Y486" s="158">
        <v>-3.9482961222091606E-2</v>
      </c>
      <c r="Z486" s="107">
        <v>4.1350623929532704E-2</v>
      </c>
      <c r="AA486" s="158">
        <v>1.2453007518796966E-2</v>
      </c>
      <c r="AB486" s="158">
        <v>3.4059314179796019E-2</v>
      </c>
      <c r="AC486" s="107">
        <v>2.4535089498316065E-2</v>
      </c>
      <c r="AD486" s="107">
        <v>2.9829443004277145E-2</v>
      </c>
      <c r="AE486" s="107">
        <v>0.13900000000000001</v>
      </c>
      <c r="AF486" s="107">
        <f t="shared" si="143"/>
        <v>0.15</v>
      </c>
      <c r="AG486" s="107">
        <f t="shared" si="143"/>
        <v>6.3441420107429369E-2</v>
      </c>
      <c r="AH486" s="107">
        <f t="shared" si="143"/>
        <v>3.158962342501126E-2</v>
      </c>
      <c r="AI486" s="107">
        <f t="shared" si="143"/>
        <v>3.966564408166029E-2</v>
      </c>
      <c r="AJ486" s="107">
        <f t="shared" si="143"/>
        <v>0.04</v>
      </c>
      <c r="AK486" s="107">
        <f t="shared" si="143"/>
        <v>0.04</v>
      </c>
      <c r="AL486" s="107">
        <f t="shared" si="143"/>
        <v>0.04</v>
      </c>
      <c r="AM486" s="107">
        <f t="shared" si="143"/>
        <v>0.04</v>
      </c>
      <c r="AN486" s="107">
        <f t="shared" si="144"/>
        <v>0.04</v>
      </c>
      <c r="AO486" s="107">
        <f t="shared" si="144"/>
        <v>0.04</v>
      </c>
      <c r="AP486" s="107">
        <f t="shared" si="144"/>
        <v>0.04</v>
      </c>
      <c r="AQ486" s="107">
        <f t="shared" si="144"/>
        <v>0.04</v>
      </c>
      <c r="AR486" s="107">
        <f t="shared" si="144"/>
        <v>0.04</v>
      </c>
      <c r="AS486" s="107">
        <f t="shared" si="144"/>
        <v>0.04</v>
      </c>
      <c r="AT486" s="107">
        <f t="shared" si="144"/>
        <v>0.04</v>
      </c>
      <c r="AU486" s="107">
        <f t="shared" si="144"/>
        <v>0.04</v>
      </c>
      <c r="AV486" s="107">
        <f t="shared" si="144"/>
        <v>0.04</v>
      </c>
      <c r="AW486" s="107">
        <f t="shared" si="144"/>
        <v>0.04</v>
      </c>
      <c r="AX486" s="107">
        <f t="shared" si="144"/>
        <v>0.04</v>
      </c>
      <c r="AY486" s="107">
        <f t="shared" si="144"/>
        <v>0.04</v>
      </c>
      <c r="AZ486" s="107">
        <f t="shared" si="144"/>
        <v>0.04</v>
      </c>
      <c r="BA486" s="107">
        <f t="shared" si="144"/>
        <v>0.04</v>
      </c>
      <c r="BB486" s="107">
        <f t="shared" si="144"/>
        <v>0.04</v>
      </c>
      <c r="BC486" s="107">
        <f t="shared" si="144"/>
        <v>0.04</v>
      </c>
      <c r="BD486" s="107">
        <f t="shared" si="144"/>
        <v>0.04</v>
      </c>
      <c r="BE486" s="107">
        <f t="shared" si="144"/>
        <v>0.04</v>
      </c>
      <c r="BF486" s="107">
        <f t="shared" si="144"/>
        <v>0.04</v>
      </c>
      <c r="BG486" s="107">
        <f t="shared" si="144"/>
        <v>0.04</v>
      </c>
    </row>
    <row r="487" spans="1:59" ht="13.75" customHeight="1">
      <c r="A487" s="141" t="s">
        <v>166</v>
      </c>
      <c r="B487" s="142" t="s">
        <v>470</v>
      </c>
      <c r="D487" s="142" t="s">
        <v>168</v>
      </c>
      <c r="F487" s="168" t="s">
        <v>485</v>
      </c>
      <c r="X487" s="107">
        <v>-7.2374938261279942E-2</v>
      </c>
      <c r="Y487" s="158">
        <v>6.7083196317000882E-2</v>
      </c>
      <c r="Z487" s="107">
        <v>0.15593220338983049</v>
      </c>
      <c r="AA487" s="158">
        <v>8.3711010397227392E-2</v>
      </c>
      <c r="AB487" s="158">
        <v>7.9118678017025434E-2</v>
      </c>
      <c r="AC487" s="107">
        <v>7.8701898401316583E-3</v>
      </c>
      <c r="AD487" s="107">
        <v>0.13523029752083282</v>
      </c>
      <c r="AE487" s="107">
        <v>0.157</v>
      </c>
      <c r="AF487" s="107">
        <f t="shared" si="143"/>
        <v>0.15</v>
      </c>
      <c r="AG487" s="107">
        <f t="shared" si="143"/>
        <v>6.3441420107429369E-2</v>
      </c>
      <c r="AH487" s="107">
        <f t="shared" si="143"/>
        <v>3.158962342501126E-2</v>
      </c>
      <c r="AI487" s="107">
        <f t="shared" si="143"/>
        <v>3.966564408166029E-2</v>
      </c>
      <c r="AJ487" s="107">
        <f t="shared" si="143"/>
        <v>0.04</v>
      </c>
      <c r="AK487" s="107">
        <f t="shared" si="143"/>
        <v>0.04</v>
      </c>
      <c r="AL487" s="107">
        <f t="shared" si="143"/>
        <v>0.04</v>
      </c>
      <c r="AM487" s="107">
        <f t="shared" si="143"/>
        <v>0.04</v>
      </c>
      <c r="AN487" s="107">
        <f t="shared" si="144"/>
        <v>0.04</v>
      </c>
      <c r="AO487" s="107">
        <f t="shared" si="144"/>
        <v>0.04</v>
      </c>
      <c r="AP487" s="107">
        <f t="shared" si="144"/>
        <v>0.04</v>
      </c>
      <c r="AQ487" s="107">
        <f t="shared" si="144"/>
        <v>0.04</v>
      </c>
      <c r="AR487" s="107">
        <f t="shared" si="144"/>
        <v>0.04</v>
      </c>
      <c r="AS487" s="107">
        <f t="shared" si="144"/>
        <v>0.04</v>
      </c>
      <c r="AT487" s="107">
        <f t="shared" si="144"/>
        <v>0.04</v>
      </c>
      <c r="AU487" s="107">
        <f t="shared" si="144"/>
        <v>0.04</v>
      </c>
      <c r="AV487" s="107">
        <f t="shared" si="144"/>
        <v>0.04</v>
      </c>
      <c r="AW487" s="107">
        <f t="shared" si="144"/>
        <v>0.04</v>
      </c>
      <c r="AX487" s="107">
        <f t="shared" si="144"/>
        <v>0.04</v>
      </c>
      <c r="AY487" s="107">
        <f t="shared" si="144"/>
        <v>0.04</v>
      </c>
      <c r="AZ487" s="107">
        <f t="shared" si="144"/>
        <v>0.04</v>
      </c>
      <c r="BA487" s="107">
        <f t="shared" si="144"/>
        <v>0.04</v>
      </c>
      <c r="BB487" s="107">
        <f t="shared" si="144"/>
        <v>0.04</v>
      </c>
      <c r="BC487" s="107">
        <f t="shared" si="144"/>
        <v>0.04</v>
      </c>
      <c r="BD487" s="107">
        <f t="shared" si="144"/>
        <v>0.04</v>
      </c>
      <c r="BE487" s="107">
        <f t="shared" si="144"/>
        <v>0.04</v>
      </c>
      <c r="BF487" s="107">
        <f t="shared" si="144"/>
        <v>0.04</v>
      </c>
      <c r="BG487" s="107">
        <f t="shared" si="144"/>
        <v>0.04</v>
      </c>
    </row>
    <row r="488" spans="1:59" ht="13.75" customHeight="1">
      <c r="A488" s="141" t="s">
        <v>166</v>
      </c>
      <c r="B488" s="142" t="s">
        <v>470</v>
      </c>
      <c r="D488" s="142" t="s">
        <v>168</v>
      </c>
      <c r="F488" s="168" t="s">
        <v>486</v>
      </c>
      <c r="X488" s="107">
        <v>1.1607815719119952E-2</v>
      </c>
      <c r="Y488" s="158">
        <v>2.4813052345343367E-2</v>
      </c>
      <c r="Z488" s="107">
        <v>2.553897180762843E-2</v>
      </c>
      <c r="AA488" s="158">
        <v>5.6274256144890122E-2</v>
      </c>
      <c r="AB488" s="158">
        <v>-3.8212634822804348E-2</v>
      </c>
      <c r="AC488" s="107">
        <v>9.2731976046794395E-2</v>
      </c>
      <c r="AD488" s="107">
        <v>8.6311541932692082E-2</v>
      </c>
      <c r="AE488" s="107">
        <v>0.19</v>
      </c>
      <c r="AF488" s="107">
        <f t="shared" si="143"/>
        <v>0.15</v>
      </c>
      <c r="AG488" s="107">
        <f t="shared" si="143"/>
        <v>6.3441420107429369E-2</v>
      </c>
      <c r="AH488" s="107">
        <f t="shared" si="143"/>
        <v>3.158962342501126E-2</v>
      </c>
      <c r="AI488" s="107">
        <f t="shared" si="143"/>
        <v>3.966564408166029E-2</v>
      </c>
      <c r="AJ488" s="107">
        <f t="shared" si="143"/>
        <v>0.04</v>
      </c>
      <c r="AK488" s="107">
        <f t="shared" si="143"/>
        <v>0.04</v>
      </c>
      <c r="AL488" s="107">
        <f t="shared" si="143"/>
        <v>0.04</v>
      </c>
      <c r="AM488" s="107">
        <f t="shared" si="143"/>
        <v>0.04</v>
      </c>
      <c r="AN488" s="107">
        <f t="shared" si="144"/>
        <v>0.04</v>
      </c>
      <c r="AO488" s="107">
        <f t="shared" si="144"/>
        <v>0.04</v>
      </c>
      <c r="AP488" s="107">
        <f t="shared" si="144"/>
        <v>0.04</v>
      </c>
      <c r="AQ488" s="107">
        <f t="shared" si="144"/>
        <v>0.04</v>
      </c>
      <c r="AR488" s="107">
        <f t="shared" si="144"/>
        <v>0.04</v>
      </c>
      <c r="AS488" s="107">
        <f t="shared" si="144"/>
        <v>0.04</v>
      </c>
      <c r="AT488" s="107">
        <f t="shared" si="144"/>
        <v>0.04</v>
      </c>
      <c r="AU488" s="107">
        <f t="shared" si="144"/>
        <v>0.04</v>
      </c>
      <c r="AV488" s="107">
        <f t="shared" si="144"/>
        <v>0.04</v>
      </c>
      <c r="AW488" s="107">
        <f t="shared" si="144"/>
        <v>0.04</v>
      </c>
      <c r="AX488" s="107">
        <f t="shared" si="144"/>
        <v>0.04</v>
      </c>
      <c r="AY488" s="107">
        <f t="shared" si="144"/>
        <v>0.04</v>
      </c>
      <c r="AZ488" s="107">
        <f t="shared" si="144"/>
        <v>0.04</v>
      </c>
      <c r="BA488" s="107">
        <f t="shared" si="144"/>
        <v>0.04</v>
      </c>
      <c r="BB488" s="107">
        <f t="shared" si="144"/>
        <v>0.04</v>
      </c>
      <c r="BC488" s="107">
        <f t="shared" si="144"/>
        <v>0.04</v>
      </c>
      <c r="BD488" s="107">
        <f t="shared" si="144"/>
        <v>0.04</v>
      </c>
      <c r="BE488" s="107">
        <f t="shared" si="144"/>
        <v>0.04</v>
      </c>
      <c r="BF488" s="107">
        <f t="shared" si="144"/>
        <v>0.04</v>
      </c>
      <c r="BG488" s="107">
        <f t="shared" si="144"/>
        <v>0.04</v>
      </c>
    </row>
    <row r="489" spans="1:59" ht="13.75" customHeight="1">
      <c r="A489" s="141" t="s">
        <v>166</v>
      </c>
      <c r="B489" s="142" t="s">
        <v>470</v>
      </c>
      <c r="D489" s="142" t="s">
        <v>168</v>
      </c>
      <c r="F489" s="168" t="s">
        <v>487</v>
      </c>
      <c r="X489" s="107">
        <v>0.11446756080803122</v>
      </c>
      <c r="Y489" s="158">
        <v>5.3625377643504502E-2</v>
      </c>
      <c r="Z489" s="107">
        <v>6.7025089605734722E-2</v>
      </c>
      <c r="AA489" s="158">
        <v>7.4571716493113893E-2</v>
      </c>
      <c r="AB489" s="158">
        <v>5.1152510262077566E-2</v>
      </c>
      <c r="AC489" s="107">
        <v>6.5652293217660418E-2</v>
      </c>
      <c r="AD489" s="107">
        <v>9.6013819078487606E-2</v>
      </c>
      <c r="AE489" s="107">
        <v>0.254</v>
      </c>
      <c r="AF489" s="107">
        <f t="shared" si="143"/>
        <v>0.15</v>
      </c>
      <c r="AG489" s="107">
        <f t="shared" si="143"/>
        <v>6.3441420107429369E-2</v>
      </c>
      <c r="AH489" s="107">
        <f t="shared" si="143"/>
        <v>3.158962342501126E-2</v>
      </c>
      <c r="AI489" s="107">
        <f t="shared" si="143"/>
        <v>3.966564408166029E-2</v>
      </c>
      <c r="AJ489" s="107">
        <f t="shared" si="143"/>
        <v>0.04</v>
      </c>
      <c r="AK489" s="107">
        <f t="shared" si="143"/>
        <v>0.04</v>
      </c>
      <c r="AL489" s="107">
        <f t="shared" si="143"/>
        <v>0.04</v>
      </c>
      <c r="AM489" s="107">
        <f t="shared" si="143"/>
        <v>0.04</v>
      </c>
      <c r="AN489" s="107">
        <f t="shared" si="144"/>
        <v>0.04</v>
      </c>
      <c r="AO489" s="107">
        <f t="shared" si="144"/>
        <v>0.04</v>
      </c>
      <c r="AP489" s="107">
        <f t="shared" si="144"/>
        <v>0.04</v>
      </c>
      <c r="AQ489" s="107">
        <f t="shared" si="144"/>
        <v>0.04</v>
      </c>
      <c r="AR489" s="107">
        <f t="shared" si="144"/>
        <v>0.04</v>
      </c>
      <c r="AS489" s="107">
        <f t="shared" si="144"/>
        <v>0.04</v>
      </c>
      <c r="AT489" s="107">
        <f t="shared" si="144"/>
        <v>0.04</v>
      </c>
      <c r="AU489" s="107">
        <f t="shared" si="144"/>
        <v>0.04</v>
      </c>
      <c r="AV489" s="107">
        <f t="shared" si="144"/>
        <v>0.04</v>
      </c>
      <c r="AW489" s="107">
        <f t="shared" si="144"/>
        <v>0.04</v>
      </c>
      <c r="AX489" s="107">
        <f t="shared" si="144"/>
        <v>0.04</v>
      </c>
      <c r="AY489" s="107">
        <f t="shared" si="144"/>
        <v>0.04</v>
      </c>
      <c r="AZ489" s="107">
        <f t="shared" si="144"/>
        <v>0.04</v>
      </c>
      <c r="BA489" s="107">
        <f t="shared" si="144"/>
        <v>0.04</v>
      </c>
      <c r="BB489" s="107">
        <f t="shared" si="144"/>
        <v>0.04</v>
      </c>
      <c r="BC489" s="107">
        <f t="shared" si="144"/>
        <v>0.04</v>
      </c>
      <c r="BD489" s="107">
        <f t="shared" si="144"/>
        <v>0.04</v>
      </c>
      <c r="BE489" s="107">
        <f t="shared" si="144"/>
        <v>0.04</v>
      </c>
      <c r="BF489" s="107">
        <f t="shared" si="144"/>
        <v>0.04</v>
      </c>
      <c r="BG489" s="107">
        <f t="shared" si="144"/>
        <v>0.04</v>
      </c>
    </row>
    <row r="490" spans="1:59" ht="13.75" customHeight="1">
      <c r="A490" s="141" t="s">
        <v>166</v>
      </c>
      <c r="B490" s="142" t="s">
        <v>470</v>
      </c>
      <c r="D490" s="142" t="s">
        <v>168</v>
      </c>
      <c r="F490" s="168" t="s">
        <v>488</v>
      </c>
      <c r="X490" s="107">
        <v>-2.4738532841949712E-2</v>
      </c>
      <c r="Y490" s="158">
        <v>0.15767490428123909</v>
      </c>
      <c r="Z490" s="107">
        <v>8.538785327720988E-2</v>
      </c>
      <c r="AA490" s="158">
        <v>6.5096952908587191E-2</v>
      </c>
      <c r="AB490" s="158">
        <v>7.7490774907749138E-2</v>
      </c>
      <c r="AC490" s="107">
        <v>1.4400807816866257E-2</v>
      </c>
      <c r="AD490" s="107">
        <v>-1.6297121521103519E-2</v>
      </c>
      <c r="AE490" s="107">
        <v>0.215</v>
      </c>
      <c r="AF490" s="107">
        <f t="shared" si="143"/>
        <v>0.15</v>
      </c>
      <c r="AG490" s="107">
        <f t="shared" si="143"/>
        <v>6.3441420107429369E-2</v>
      </c>
      <c r="AH490" s="107">
        <f t="shared" si="143"/>
        <v>3.158962342501126E-2</v>
      </c>
      <c r="AI490" s="107">
        <f t="shared" si="143"/>
        <v>3.966564408166029E-2</v>
      </c>
      <c r="AJ490" s="107">
        <f t="shared" si="143"/>
        <v>0.04</v>
      </c>
      <c r="AK490" s="107">
        <f t="shared" si="143"/>
        <v>0.04</v>
      </c>
      <c r="AL490" s="107">
        <f t="shared" si="143"/>
        <v>0.04</v>
      </c>
      <c r="AM490" s="107">
        <f t="shared" si="143"/>
        <v>0.04</v>
      </c>
      <c r="AN490" s="107">
        <f t="shared" si="144"/>
        <v>0.04</v>
      </c>
      <c r="AO490" s="107">
        <f t="shared" si="144"/>
        <v>0.04</v>
      </c>
      <c r="AP490" s="107">
        <f t="shared" si="144"/>
        <v>0.04</v>
      </c>
      <c r="AQ490" s="107">
        <f t="shared" si="144"/>
        <v>0.04</v>
      </c>
      <c r="AR490" s="107">
        <f t="shared" si="144"/>
        <v>0.04</v>
      </c>
      <c r="AS490" s="107">
        <f t="shared" si="144"/>
        <v>0.04</v>
      </c>
      <c r="AT490" s="107">
        <f t="shared" si="144"/>
        <v>0.04</v>
      </c>
      <c r="AU490" s="107">
        <f t="shared" si="144"/>
        <v>0.04</v>
      </c>
      <c r="AV490" s="107">
        <f t="shared" si="144"/>
        <v>0.04</v>
      </c>
      <c r="AW490" s="107">
        <f t="shared" si="144"/>
        <v>0.04</v>
      </c>
      <c r="AX490" s="107">
        <f t="shared" si="144"/>
        <v>0.04</v>
      </c>
      <c r="AY490" s="107">
        <f t="shared" si="144"/>
        <v>0.04</v>
      </c>
      <c r="AZ490" s="107">
        <f t="shared" si="144"/>
        <v>0.04</v>
      </c>
      <c r="BA490" s="107">
        <f t="shared" si="144"/>
        <v>0.04</v>
      </c>
      <c r="BB490" s="107">
        <f t="shared" si="144"/>
        <v>0.04</v>
      </c>
      <c r="BC490" s="107">
        <f t="shared" si="144"/>
        <v>0.04</v>
      </c>
      <c r="BD490" s="107">
        <f t="shared" si="144"/>
        <v>0.04</v>
      </c>
      <c r="BE490" s="107">
        <f t="shared" si="144"/>
        <v>0.04</v>
      </c>
      <c r="BF490" s="107">
        <f t="shared" si="144"/>
        <v>0.04</v>
      </c>
      <c r="BG490" s="107">
        <f t="shared" si="144"/>
        <v>0.04</v>
      </c>
    </row>
    <row r="491" spans="1:59" ht="13.75" customHeight="1">
      <c r="A491" s="141" t="s">
        <v>166</v>
      </c>
      <c r="B491" s="142" t="s">
        <v>470</v>
      </c>
      <c r="D491" s="142" t="s">
        <v>168</v>
      </c>
      <c r="F491" s="168" t="s">
        <v>489</v>
      </c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  <c r="AU491" s="116"/>
      <c r="AV491" s="116"/>
      <c r="AW491" s="116"/>
      <c r="AX491" s="116"/>
      <c r="AY491" s="116"/>
      <c r="AZ491" s="116"/>
      <c r="BA491" s="116"/>
      <c r="BB491" s="116"/>
      <c r="BC491" s="116"/>
      <c r="BD491" s="116"/>
      <c r="BE491" s="116"/>
      <c r="BF491" s="116"/>
      <c r="BG491" s="116"/>
    </row>
    <row r="492" spans="1:59" ht="13.75" customHeight="1">
      <c r="A492" s="141" t="s">
        <v>166</v>
      </c>
      <c r="B492" s="142" t="s">
        <v>470</v>
      </c>
      <c r="D492" s="142" t="s">
        <v>168</v>
      </c>
      <c r="F492" s="168" t="s">
        <v>490</v>
      </c>
      <c r="J492" s="107">
        <v>0.11221122112211224</v>
      </c>
      <c r="K492" s="107">
        <v>8.0118694362017573E-2</v>
      </c>
      <c r="L492" s="107">
        <v>7.9670329670329609E-2</v>
      </c>
      <c r="M492" s="107">
        <v>0.11450381679389321</v>
      </c>
      <c r="N492" s="107">
        <v>5.0228310502283158E-2</v>
      </c>
      <c r="O492" s="107">
        <v>0.14130434782608692</v>
      </c>
      <c r="P492" s="107">
        <v>0.14285714285714279</v>
      </c>
      <c r="Q492" s="107">
        <v>1.0000000000000009E-2</v>
      </c>
      <c r="R492" s="107">
        <v>-0.27392739273927391</v>
      </c>
      <c r="S492" s="107">
        <v>0.13181818181818183</v>
      </c>
      <c r="T492" s="107">
        <v>0.15662650602409656</v>
      </c>
      <c r="U492" s="107">
        <v>0.13020833333333326</v>
      </c>
      <c r="V492" s="107">
        <v>6.9124423963133674E-2</v>
      </c>
      <c r="W492" s="107">
        <v>2.7298850574712707E-2</v>
      </c>
      <c r="X492" s="107">
        <v>-0.11504895104895108</v>
      </c>
      <c r="Y492" s="107">
        <v>-0.11766286310332841</v>
      </c>
      <c r="Z492" s="107">
        <v>-5.3735513801070889E-3</v>
      </c>
      <c r="AA492" s="107">
        <v>-2.7625204847917417E-2</v>
      </c>
      <c r="AB492" s="107">
        <v>7.2999999999999995E-2</v>
      </c>
      <c r="AC492" s="107">
        <v>-3.4000000000000002E-2</v>
      </c>
      <c r="AD492" s="107">
        <v>2.4E-2</v>
      </c>
      <c r="AE492" s="107">
        <v>6.0000000000000001E-3</v>
      </c>
      <c r="AF492" s="107">
        <v>0.03</v>
      </c>
      <c r="AG492" s="107">
        <v>0.02</v>
      </c>
      <c r="AH492" s="107">
        <v>0.02</v>
      </c>
      <c r="AI492" s="107">
        <f t="shared" ref="AI492:BG492" si="145">AH492</f>
        <v>0.02</v>
      </c>
      <c r="AJ492" s="107">
        <f t="shared" si="145"/>
        <v>0.02</v>
      </c>
      <c r="AK492" s="107">
        <f t="shared" si="145"/>
        <v>0.02</v>
      </c>
      <c r="AL492" s="107">
        <f t="shared" si="145"/>
        <v>0.02</v>
      </c>
      <c r="AM492" s="107">
        <f t="shared" si="145"/>
        <v>0.02</v>
      </c>
      <c r="AN492" s="107">
        <f t="shared" si="145"/>
        <v>0.02</v>
      </c>
      <c r="AO492" s="107">
        <f t="shared" si="145"/>
        <v>0.02</v>
      </c>
      <c r="AP492" s="107">
        <f t="shared" si="145"/>
        <v>0.02</v>
      </c>
      <c r="AQ492" s="107">
        <f t="shared" si="145"/>
        <v>0.02</v>
      </c>
      <c r="AR492" s="107">
        <f t="shared" si="145"/>
        <v>0.02</v>
      </c>
      <c r="AS492" s="107">
        <f t="shared" si="145"/>
        <v>0.02</v>
      </c>
      <c r="AT492" s="107">
        <f t="shared" si="145"/>
        <v>0.02</v>
      </c>
      <c r="AU492" s="107">
        <f t="shared" si="145"/>
        <v>0.02</v>
      </c>
      <c r="AV492" s="107">
        <f t="shared" si="145"/>
        <v>0.02</v>
      </c>
      <c r="AW492" s="107">
        <f t="shared" si="145"/>
        <v>0.02</v>
      </c>
      <c r="AX492" s="107">
        <f t="shared" si="145"/>
        <v>0.02</v>
      </c>
      <c r="AY492" s="107">
        <f t="shared" si="145"/>
        <v>0.02</v>
      </c>
      <c r="AZ492" s="107">
        <f t="shared" si="145"/>
        <v>0.02</v>
      </c>
      <c r="BA492" s="107">
        <f t="shared" si="145"/>
        <v>0.02</v>
      </c>
      <c r="BB492" s="107">
        <f t="shared" si="145"/>
        <v>0.02</v>
      </c>
      <c r="BC492" s="107">
        <f t="shared" si="145"/>
        <v>0.02</v>
      </c>
      <c r="BD492" s="107">
        <f t="shared" si="145"/>
        <v>0.02</v>
      </c>
      <c r="BE492" s="107">
        <f t="shared" si="145"/>
        <v>0.02</v>
      </c>
      <c r="BF492" s="107">
        <f t="shared" si="145"/>
        <v>0.02</v>
      </c>
      <c r="BG492" s="107">
        <f t="shared" si="145"/>
        <v>0.02</v>
      </c>
    </row>
    <row r="493" spans="1:59" ht="13.75" customHeight="1" outlineLevel="1">
      <c r="F493" s="168"/>
    </row>
    <row r="494" spans="1:59" ht="13.75" customHeight="1" outlineLevel="1">
      <c r="F494" s="168"/>
    </row>
    <row r="495" spans="1:59" ht="13.75" customHeight="1" outlineLevel="1">
      <c r="F495" s="168"/>
    </row>
    <row r="496" spans="1:59" ht="13.75" customHeight="1" outlineLevel="1">
      <c r="F496" s="168"/>
    </row>
    <row r="497" spans="1:59" ht="13.75" customHeight="1" outlineLevel="1">
      <c r="F497" s="168"/>
    </row>
    <row r="498" spans="1:59" ht="13.75" customHeight="1" outlineLevel="1">
      <c r="F498" s="168"/>
    </row>
    <row r="499" spans="1:59" ht="13.75" customHeight="1" outlineLevel="1">
      <c r="F499" s="168"/>
    </row>
    <row r="500" spans="1:59" ht="13.75" customHeight="1" outlineLevel="1">
      <c r="F500" s="168"/>
    </row>
    <row r="501" spans="1:59" ht="13.75" customHeight="1" outlineLevel="1">
      <c r="F501" s="168"/>
    </row>
    <row r="502" spans="1:59" ht="13.75" customHeight="1" outlineLevel="1">
      <c r="F502" s="168"/>
      <c r="AF502" s="135"/>
      <c r="AG502" s="135"/>
      <c r="AH502" s="135"/>
      <c r="AI502" s="135"/>
    </row>
    <row r="503" spans="1:59" ht="13.75" customHeight="1" outlineLevel="1">
      <c r="F503" s="168"/>
    </row>
    <row r="504" spans="1:59" ht="13.75" customHeight="1" outlineLevel="1">
      <c r="F504" s="168"/>
    </row>
    <row r="505" spans="1:59" ht="13.75" customHeight="1" outlineLevel="1">
      <c r="F505" s="168"/>
    </row>
    <row r="506" spans="1:59" ht="13.75" customHeight="1" outlineLevel="1">
      <c r="F506" s="168"/>
      <c r="AD506" s="114"/>
      <c r="AE506" s="114"/>
      <c r="AF506" s="135"/>
      <c r="AG506" s="135"/>
      <c r="AH506" s="135"/>
      <c r="AI506" s="135"/>
      <c r="AJ506" s="114"/>
      <c r="AK506" s="114"/>
      <c r="AL506" s="114"/>
      <c r="AM506" s="114"/>
    </row>
    <row r="507" spans="1:59" ht="13.75" customHeight="1" outlineLevel="1">
      <c r="F507" s="168"/>
    </row>
    <row r="508" spans="1:59" ht="13.75" customHeight="1">
      <c r="A508" s="141" t="s">
        <v>166</v>
      </c>
      <c r="B508" s="142" t="s">
        <v>491</v>
      </c>
      <c r="C508" s="142" t="s">
        <v>492</v>
      </c>
      <c r="D508" s="142" t="s">
        <v>87</v>
      </c>
      <c r="F508" s="168" t="s">
        <v>493</v>
      </c>
      <c r="G508" s="109" t="s">
        <v>494</v>
      </c>
      <c r="U508" s="112">
        <v>149.1</v>
      </c>
      <c r="V508" s="112">
        <v>152.13</v>
      </c>
      <c r="W508" s="112">
        <v>179.87</v>
      </c>
      <c r="X508" s="112">
        <v>223.15</v>
      </c>
      <c r="Y508" s="112">
        <v>347.77486338797814</v>
      </c>
      <c r="Z508" s="112">
        <v>326.05030136986301</v>
      </c>
      <c r="AA508" s="112">
        <v>345.17</v>
      </c>
      <c r="AB508" s="112">
        <v>382.83</v>
      </c>
      <c r="AC508" s="112">
        <v>412.95</v>
      </c>
      <c r="AD508" s="112">
        <v>425.97780821917809</v>
      </c>
      <c r="AE508" s="112">
        <v>460.8</v>
      </c>
      <c r="AF508" s="112">
        <v>462.57</v>
      </c>
      <c r="AG508" s="112">
        <v>484.01816400000007</v>
      </c>
      <c r="AH508" s="112">
        <v>493.19649514800011</v>
      </c>
      <c r="AI508" s="112">
        <f>AVERAGE(AH509:AI509)</f>
        <v>499.71937689075321</v>
      </c>
      <c r="AJ508" s="112">
        <f>AVERAGE(AI509:AJ509)</f>
        <v>509.56731240036146</v>
      </c>
      <c r="AK508" s="112">
        <f>AVERAGE(AJ509:AK509)</f>
        <v>519.75865864836874</v>
      </c>
      <c r="AL508" s="112">
        <f>AVERAGE(AK509:AL509)</f>
        <v>530.1538318213361</v>
      </c>
      <c r="AM508" s="112">
        <f t="shared" ref="AM508:AY508" si="146">AVERAGE(AL509:AM509)</f>
        <v>540.75690845776285</v>
      </c>
      <c r="AN508" s="112">
        <f t="shared" si="146"/>
        <v>551.57204662691811</v>
      </c>
      <c r="AO508" s="112">
        <f t="shared" si="146"/>
        <v>562.60348755945643</v>
      </c>
      <c r="AP508" s="112">
        <f t="shared" si="146"/>
        <v>573.85555731064562</v>
      </c>
      <c r="AQ508" s="112">
        <f t="shared" si="146"/>
        <v>585.33266845685853</v>
      </c>
      <c r="AR508" s="112">
        <f t="shared" si="146"/>
        <v>597.03932182599578</v>
      </c>
      <c r="AS508" s="112">
        <f t="shared" si="146"/>
        <v>608.98010826251573</v>
      </c>
      <c r="AT508" s="112">
        <f t="shared" si="146"/>
        <v>621.15971042776607</v>
      </c>
      <c r="AU508" s="112">
        <f t="shared" si="146"/>
        <v>633.58290463632147</v>
      </c>
      <c r="AV508" s="112">
        <f t="shared" si="146"/>
        <v>646.25456272904785</v>
      </c>
      <c r="AW508" s="112">
        <f t="shared" si="146"/>
        <v>659.17965398362878</v>
      </c>
      <c r="AX508" s="112">
        <f t="shared" si="146"/>
        <v>672.36324706330129</v>
      </c>
      <c r="AY508" s="112">
        <f t="shared" si="146"/>
        <v>685.81051200456739</v>
      </c>
      <c r="AZ508" s="112">
        <f>AVERAGE(AY509:AZ509)</f>
        <v>699.52672224465869</v>
      </c>
      <c r="BA508" s="112">
        <f>AVERAGE(AZ509:BA509)</f>
        <v>713.51725668955191</v>
      </c>
      <c r="BB508" s="112">
        <f>AVERAGE(BA509:BB509)</f>
        <v>727.78760182334304</v>
      </c>
      <c r="BC508" s="112">
        <f t="shared" ref="BC508:BG508" si="147">AVERAGE(BB509:BC509)</f>
        <v>742.34335385980989</v>
      </c>
      <c r="BD508" s="112">
        <f t="shared" si="147"/>
        <v>757.19022093700619</v>
      </c>
      <c r="BE508" s="112">
        <f t="shared" si="147"/>
        <v>772.33402535574623</v>
      </c>
      <c r="BF508" s="112">
        <f t="shared" si="147"/>
        <v>787.78070586286117</v>
      </c>
      <c r="BG508" s="112">
        <f t="shared" si="147"/>
        <v>803.53631998011838</v>
      </c>
    </row>
    <row r="509" spans="1:59" ht="13.75" customHeight="1">
      <c r="A509" s="141" t="s">
        <v>166</v>
      </c>
      <c r="B509" s="142" t="s">
        <v>491</v>
      </c>
      <c r="C509" s="142" t="s">
        <v>492</v>
      </c>
      <c r="D509" s="142" t="s">
        <v>87</v>
      </c>
      <c r="F509" s="168" t="s">
        <v>495</v>
      </c>
      <c r="G509" s="109" t="s">
        <v>494</v>
      </c>
      <c r="I509" s="109" t="s">
        <v>496</v>
      </c>
      <c r="U509" s="112">
        <v>150.4</v>
      </c>
      <c r="V509" s="112">
        <v>154.04</v>
      </c>
      <c r="W509" s="112">
        <v>185</v>
      </c>
      <c r="X509" s="112">
        <v>340.5</v>
      </c>
      <c r="Y509" s="112">
        <v>333.29</v>
      </c>
      <c r="Z509" s="112">
        <v>332.33</v>
      </c>
      <c r="AA509" s="112">
        <v>381.03</v>
      </c>
      <c r="AB509" s="112">
        <v>382.86</v>
      </c>
      <c r="AC509" s="112">
        <v>421.3</v>
      </c>
      <c r="AD509" s="112">
        <v>431.7</v>
      </c>
      <c r="AE509" s="112">
        <v>462.65</v>
      </c>
      <c r="AF509" s="112">
        <v>476.56000000000006</v>
      </c>
      <c r="AG509" s="112">
        <v>491.47632800000014</v>
      </c>
      <c r="AH509" s="112">
        <v>494.91666229600008</v>
      </c>
      <c r="AI509" s="112">
        <f>AH509*(1+AI510-AI$4)</f>
        <v>504.52209148550639</v>
      </c>
      <c r="AJ509" s="112">
        <f t="shared" ref="AJ509:AX509" si="148">AI509*(1+AJ510-AJ$4)</f>
        <v>514.61253331521652</v>
      </c>
      <c r="AK509" s="112">
        <f t="shared" si="148"/>
        <v>524.90478398152084</v>
      </c>
      <c r="AL509" s="112">
        <f t="shared" si="148"/>
        <v>535.40287966115125</v>
      </c>
      <c r="AM509" s="112">
        <f t="shared" si="148"/>
        <v>546.11093725437433</v>
      </c>
      <c r="AN509" s="112">
        <f t="shared" si="148"/>
        <v>557.03315599946188</v>
      </c>
      <c r="AO509" s="112">
        <f t="shared" si="148"/>
        <v>568.17381911945108</v>
      </c>
      <c r="AP509" s="112">
        <f t="shared" si="148"/>
        <v>579.53729550184016</v>
      </c>
      <c r="AQ509" s="112">
        <f t="shared" si="148"/>
        <v>591.12804141187701</v>
      </c>
      <c r="AR509" s="112">
        <f t="shared" si="148"/>
        <v>602.95060224011456</v>
      </c>
      <c r="AS509" s="112">
        <f>AR509*(1+AS510-AS$4)</f>
        <v>615.00961428491689</v>
      </c>
      <c r="AT509" s="112">
        <f t="shared" si="148"/>
        <v>627.30980657061525</v>
      </c>
      <c r="AU509" s="112">
        <f t="shared" si="148"/>
        <v>639.85600270202758</v>
      </c>
      <c r="AV509" s="112">
        <f t="shared" si="148"/>
        <v>652.65312275606811</v>
      </c>
      <c r="AW509" s="112">
        <f t="shared" si="148"/>
        <v>665.70618521118945</v>
      </c>
      <c r="AX509" s="112">
        <f t="shared" si="148"/>
        <v>679.02030891541324</v>
      </c>
      <c r="AY509" s="112">
        <f>AX509*(1+AY510-AY$4)</f>
        <v>692.60071509372153</v>
      </c>
      <c r="AZ509" s="112">
        <f t="shared" ref="AZ509:BA509" si="149">AY509*(1+AZ510-AZ$4)</f>
        <v>706.45272939559595</v>
      </c>
      <c r="BA509" s="112">
        <f t="shared" si="149"/>
        <v>720.58178398350788</v>
      </c>
      <c r="BB509" s="112">
        <f>BA509*(1+BB510-BB$4)</f>
        <v>734.99341966317809</v>
      </c>
      <c r="BC509" s="112">
        <f t="shared" ref="BC509:BG509" si="150">BB509*(1+BC510-BC$4)</f>
        <v>749.6932880564417</v>
      </c>
      <c r="BD509" s="112">
        <f t="shared" si="150"/>
        <v>764.68715381757056</v>
      </c>
      <c r="BE509" s="112">
        <f t="shared" si="150"/>
        <v>779.98089689392202</v>
      </c>
      <c r="BF509" s="112">
        <f t="shared" si="150"/>
        <v>795.58051483180043</v>
      </c>
      <c r="BG509" s="112">
        <f t="shared" si="150"/>
        <v>811.49212512843644</v>
      </c>
    </row>
    <row r="510" spans="1:59" ht="13.75" customHeight="1">
      <c r="A510" s="141" t="s">
        <v>166</v>
      </c>
      <c r="B510" s="142" t="s">
        <v>491</v>
      </c>
      <c r="C510" s="142" t="s">
        <v>492</v>
      </c>
      <c r="D510" s="142" t="s">
        <v>87</v>
      </c>
      <c r="F510" s="168" t="s">
        <v>497</v>
      </c>
      <c r="G510" s="109" t="s">
        <v>3</v>
      </c>
      <c r="I510" s="109" t="s">
        <v>498</v>
      </c>
      <c r="U510" s="107">
        <v>5.0999999999999997E-2</v>
      </c>
      <c r="V510" s="107">
        <v>5.7999999999999996E-2</v>
      </c>
      <c r="W510" s="107">
        <v>6.7000000000000004E-2</v>
      </c>
      <c r="X510" s="107">
        <v>6.6500000000000004E-2</v>
      </c>
      <c r="Y510" s="107">
        <v>0.14679999999999999</v>
      </c>
      <c r="Z510" s="107">
        <v>7.3999999999999996E-2</v>
      </c>
      <c r="AA510" s="107">
        <v>6.0899999999999996E-2</v>
      </c>
      <c r="AB510" s="107">
        <v>5.2400000000000002E-2</v>
      </c>
      <c r="AC510" s="107">
        <v>6.7919999999999994E-2</v>
      </c>
      <c r="AD510" s="107">
        <v>0.08</v>
      </c>
      <c r="AE510" s="107">
        <v>0.20300000000000001</v>
      </c>
      <c r="AF510" s="107">
        <v>0.12</v>
      </c>
      <c r="AG510" s="107">
        <v>7.0000000000000007E-2</v>
      </c>
      <c r="AH510" s="107">
        <v>0.04</v>
      </c>
      <c r="AI510" s="107">
        <f>AH510</f>
        <v>0.04</v>
      </c>
      <c r="AJ510" s="107">
        <f t="shared" ref="AJ510:BG510" si="151">AI510</f>
        <v>0.04</v>
      </c>
      <c r="AK510" s="107">
        <f t="shared" si="151"/>
        <v>0.04</v>
      </c>
      <c r="AL510" s="107">
        <f t="shared" si="151"/>
        <v>0.04</v>
      </c>
      <c r="AM510" s="107">
        <f t="shared" si="151"/>
        <v>0.04</v>
      </c>
      <c r="AN510" s="107">
        <f t="shared" si="151"/>
        <v>0.04</v>
      </c>
      <c r="AO510" s="107">
        <f t="shared" si="151"/>
        <v>0.04</v>
      </c>
      <c r="AP510" s="107">
        <f t="shared" si="151"/>
        <v>0.04</v>
      </c>
      <c r="AQ510" s="107">
        <f t="shared" si="151"/>
        <v>0.04</v>
      </c>
      <c r="AR510" s="107">
        <f t="shared" si="151"/>
        <v>0.04</v>
      </c>
      <c r="AS510" s="107">
        <f t="shared" si="151"/>
        <v>0.04</v>
      </c>
      <c r="AT510" s="107">
        <f t="shared" si="151"/>
        <v>0.04</v>
      </c>
      <c r="AU510" s="107">
        <f t="shared" si="151"/>
        <v>0.04</v>
      </c>
      <c r="AV510" s="107">
        <f t="shared" si="151"/>
        <v>0.04</v>
      </c>
      <c r="AW510" s="107">
        <f t="shared" si="151"/>
        <v>0.04</v>
      </c>
      <c r="AX510" s="107">
        <f t="shared" si="151"/>
        <v>0.04</v>
      </c>
      <c r="AY510" s="107">
        <f t="shared" si="151"/>
        <v>0.04</v>
      </c>
      <c r="AZ510" s="107">
        <f t="shared" si="151"/>
        <v>0.04</v>
      </c>
      <c r="BA510" s="107">
        <f t="shared" si="151"/>
        <v>0.04</v>
      </c>
      <c r="BB510" s="107">
        <f t="shared" si="151"/>
        <v>0.04</v>
      </c>
      <c r="BC510" s="107">
        <f t="shared" si="151"/>
        <v>0.04</v>
      </c>
      <c r="BD510" s="107">
        <f t="shared" si="151"/>
        <v>0.04</v>
      </c>
      <c r="BE510" s="107">
        <f t="shared" si="151"/>
        <v>0.04</v>
      </c>
      <c r="BF510" s="107">
        <f t="shared" si="151"/>
        <v>0.04</v>
      </c>
      <c r="BG510" s="107">
        <f t="shared" si="151"/>
        <v>0.04</v>
      </c>
    </row>
    <row r="511" spans="1:59" ht="13.75" customHeight="1">
      <c r="A511" s="141" t="s">
        <v>166</v>
      </c>
      <c r="B511" s="142" t="s">
        <v>491</v>
      </c>
      <c r="C511" s="142" t="s">
        <v>492</v>
      </c>
      <c r="D511" s="142" t="s">
        <v>98</v>
      </c>
      <c r="F511" s="168" t="s">
        <v>499</v>
      </c>
      <c r="G511" s="109" t="s">
        <v>3</v>
      </c>
      <c r="I511" s="109" t="s">
        <v>498</v>
      </c>
      <c r="U511" s="107">
        <v>0.11200000000000002</v>
      </c>
      <c r="V511" s="107">
        <v>3.5499999999999997E-2</v>
      </c>
      <c r="W511" s="107">
        <v>9.5000000000000001E-2</v>
      </c>
      <c r="X511" s="107">
        <v>-0.20499999999999999</v>
      </c>
      <c r="Y511" s="107">
        <v>0.16800000000000001</v>
      </c>
      <c r="Z511" s="107">
        <v>0.16600000000000001</v>
      </c>
      <c r="AA511" s="107">
        <v>0.189833</v>
      </c>
      <c r="AB511" s="107">
        <v>1.3999999999999999E-2</v>
      </c>
      <c r="AC511" s="107">
        <v>-4.2000000000000003E-2</v>
      </c>
      <c r="AD511" s="107">
        <v>0.46100000000000002</v>
      </c>
      <c r="AE511" s="107">
        <f t="shared" ref="AE511:AY511" si="152">AE510</f>
        <v>0.20300000000000001</v>
      </c>
      <c r="AF511" s="107">
        <f>AF510</f>
        <v>0.12</v>
      </c>
      <c r="AG511" s="107">
        <f t="shared" si="152"/>
        <v>7.0000000000000007E-2</v>
      </c>
      <c r="AH511" s="107">
        <f t="shared" si="152"/>
        <v>0.04</v>
      </c>
      <c r="AI511" s="107">
        <f t="shared" si="152"/>
        <v>0.04</v>
      </c>
      <c r="AJ511" s="107">
        <f t="shared" si="152"/>
        <v>0.04</v>
      </c>
      <c r="AK511" s="107">
        <f t="shared" si="152"/>
        <v>0.04</v>
      </c>
      <c r="AL511" s="107">
        <f t="shared" si="152"/>
        <v>0.04</v>
      </c>
      <c r="AM511" s="107">
        <f t="shared" si="152"/>
        <v>0.04</v>
      </c>
      <c r="AN511" s="107">
        <f t="shared" si="152"/>
        <v>0.04</v>
      </c>
      <c r="AO511" s="107">
        <f t="shared" si="152"/>
        <v>0.04</v>
      </c>
      <c r="AP511" s="107">
        <f t="shared" si="152"/>
        <v>0.04</v>
      </c>
      <c r="AQ511" s="107">
        <f t="shared" si="152"/>
        <v>0.04</v>
      </c>
      <c r="AR511" s="107">
        <f t="shared" si="152"/>
        <v>0.04</v>
      </c>
      <c r="AS511" s="107">
        <f t="shared" si="152"/>
        <v>0.04</v>
      </c>
      <c r="AT511" s="107">
        <f t="shared" si="152"/>
        <v>0.04</v>
      </c>
      <c r="AU511" s="107">
        <f t="shared" si="152"/>
        <v>0.04</v>
      </c>
      <c r="AV511" s="107">
        <f t="shared" si="152"/>
        <v>0.04</v>
      </c>
      <c r="AW511" s="107">
        <f t="shared" si="152"/>
        <v>0.04</v>
      </c>
      <c r="AX511" s="107">
        <f>AX510</f>
        <v>0.04</v>
      </c>
      <c r="AY511" s="107">
        <f t="shared" si="152"/>
        <v>0.04</v>
      </c>
      <c r="AZ511" s="107">
        <f>AZ510</f>
        <v>0.04</v>
      </c>
      <c r="BA511" s="107">
        <f>BA510</f>
        <v>0.04</v>
      </c>
      <c r="BB511" s="107">
        <f>BB510</f>
        <v>0.04</v>
      </c>
      <c r="BC511" s="107">
        <f t="shared" ref="BC511:BG511" si="153">BC510</f>
        <v>0.04</v>
      </c>
      <c r="BD511" s="107">
        <f t="shared" si="153"/>
        <v>0.04</v>
      </c>
      <c r="BE511" s="107">
        <f t="shared" si="153"/>
        <v>0.04</v>
      </c>
      <c r="BF511" s="107">
        <f t="shared" si="153"/>
        <v>0.04</v>
      </c>
      <c r="BG511" s="107">
        <f t="shared" si="153"/>
        <v>0.04</v>
      </c>
    </row>
    <row r="512" spans="1:59" ht="13.75" customHeight="1">
      <c r="A512" s="141" t="s">
        <v>166</v>
      </c>
      <c r="B512" s="142" t="s">
        <v>491</v>
      </c>
      <c r="C512" s="142" t="s">
        <v>500</v>
      </c>
      <c r="D512" s="142" t="s">
        <v>87</v>
      </c>
      <c r="F512" s="168" t="s">
        <v>501</v>
      </c>
      <c r="G512" s="109" t="s">
        <v>494</v>
      </c>
      <c r="U512" s="112">
        <v>8335.86</v>
      </c>
      <c r="V512" s="112">
        <v>8875.83</v>
      </c>
      <c r="W512" s="112">
        <v>10215.530000000001</v>
      </c>
      <c r="X512" s="119">
        <v>15936</v>
      </c>
      <c r="Y512" s="113">
        <v>1.9845759999999999</v>
      </c>
      <c r="Z512" s="113">
        <v>1.9315</v>
      </c>
      <c r="AA512" s="159">
        <v>2.0379999999999998</v>
      </c>
      <c r="AB512" s="159">
        <v>2.091962073492402</v>
      </c>
      <c r="AC512" s="159">
        <v>2.4386297814207651</v>
      </c>
      <c r="AD512" s="111">
        <v>2.5365983561643834</v>
      </c>
      <c r="AE512" s="111">
        <v>2.62</v>
      </c>
      <c r="AF512" s="111">
        <v>2.92</v>
      </c>
      <c r="AG512" s="111">
        <v>3.22</v>
      </c>
      <c r="AH512" s="111">
        <v>3.38</v>
      </c>
      <c r="AI512" s="113">
        <f t="shared" ref="AI512:AK512" si="154">AVERAGE(AH513:AI513)</f>
        <v>3.5044879792404973</v>
      </c>
      <c r="AJ512" s="113">
        <f>AVERAGE(AI513:AJ513)</f>
        <v>3.6787003574430193</v>
      </c>
      <c r="AK512" s="113">
        <f t="shared" si="154"/>
        <v>3.8626353753151705</v>
      </c>
      <c r="AL512" s="113">
        <f>AVERAGE(AK513:AL513)</f>
        <v>4.0557671440809289</v>
      </c>
      <c r="AM512" s="113">
        <f t="shared" ref="AM512:AX512" si="155">AVERAGE(AL513:AM513)</f>
        <v>4.2585555012849756</v>
      </c>
      <c r="AN512" s="113">
        <f t="shared" si="155"/>
        <v>4.4714832763492245</v>
      </c>
      <c r="AO512" s="113">
        <f t="shared" si="155"/>
        <v>4.6950574401666856</v>
      </c>
      <c r="AP512" s="113">
        <f t="shared" si="155"/>
        <v>4.9298103121750199</v>
      </c>
      <c r="AQ512" s="113">
        <f t="shared" si="155"/>
        <v>5.1763008277837717</v>
      </c>
      <c r="AR512" s="113">
        <f t="shared" si="155"/>
        <v>5.43511586917296</v>
      </c>
      <c r="AS512" s="113">
        <f t="shared" si="155"/>
        <v>5.7068716626316078</v>
      </c>
      <c r="AT512" s="113">
        <f>AVERAGE(AS513:AT513)</f>
        <v>5.9922152457631883</v>
      </c>
      <c r="AU512" s="113">
        <f>AVERAGE(AT513:AU513)</f>
        <v>6.2918260080513484</v>
      </c>
      <c r="AV512" s="113">
        <f>AVERAGE(AU513:AV513)</f>
        <v>6.6064173084539153</v>
      </c>
      <c r="AW512" s="113">
        <f t="shared" si="155"/>
        <v>6.9367381738766118</v>
      </c>
      <c r="AX512" s="113">
        <f t="shared" si="155"/>
        <v>7.2835750825704419</v>
      </c>
      <c r="AY512" s="113">
        <f>AVERAGE(AX513:AY513)</f>
        <v>7.6477538366989641</v>
      </c>
      <c r="AZ512" s="113">
        <f>AVERAGE(AY513:AZ513)</f>
        <v>8.0301415285339139</v>
      </c>
      <c r="BA512" s="113">
        <f>AVERAGE(AZ513:BA513)</f>
        <v>8.4316486049606088</v>
      </c>
      <c r="BB512" s="113">
        <f>AVERAGE(BA513:BB513)</f>
        <v>8.8532310352086405</v>
      </c>
      <c r="BC512" s="113">
        <f t="shared" ref="BC512:BG512" si="156">AVERAGE(BB513:BC513)</f>
        <v>9.2958925869690727</v>
      </c>
      <c r="BD512" s="113">
        <f t="shared" si="156"/>
        <v>9.7606872163175282</v>
      </c>
      <c r="BE512" s="113">
        <f t="shared" si="156"/>
        <v>10.248721577133404</v>
      </c>
      <c r="BF512" s="113">
        <f t="shared" si="156"/>
        <v>10.761157655990075</v>
      </c>
      <c r="BG512" s="113">
        <f t="shared" si="156"/>
        <v>11.299215538789579</v>
      </c>
    </row>
    <row r="513" spans="1:59" ht="13.75" customHeight="1">
      <c r="A513" s="141" t="s">
        <v>166</v>
      </c>
      <c r="B513" s="142" t="s">
        <v>491</v>
      </c>
      <c r="C513" s="142" t="s">
        <v>500</v>
      </c>
      <c r="D513" s="142" t="s">
        <v>87</v>
      </c>
      <c r="F513" s="168" t="s">
        <v>502</v>
      </c>
      <c r="G513" s="109" t="s">
        <v>494</v>
      </c>
      <c r="I513" s="109" t="s">
        <v>496</v>
      </c>
      <c r="U513" s="112">
        <v>8570</v>
      </c>
      <c r="V513" s="112">
        <v>9432.74</v>
      </c>
      <c r="W513" s="112">
        <v>10953.42</v>
      </c>
      <c r="X513" s="119">
        <v>18569</v>
      </c>
      <c r="Y513" s="113">
        <v>1.956</v>
      </c>
      <c r="Z513" s="113">
        <v>1.9726999999999999</v>
      </c>
      <c r="AA513" s="159">
        <v>2.1659999999999999</v>
      </c>
      <c r="AB513" s="159">
        <v>2.1</v>
      </c>
      <c r="AC513" s="159">
        <v>2.5977999999999999</v>
      </c>
      <c r="AD513" s="111">
        <v>2.5480999999999998</v>
      </c>
      <c r="AE513" s="111">
        <v>2.74</v>
      </c>
      <c r="AF513" s="111">
        <v>3.1</v>
      </c>
      <c r="AG513" s="111">
        <v>3.33</v>
      </c>
      <c r="AH513" s="111">
        <v>3.42</v>
      </c>
      <c r="AI513" s="112">
        <f>AH513*(1+AI514-AI$4)</f>
        <v>3.5889759584809946</v>
      </c>
      <c r="AJ513" s="112">
        <f t="shared" ref="AJ513:AR513" si="157">AI513*(1+AJ514-AJ$4)</f>
        <v>3.7684247564050444</v>
      </c>
      <c r="AK513" s="112">
        <f t="shared" si="157"/>
        <v>3.9568459942252967</v>
      </c>
      <c r="AL513" s="112">
        <f t="shared" si="157"/>
        <v>4.1546882939365615</v>
      </c>
      <c r="AM513" s="112">
        <f t="shared" si="157"/>
        <v>4.3624227086333898</v>
      </c>
      <c r="AN513" s="112">
        <f t="shared" si="157"/>
        <v>4.5805438440650592</v>
      </c>
      <c r="AO513" s="112">
        <f t="shared" si="157"/>
        <v>4.8095710362683119</v>
      </c>
      <c r="AP513" s="112">
        <f t="shared" si="157"/>
        <v>5.0500495880817278</v>
      </c>
      <c r="AQ513" s="112">
        <f t="shared" si="157"/>
        <v>5.3025520674858146</v>
      </c>
      <c r="AR513" s="112">
        <f t="shared" si="157"/>
        <v>5.5676796708601053</v>
      </c>
      <c r="AS513" s="112">
        <f>AR513*(1+AS514-AS$4)</f>
        <v>5.8460636544031104</v>
      </c>
      <c r="AT513" s="112">
        <f t="shared" ref="AT513:BG513" si="158">AS513*(1+AT514-AT$4)</f>
        <v>6.1383668371232663</v>
      </c>
      <c r="AU513" s="112">
        <f t="shared" si="158"/>
        <v>6.4452851789794297</v>
      </c>
      <c r="AV513" s="112">
        <f t="shared" si="158"/>
        <v>6.7675494379284018</v>
      </c>
      <c r="AW513" s="112">
        <f t="shared" si="158"/>
        <v>7.1059269098248219</v>
      </c>
      <c r="AX513" s="112">
        <f t="shared" si="158"/>
        <v>7.4612232553160629</v>
      </c>
      <c r="AY513" s="112">
        <f t="shared" si="158"/>
        <v>7.8342844180818663</v>
      </c>
      <c r="AZ513" s="112">
        <f t="shared" si="158"/>
        <v>8.2259986389859598</v>
      </c>
      <c r="BA513" s="112">
        <f t="shared" si="158"/>
        <v>8.6372985709352577</v>
      </c>
      <c r="BB513" s="112">
        <f t="shared" si="158"/>
        <v>9.0691634994820216</v>
      </c>
      <c r="BC513" s="112">
        <f t="shared" si="158"/>
        <v>9.5226216744561238</v>
      </c>
      <c r="BD513" s="112">
        <f t="shared" si="158"/>
        <v>9.9987527581789308</v>
      </c>
      <c r="BE513" s="112">
        <f t="shared" si="158"/>
        <v>10.498690396087877</v>
      </c>
      <c r="BF513" s="112">
        <f t="shared" si="158"/>
        <v>11.023624915892272</v>
      </c>
      <c r="BG513" s="112">
        <f t="shared" si="158"/>
        <v>11.574806161686887</v>
      </c>
    </row>
    <row r="514" spans="1:59" ht="13.75" customHeight="1">
      <c r="A514" s="141" t="s">
        <v>166</v>
      </c>
      <c r="B514" s="142" t="s">
        <v>491</v>
      </c>
      <c r="C514" s="142" t="s">
        <v>500</v>
      </c>
      <c r="D514" s="142" t="s">
        <v>87</v>
      </c>
      <c r="F514" s="168" t="s">
        <v>503</v>
      </c>
      <c r="G514" s="109" t="s">
        <v>3</v>
      </c>
      <c r="I514" s="109" t="s">
        <v>498</v>
      </c>
      <c r="U514" s="107">
        <v>0.65249999999999997</v>
      </c>
      <c r="V514" s="107">
        <v>0.183</v>
      </c>
      <c r="W514" s="107">
        <v>0.18100000000000002</v>
      </c>
      <c r="X514" s="107">
        <v>0.13500000000000001</v>
      </c>
      <c r="Y514" s="107">
        <v>0.11800000000000001</v>
      </c>
      <c r="Z514" s="107">
        <v>6.0999999999999999E-2</v>
      </c>
      <c r="AA514" s="107">
        <v>4.9100000000000005E-2</v>
      </c>
      <c r="AB514" s="107">
        <v>5.5399999999999998E-2</v>
      </c>
      <c r="AC514" s="107">
        <v>5.5500000000000001E-2</v>
      </c>
      <c r="AD514" s="107">
        <v>9.4499999999999987E-2</v>
      </c>
      <c r="AE514" s="107">
        <v>0.152</v>
      </c>
      <c r="AF514" s="107">
        <v>9.5000000000000001E-2</v>
      </c>
      <c r="AG514" s="107">
        <v>0.105</v>
      </c>
      <c r="AH514" s="107">
        <v>7.0000000000000007E-2</v>
      </c>
      <c r="AI514" s="107">
        <f t="shared" ref="AI514:BG514" si="159">AH514</f>
        <v>7.0000000000000007E-2</v>
      </c>
      <c r="AJ514" s="107">
        <f t="shared" si="159"/>
        <v>7.0000000000000007E-2</v>
      </c>
      <c r="AK514" s="107">
        <f t="shared" si="159"/>
        <v>7.0000000000000007E-2</v>
      </c>
      <c r="AL514" s="107">
        <f t="shared" si="159"/>
        <v>7.0000000000000007E-2</v>
      </c>
      <c r="AM514" s="107">
        <f t="shared" si="159"/>
        <v>7.0000000000000007E-2</v>
      </c>
      <c r="AN514" s="107">
        <f t="shared" si="159"/>
        <v>7.0000000000000007E-2</v>
      </c>
      <c r="AO514" s="107">
        <f t="shared" si="159"/>
        <v>7.0000000000000007E-2</v>
      </c>
      <c r="AP514" s="107">
        <f t="shared" si="159"/>
        <v>7.0000000000000007E-2</v>
      </c>
      <c r="AQ514" s="107">
        <f t="shared" si="159"/>
        <v>7.0000000000000007E-2</v>
      </c>
      <c r="AR514" s="107">
        <f t="shared" si="159"/>
        <v>7.0000000000000007E-2</v>
      </c>
      <c r="AS514" s="107">
        <f t="shared" si="159"/>
        <v>7.0000000000000007E-2</v>
      </c>
      <c r="AT514" s="107">
        <f t="shared" si="159"/>
        <v>7.0000000000000007E-2</v>
      </c>
      <c r="AU514" s="107">
        <f>AT514</f>
        <v>7.0000000000000007E-2</v>
      </c>
      <c r="AV514" s="107">
        <f t="shared" si="159"/>
        <v>7.0000000000000007E-2</v>
      </c>
      <c r="AW514" s="107">
        <f t="shared" si="159"/>
        <v>7.0000000000000007E-2</v>
      </c>
      <c r="AX514" s="107">
        <f t="shared" si="159"/>
        <v>7.0000000000000007E-2</v>
      </c>
      <c r="AY514" s="107">
        <f t="shared" si="159"/>
        <v>7.0000000000000007E-2</v>
      </c>
      <c r="AZ514" s="107">
        <f t="shared" si="159"/>
        <v>7.0000000000000007E-2</v>
      </c>
      <c r="BA514" s="107">
        <f t="shared" si="159"/>
        <v>7.0000000000000007E-2</v>
      </c>
      <c r="BB514" s="107">
        <f t="shared" si="159"/>
        <v>7.0000000000000007E-2</v>
      </c>
      <c r="BC514" s="107">
        <f t="shared" si="159"/>
        <v>7.0000000000000007E-2</v>
      </c>
      <c r="BD514" s="107">
        <f t="shared" si="159"/>
        <v>7.0000000000000007E-2</v>
      </c>
      <c r="BE514" s="107">
        <f t="shared" si="159"/>
        <v>7.0000000000000007E-2</v>
      </c>
      <c r="BF514" s="107">
        <f t="shared" si="159"/>
        <v>7.0000000000000007E-2</v>
      </c>
      <c r="BG514" s="107">
        <f t="shared" si="159"/>
        <v>7.0000000000000007E-2</v>
      </c>
    </row>
    <row r="515" spans="1:59" ht="13.75" customHeight="1">
      <c r="A515" s="141" t="s">
        <v>166</v>
      </c>
      <c r="B515" s="142" t="s">
        <v>491</v>
      </c>
      <c r="C515" s="142" t="s">
        <v>500</v>
      </c>
      <c r="D515" s="142" t="s">
        <v>98</v>
      </c>
      <c r="F515" s="168" t="s">
        <v>504</v>
      </c>
      <c r="G515" s="109" t="s">
        <v>3</v>
      </c>
      <c r="I515" s="109" t="s">
        <v>498</v>
      </c>
      <c r="U515" s="107">
        <v>1.3519999999999999</v>
      </c>
      <c r="V515" s="107">
        <v>0.13600000000000001</v>
      </c>
      <c r="W515" s="107">
        <v>0.128</v>
      </c>
      <c r="X515" s="107">
        <v>0.16800000000000001</v>
      </c>
      <c r="Y515" s="107">
        <v>0.12</v>
      </c>
      <c r="Z515" s="107">
        <v>9.8000000000000004E-2</v>
      </c>
      <c r="AA515" s="107">
        <v>4.9100000000000005E-2</v>
      </c>
      <c r="AB515" s="107">
        <v>0.11199999999999999</v>
      </c>
      <c r="AC515" s="107">
        <v>0.112</v>
      </c>
      <c r="AD515" s="107">
        <v>0.11199999999999999</v>
      </c>
      <c r="AE515" s="107">
        <f>AE514</f>
        <v>0.152</v>
      </c>
      <c r="AF515" s="107">
        <f t="shared" ref="AF515:BG515" si="160">AF514</f>
        <v>9.5000000000000001E-2</v>
      </c>
      <c r="AG515" s="107">
        <f t="shared" si="160"/>
        <v>0.105</v>
      </c>
      <c r="AH515" s="107">
        <f t="shared" si="160"/>
        <v>7.0000000000000007E-2</v>
      </c>
      <c r="AI515" s="107">
        <f t="shared" si="160"/>
        <v>7.0000000000000007E-2</v>
      </c>
      <c r="AJ515" s="107">
        <f t="shared" si="160"/>
        <v>7.0000000000000007E-2</v>
      </c>
      <c r="AK515" s="107">
        <f t="shared" si="160"/>
        <v>7.0000000000000007E-2</v>
      </c>
      <c r="AL515" s="107">
        <f t="shared" si="160"/>
        <v>7.0000000000000007E-2</v>
      </c>
      <c r="AM515" s="107">
        <f t="shared" si="160"/>
        <v>7.0000000000000007E-2</v>
      </c>
      <c r="AN515" s="107">
        <f t="shared" si="160"/>
        <v>7.0000000000000007E-2</v>
      </c>
      <c r="AO515" s="107">
        <f t="shared" si="160"/>
        <v>7.0000000000000007E-2</v>
      </c>
      <c r="AP515" s="107">
        <f t="shared" si="160"/>
        <v>7.0000000000000007E-2</v>
      </c>
      <c r="AQ515" s="107">
        <f t="shared" si="160"/>
        <v>7.0000000000000007E-2</v>
      </c>
      <c r="AR515" s="107">
        <f t="shared" si="160"/>
        <v>7.0000000000000007E-2</v>
      </c>
      <c r="AS515" s="107">
        <f t="shared" si="160"/>
        <v>7.0000000000000007E-2</v>
      </c>
      <c r="AT515" s="107">
        <f t="shared" si="160"/>
        <v>7.0000000000000007E-2</v>
      </c>
      <c r="AU515" s="107">
        <f t="shared" si="160"/>
        <v>7.0000000000000007E-2</v>
      </c>
      <c r="AV515" s="107">
        <f>AV514</f>
        <v>7.0000000000000007E-2</v>
      </c>
      <c r="AW515" s="107">
        <f t="shared" si="160"/>
        <v>7.0000000000000007E-2</v>
      </c>
      <c r="AX515" s="107">
        <f t="shared" si="160"/>
        <v>7.0000000000000007E-2</v>
      </c>
      <c r="AY515" s="107">
        <f t="shared" si="160"/>
        <v>7.0000000000000007E-2</v>
      </c>
      <c r="AZ515" s="107">
        <f t="shared" si="160"/>
        <v>7.0000000000000007E-2</v>
      </c>
      <c r="BA515" s="107">
        <f t="shared" si="160"/>
        <v>7.0000000000000007E-2</v>
      </c>
      <c r="BB515" s="107">
        <f t="shared" si="160"/>
        <v>7.0000000000000007E-2</v>
      </c>
      <c r="BC515" s="107">
        <f t="shared" si="160"/>
        <v>7.0000000000000007E-2</v>
      </c>
      <c r="BD515" s="107">
        <f t="shared" si="160"/>
        <v>7.0000000000000007E-2</v>
      </c>
      <c r="BE515" s="107">
        <f t="shared" si="160"/>
        <v>7.0000000000000007E-2</v>
      </c>
      <c r="BF515" s="107">
        <f t="shared" si="160"/>
        <v>7.0000000000000007E-2</v>
      </c>
      <c r="BG515" s="107">
        <f t="shared" si="160"/>
        <v>7.0000000000000007E-2</v>
      </c>
    </row>
    <row r="516" spans="1:59" ht="13.75" customHeight="1">
      <c r="A516" s="141" t="s">
        <v>166</v>
      </c>
      <c r="B516" s="142" t="s">
        <v>491</v>
      </c>
      <c r="C516" s="142" t="s">
        <v>505</v>
      </c>
      <c r="D516" s="142" t="s">
        <v>87</v>
      </c>
      <c r="F516" s="168" t="s">
        <v>506</v>
      </c>
      <c r="G516" s="109" t="s">
        <v>494</v>
      </c>
      <c r="U516" s="112">
        <v>7.99</v>
      </c>
      <c r="V516" s="112">
        <v>8</v>
      </c>
      <c r="W516" s="112">
        <v>12.017799999999999</v>
      </c>
      <c r="X516" s="112">
        <v>21.75</v>
      </c>
      <c r="Y516" s="112">
        <v>25.5</v>
      </c>
      <c r="Z516" s="112">
        <v>26.600219178082192</v>
      </c>
      <c r="AA516" s="112">
        <v>27.184000000000001</v>
      </c>
      <c r="AB516" s="112">
        <v>26.955327868852457</v>
      </c>
      <c r="AC516" s="112">
        <v>28.372128995433791</v>
      </c>
      <c r="AD516" s="112">
        <v>27.640821917808218</v>
      </c>
      <c r="AE516" s="112">
        <v>28.583320000000001</v>
      </c>
      <c r="AF516" s="112">
        <v>29.531706239999998</v>
      </c>
      <c r="AG516" s="112">
        <v>30.476720839679999</v>
      </c>
      <c r="AH516" s="112">
        <f t="shared" ref="AH516:AY516" si="161">AVERAGE(AG517:AH517)</f>
        <v>31.411858771889932</v>
      </c>
      <c r="AI516" s="112">
        <f t="shared" si="161"/>
        <v>32.335624211554396</v>
      </c>
      <c r="AJ516" s="112">
        <f t="shared" si="161"/>
        <v>33.296263079869263</v>
      </c>
      <c r="AK516" s="112">
        <f t="shared" si="161"/>
        <v>34.29515097226534</v>
      </c>
      <c r="AL516" s="112">
        <f t="shared" si="161"/>
        <v>35.324005501433298</v>
      </c>
      <c r="AM516" s="112">
        <f t="shared" si="161"/>
        <v>36.383725666476295</v>
      </c>
      <c r="AN516" s="112">
        <f t="shared" si="161"/>
        <v>37.475237436470593</v>
      </c>
      <c r="AO516" s="112">
        <f t="shared" si="161"/>
        <v>38.599494559564704</v>
      </c>
      <c r="AP516" s="112">
        <f t="shared" si="161"/>
        <v>39.757479396351648</v>
      </c>
      <c r="AQ516" s="112">
        <f t="shared" si="161"/>
        <v>40.950203778242198</v>
      </c>
      <c r="AR516" s="112">
        <f t="shared" si="161"/>
        <v>42.178709891589463</v>
      </c>
      <c r="AS516" s="112">
        <f t="shared" si="161"/>
        <v>43.444071188337155</v>
      </c>
      <c r="AT516" s="112">
        <f t="shared" si="161"/>
        <v>44.747393323987268</v>
      </c>
      <c r="AU516" s="112">
        <f t="shared" si="161"/>
        <v>46.089815123706892</v>
      </c>
      <c r="AV516" s="112">
        <f t="shared" si="161"/>
        <v>47.472509577418101</v>
      </c>
      <c r="AW516" s="112">
        <f>AVERAGE(AV517:AW517)</f>
        <v>48.896684864740649</v>
      </c>
      <c r="AX516" s="112">
        <f t="shared" si="161"/>
        <v>50.363585410682866</v>
      </c>
      <c r="AY516" s="112">
        <f t="shared" si="161"/>
        <v>51.874492973003356</v>
      </c>
      <c r="AZ516" s="112">
        <f>AVERAGE(AY517:AZ517)</f>
        <v>53.430727762193456</v>
      </c>
      <c r="BA516" s="112">
        <f>AVERAGE(AZ517:BA517)</f>
        <v>55.033649595059259</v>
      </c>
      <c r="BB516" s="112">
        <f>AVERAGE(BA517:BB517)</f>
        <v>56.68465908291104</v>
      </c>
      <c r="BC516" s="112">
        <f t="shared" ref="BC516:BG516" si="162">AVERAGE(BB517:BC517)</f>
        <v>58.385198855398372</v>
      </c>
      <c r="BD516" s="112">
        <f t="shared" si="162"/>
        <v>60.136754821060322</v>
      </c>
      <c r="BE516" s="112">
        <f t="shared" si="162"/>
        <v>61.940857465692133</v>
      </c>
      <c r="BF516" s="112">
        <f t="shared" si="162"/>
        <v>63.799083189662909</v>
      </c>
      <c r="BG516" s="112">
        <f t="shared" si="162"/>
        <v>65.713055685352799</v>
      </c>
    </row>
    <row r="517" spans="1:59" ht="13.75" customHeight="1">
      <c r="A517" s="141" t="s">
        <v>166</v>
      </c>
      <c r="B517" s="142" t="s">
        <v>491</v>
      </c>
      <c r="C517" s="142" t="s">
        <v>505</v>
      </c>
      <c r="D517" s="142" t="s">
        <v>87</v>
      </c>
      <c r="F517" s="168" t="s">
        <v>507</v>
      </c>
      <c r="G517" s="109" t="s">
        <v>494</v>
      </c>
      <c r="I517" s="109" t="s">
        <v>496</v>
      </c>
      <c r="U517" s="112">
        <v>8</v>
      </c>
      <c r="V517" s="112">
        <v>8</v>
      </c>
      <c r="W517" s="112">
        <v>15.68</v>
      </c>
      <c r="X517" s="112">
        <v>23.95</v>
      </c>
      <c r="Y517" s="112">
        <v>27.19</v>
      </c>
      <c r="Z517" s="112">
        <v>28.0672</v>
      </c>
      <c r="AA517" s="112">
        <v>27.7</v>
      </c>
      <c r="AB517" s="112">
        <v>28.3</v>
      </c>
      <c r="AC517" s="112">
        <v>28.887500000000003</v>
      </c>
      <c r="AD517" s="112">
        <v>27.285</v>
      </c>
      <c r="AE517" s="112">
        <v>29.06664</v>
      </c>
      <c r="AF517" s="112">
        <v>29.996772480000001</v>
      </c>
      <c r="AG517" s="112">
        <v>30.95666919936</v>
      </c>
      <c r="AH517" s="112">
        <f>AG517*(1+AH518-AH$4)</f>
        <v>31.867048344419864</v>
      </c>
      <c r="AI517" s="112">
        <f t="shared" ref="AI517:AR517" si="163">AH517*(1+AI518-AI$4)</f>
        <v>32.804200078688929</v>
      </c>
      <c r="AJ517" s="112">
        <f t="shared" si="163"/>
        <v>33.788326081049597</v>
      </c>
      <c r="AK517" s="112">
        <f t="shared" si="163"/>
        <v>34.801975863481083</v>
      </c>
      <c r="AL517" s="112">
        <f t="shared" si="163"/>
        <v>35.846035139385513</v>
      </c>
      <c r="AM517" s="112">
        <f t="shared" si="163"/>
        <v>36.921416193567083</v>
      </c>
      <c r="AN517" s="112">
        <f t="shared" si="163"/>
        <v>38.029058679374096</v>
      </c>
      <c r="AO517" s="112">
        <f t="shared" si="163"/>
        <v>39.169930439755319</v>
      </c>
      <c r="AP517" s="112">
        <f t="shared" si="163"/>
        <v>40.345028352947978</v>
      </c>
      <c r="AQ517" s="112">
        <f t="shared" si="163"/>
        <v>41.555379203536418</v>
      </c>
      <c r="AR517" s="112">
        <f t="shared" si="163"/>
        <v>42.802040579642515</v>
      </c>
      <c r="AS517" s="112">
        <f>AR517*(1+AS518-AS$4)</f>
        <v>44.086101797031795</v>
      </c>
      <c r="AT517" s="112">
        <f t="shared" ref="AT517:BG517" si="164">AS517*(1+AT518-AT$4)</f>
        <v>45.408684850942748</v>
      </c>
      <c r="AU517" s="112">
        <f t="shared" si="164"/>
        <v>46.770945396471035</v>
      </c>
      <c r="AV517" s="112">
        <f t="shared" si="164"/>
        <v>48.174073758365168</v>
      </c>
      <c r="AW517" s="112">
        <f t="shared" si="164"/>
        <v>49.619295971116124</v>
      </c>
      <c r="AX517" s="112">
        <f t="shared" si="164"/>
        <v>51.107874850249608</v>
      </c>
      <c r="AY517" s="112">
        <f t="shared" si="164"/>
        <v>52.641111095757097</v>
      </c>
      <c r="AZ517" s="112">
        <f t="shared" si="164"/>
        <v>54.220344428629808</v>
      </c>
      <c r="BA517" s="112">
        <f t="shared" si="164"/>
        <v>55.846954761488703</v>
      </c>
      <c r="BB517" s="112">
        <f t="shared" si="164"/>
        <v>57.522363404333369</v>
      </c>
      <c r="BC517" s="112">
        <f t="shared" si="164"/>
        <v>59.248034306463374</v>
      </c>
      <c r="BD517" s="112">
        <f t="shared" si="164"/>
        <v>61.025475335657276</v>
      </c>
      <c r="BE517" s="112">
        <f t="shared" si="164"/>
        <v>62.856239595726997</v>
      </c>
      <c r="BF517" s="112">
        <f t="shared" si="164"/>
        <v>64.741926783598814</v>
      </c>
      <c r="BG517" s="112">
        <f t="shared" si="164"/>
        <v>66.684184587106785</v>
      </c>
    </row>
    <row r="518" spans="1:59" ht="13.75" customHeight="1">
      <c r="A518" s="141" t="s">
        <v>166</v>
      </c>
      <c r="B518" s="142" t="s">
        <v>491</v>
      </c>
      <c r="C518" s="142" t="s">
        <v>505</v>
      </c>
      <c r="D518" s="142" t="s">
        <v>87</v>
      </c>
      <c r="F518" s="168" t="s">
        <v>508</v>
      </c>
      <c r="G518" s="109" t="s">
        <v>3</v>
      </c>
      <c r="I518" s="109" t="s">
        <v>498</v>
      </c>
      <c r="U518" s="107">
        <v>6.0000000000000001E-3</v>
      </c>
      <c r="V518" s="107">
        <v>-3.0000000000000001E-3</v>
      </c>
      <c r="W518" s="107">
        <v>0.121</v>
      </c>
      <c r="X518" s="107">
        <v>0.48499999999999999</v>
      </c>
      <c r="Y518" s="107">
        <v>0.14899999999999999</v>
      </c>
      <c r="Z518" s="107">
        <v>0.14299999999999999</v>
      </c>
      <c r="AA518" s="107">
        <v>0.1101</v>
      </c>
      <c r="AB518" s="107">
        <v>2.7000000000000003E-2</v>
      </c>
      <c r="AC518" s="107">
        <v>7.2999999999999995E-2</v>
      </c>
      <c r="AD518" s="107">
        <v>9.3399999999999997E-2</v>
      </c>
      <c r="AE518" s="107">
        <v>6.3E-2</v>
      </c>
      <c r="AF518" s="107">
        <v>0.05</v>
      </c>
      <c r="AG518" s="107">
        <v>0.05</v>
      </c>
      <c r="AH518" s="107">
        <f t="shared" ref="AH518:BG518" si="165">AG518</f>
        <v>0.05</v>
      </c>
      <c r="AI518" s="107">
        <f t="shared" si="165"/>
        <v>0.05</v>
      </c>
      <c r="AJ518" s="107">
        <f t="shared" si="165"/>
        <v>0.05</v>
      </c>
      <c r="AK518" s="107">
        <f t="shared" si="165"/>
        <v>0.05</v>
      </c>
      <c r="AL518" s="107">
        <f t="shared" si="165"/>
        <v>0.05</v>
      </c>
      <c r="AM518" s="107">
        <f t="shared" si="165"/>
        <v>0.05</v>
      </c>
      <c r="AN518" s="107">
        <f t="shared" si="165"/>
        <v>0.05</v>
      </c>
      <c r="AO518" s="107">
        <f t="shared" si="165"/>
        <v>0.05</v>
      </c>
      <c r="AP518" s="107">
        <f t="shared" si="165"/>
        <v>0.05</v>
      </c>
      <c r="AQ518" s="107">
        <f t="shared" si="165"/>
        <v>0.05</v>
      </c>
      <c r="AR518" s="107">
        <f t="shared" si="165"/>
        <v>0.05</v>
      </c>
      <c r="AS518" s="107">
        <f t="shared" si="165"/>
        <v>0.05</v>
      </c>
      <c r="AT518" s="107">
        <f t="shared" si="165"/>
        <v>0.05</v>
      </c>
      <c r="AU518" s="107">
        <f t="shared" si="165"/>
        <v>0.05</v>
      </c>
      <c r="AV518" s="107">
        <f>AU518</f>
        <v>0.05</v>
      </c>
      <c r="AW518" s="107">
        <f t="shared" si="165"/>
        <v>0.05</v>
      </c>
      <c r="AX518" s="107">
        <f t="shared" si="165"/>
        <v>0.05</v>
      </c>
      <c r="AY518" s="107">
        <f t="shared" si="165"/>
        <v>0.05</v>
      </c>
      <c r="AZ518" s="107">
        <f t="shared" si="165"/>
        <v>0.05</v>
      </c>
      <c r="BA518" s="107">
        <f t="shared" si="165"/>
        <v>0.05</v>
      </c>
      <c r="BB518" s="107">
        <f t="shared" si="165"/>
        <v>0.05</v>
      </c>
      <c r="BC518" s="107">
        <f t="shared" si="165"/>
        <v>0.05</v>
      </c>
      <c r="BD518" s="107">
        <f t="shared" si="165"/>
        <v>0.05</v>
      </c>
      <c r="BE518" s="107">
        <f t="shared" si="165"/>
        <v>0.05</v>
      </c>
      <c r="BF518" s="107">
        <f t="shared" si="165"/>
        <v>0.05</v>
      </c>
      <c r="BG518" s="107">
        <f t="shared" si="165"/>
        <v>0.05</v>
      </c>
    </row>
    <row r="519" spans="1:59" ht="13.75" customHeight="1">
      <c r="A519" s="141" t="s">
        <v>166</v>
      </c>
      <c r="B519" s="142" t="s">
        <v>491</v>
      </c>
      <c r="C519" s="142" t="s">
        <v>505</v>
      </c>
      <c r="D519" s="142" t="s">
        <v>98</v>
      </c>
      <c r="F519" s="168" t="s">
        <v>509</v>
      </c>
      <c r="G519" s="109" t="s">
        <v>3</v>
      </c>
      <c r="I519" s="109" t="s">
        <v>498</v>
      </c>
      <c r="U519" s="107">
        <v>3.4000000000000002E-2</v>
      </c>
      <c r="V519" s="107">
        <v>1E-3</v>
      </c>
      <c r="W519" s="107">
        <v>0.17100000000000001</v>
      </c>
      <c r="X519" s="107">
        <v>0.36</v>
      </c>
      <c r="Y519" s="107">
        <v>0.20499999999999999</v>
      </c>
      <c r="Z519" s="107">
        <v>0.26400000000000001</v>
      </c>
      <c r="AA519" s="107">
        <v>0.17508299999999999</v>
      </c>
      <c r="AB519" s="107">
        <v>-7.400000000000001E-2</v>
      </c>
      <c r="AC519" s="107">
        <v>0.14499999999999999</v>
      </c>
      <c r="AD519" s="107">
        <v>0.622</v>
      </c>
      <c r="AE519" s="107">
        <f t="shared" ref="AE519:BG519" si="166">AE518</f>
        <v>6.3E-2</v>
      </c>
      <c r="AF519" s="107">
        <f t="shared" si="166"/>
        <v>0.05</v>
      </c>
      <c r="AG519" s="107">
        <f t="shared" si="166"/>
        <v>0.05</v>
      </c>
      <c r="AH519" s="107">
        <f t="shared" si="166"/>
        <v>0.05</v>
      </c>
      <c r="AI519" s="107">
        <f t="shared" si="166"/>
        <v>0.05</v>
      </c>
      <c r="AJ519" s="107">
        <f t="shared" si="166"/>
        <v>0.05</v>
      </c>
      <c r="AK519" s="107">
        <f t="shared" si="166"/>
        <v>0.05</v>
      </c>
      <c r="AL519" s="107">
        <f t="shared" si="166"/>
        <v>0.05</v>
      </c>
      <c r="AM519" s="107">
        <f t="shared" si="166"/>
        <v>0.05</v>
      </c>
      <c r="AN519" s="107">
        <f t="shared" si="166"/>
        <v>0.05</v>
      </c>
      <c r="AO519" s="107">
        <f t="shared" si="166"/>
        <v>0.05</v>
      </c>
      <c r="AP519" s="107">
        <f t="shared" si="166"/>
        <v>0.05</v>
      </c>
      <c r="AQ519" s="107">
        <f t="shared" si="166"/>
        <v>0.05</v>
      </c>
      <c r="AR519" s="107">
        <f t="shared" si="166"/>
        <v>0.05</v>
      </c>
      <c r="AS519" s="107">
        <f t="shared" si="166"/>
        <v>0.05</v>
      </c>
      <c r="AT519" s="107">
        <f t="shared" si="166"/>
        <v>0.05</v>
      </c>
      <c r="AU519" s="107">
        <f t="shared" si="166"/>
        <v>0.05</v>
      </c>
      <c r="AV519" s="107">
        <f t="shared" si="166"/>
        <v>0.05</v>
      </c>
      <c r="AW519" s="107">
        <f t="shared" si="166"/>
        <v>0.05</v>
      </c>
      <c r="AX519" s="107">
        <f>AX518</f>
        <v>0.05</v>
      </c>
      <c r="AY519" s="107">
        <f t="shared" si="166"/>
        <v>0.05</v>
      </c>
      <c r="AZ519" s="107">
        <f t="shared" si="166"/>
        <v>0.05</v>
      </c>
      <c r="BA519" s="107">
        <f t="shared" si="166"/>
        <v>0.05</v>
      </c>
      <c r="BB519" s="107">
        <f t="shared" si="166"/>
        <v>0.05</v>
      </c>
      <c r="BC519" s="107">
        <f t="shared" si="166"/>
        <v>0.05</v>
      </c>
      <c r="BD519" s="107">
        <f t="shared" si="166"/>
        <v>0.05</v>
      </c>
      <c r="BE519" s="107">
        <f t="shared" si="166"/>
        <v>0.05</v>
      </c>
      <c r="BF519" s="107">
        <f t="shared" si="166"/>
        <v>0.05</v>
      </c>
      <c r="BG519" s="107">
        <f t="shared" si="166"/>
        <v>0.05</v>
      </c>
    </row>
    <row r="520" spans="1:59" ht="13.75" customHeight="1">
      <c r="A520" s="141" t="s">
        <v>166</v>
      </c>
      <c r="B520" s="142" t="s">
        <v>491</v>
      </c>
      <c r="C520" s="142" t="s">
        <v>510</v>
      </c>
      <c r="D520" s="142" t="s">
        <v>87</v>
      </c>
      <c r="F520" s="168" t="s">
        <v>511</v>
      </c>
      <c r="G520" s="109" t="s">
        <v>494</v>
      </c>
      <c r="V520" s="111">
        <v>5.70308734939759</v>
      </c>
      <c r="W520" s="111">
        <v>5.7481650000000002</v>
      </c>
      <c r="X520" s="111">
        <v>6.8583040000000004</v>
      </c>
      <c r="Y520" s="111">
        <v>6.8059900000000004</v>
      </c>
      <c r="Z520" s="113">
        <v>6.623831</v>
      </c>
      <c r="AA520" s="111">
        <v>6.29</v>
      </c>
      <c r="AB520" s="109">
        <v>6.63</v>
      </c>
      <c r="AC520" s="109">
        <v>6.61</v>
      </c>
      <c r="AD520" s="140">
        <v>6.3347582386127783</v>
      </c>
      <c r="AE520" s="140">
        <v>6.4273504273504276</v>
      </c>
      <c r="AF520" s="140">
        <v>0.84745762711864414</v>
      </c>
      <c r="AG520" s="140">
        <v>0.84033613445378152</v>
      </c>
      <c r="AH520" s="111">
        <f>AVERAGE(AG521:AH521)</f>
        <v>0.83798662814892555</v>
      </c>
      <c r="AI520" s="111">
        <f t="shared" ref="AI520:AW520" si="167">AVERAGE(AH521:AI521)</f>
        <v>0.83330075356731981</v>
      </c>
      <c r="AJ520" s="111">
        <f t="shared" si="167"/>
        <v>0.82888697432734348</v>
      </c>
      <c r="AK520" s="111">
        <f t="shared" si="167"/>
        <v>0.82474253945570664</v>
      </c>
      <c r="AL520" s="111">
        <f t="shared" si="167"/>
        <v>0.82061882675842801</v>
      </c>
      <c r="AM520" s="111">
        <f t="shared" si="167"/>
        <v>0.81651573262463573</v>
      </c>
      <c r="AN520" s="111">
        <f t="shared" si="167"/>
        <v>0.81243315396151239</v>
      </c>
      <c r="AO520" s="111">
        <f t="shared" si="167"/>
        <v>0.80837098819170472</v>
      </c>
      <c r="AP520" s="111">
        <f t="shared" si="167"/>
        <v>0.80432913325074618</v>
      </c>
      <c r="AQ520" s="111">
        <f t="shared" si="167"/>
        <v>0.80030748758449244</v>
      </c>
      <c r="AR520" s="111">
        <f t="shared" si="167"/>
        <v>0.79630595014656991</v>
      </c>
      <c r="AS520" s="111">
        <f t="shared" si="167"/>
        <v>0.79232442039583695</v>
      </c>
      <c r="AT520" s="111">
        <f t="shared" si="167"/>
        <v>0.78836279829385769</v>
      </c>
      <c r="AU520" s="111">
        <f t="shared" si="167"/>
        <v>0.78442098430238838</v>
      </c>
      <c r="AV520" s="111">
        <f t="shared" si="167"/>
        <v>0.78049887938087625</v>
      </c>
      <c r="AW520" s="111">
        <f t="shared" si="167"/>
        <v>0.77659638498397188</v>
      </c>
      <c r="AX520" s="111">
        <f>AVERAGE(AW521:AX521)</f>
        <v>0.7727134030590519</v>
      </c>
      <c r="AY520" s="111">
        <f>AVERAGE(AX521:AY521)</f>
        <v>0.76884983604375656</v>
      </c>
      <c r="AZ520" s="111">
        <f>AVERAGE(AY521:AZ521)</f>
        <v>0.7650055868635377</v>
      </c>
      <c r="BA520" s="111">
        <f>AVERAGE(AZ521:BA521)</f>
        <v>0.76118055892921987</v>
      </c>
      <c r="BB520" s="111">
        <f>AVERAGE(BA521:BB521)</f>
        <v>0.75737465613457378</v>
      </c>
      <c r="BC520" s="111">
        <f t="shared" ref="BC520:BG520" si="168">AVERAGE(BB521:BC521)</f>
        <v>0.75358778285390082</v>
      </c>
      <c r="BD520" s="111">
        <f t="shared" si="168"/>
        <v>0.74981984393963119</v>
      </c>
      <c r="BE520" s="111">
        <f t="shared" si="168"/>
        <v>0.74607074471993295</v>
      </c>
      <c r="BF520" s="111">
        <f t="shared" si="168"/>
        <v>0.7423403909963332</v>
      </c>
      <c r="BG520" s="111">
        <f t="shared" si="168"/>
        <v>0.73862868904135148</v>
      </c>
    </row>
    <row r="521" spans="1:59" ht="13.75" customHeight="1">
      <c r="A521" s="141" t="s">
        <v>166</v>
      </c>
      <c r="B521" s="142" t="s">
        <v>491</v>
      </c>
      <c r="C521" s="142" t="s">
        <v>510</v>
      </c>
      <c r="D521" s="142" t="s">
        <v>87</v>
      </c>
      <c r="F521" s="168" t="s">
        <v>512</v>
      </c>
      <c r="G521" s="109" t="s">
        <v>494</v>
      </c>
      <c r="I521" s="109" t="s">
        <v>496</v>
      </c>
      <c r="V521" s="111">
        <v>5.5490000000000004</v>
      </c>
      <c r="W521" s="111">
        <v>6.3021070000000003</v>
      </c>
      <c r="X521" s="111">
        <v>6.9918009999999997</v>
      </c>
      <c r="Y521" s="111">
        <v>7.1685359999999996</v>
      </c>
      <c r="Z521" s="113">
        <v>6.2697329999999996</v>
      </c>
      <c r="AA521" s="111">
        <v>6.46</v>
      </c>
      <c r="AB521" s="109">
        <v>6.64</v>
      </c>
      <c r="AC521" s="109">
        <v>6.18</v>
      </c>
      <c r="AD521" s="140">
        <v>6.61</v>
      </c>
      <c r="AE521" s="140">
        <v>6.4273504273504276</v>
      </c>
      <c r="AF521" s="140">
        <v>0.84745762711864414</v>
      </c>
      <c r="AG521" s="140">
        <v>0.84033613445378152</v>
      </c>
      <c r="AH521" s="112">
        <f>AG521*(1+AH522-AH$4)</f>
        <v>0.83563712184406957</v>
      </c>
      <c r="AI521" s="112">
        <f t="shared" ref="AI521:AR521" si="169">AH521*(1+AI522-AI$4)</f>
        <v>0.83096438529056993</v>
      </c>
      <c r="AJ521" s="112">
        <f t="shared" si="169"/>
        <v>0.82680956336411693</v>
      </c>
      <c r="AK521" s="112">
        <f t="shared" si="169"/>
        <v>0.82267551554729623</v>
      </c>
      <c r="AL521" s="112">
        <f t="shared" si="169"/>
        <v>0.81856213796955968</v>
      </c>
      <c r="AM521" s="112">
        <f t="shared" si="169"/>
        <v>0.81446932727971177</v>
      </c>
      <c r="AN521" s="112">
        <f t="shared" si="169"/>
        <v>0.81039698064331311</v>
      </c>
      <c r="AO521" s="112">
        <f t="shared" si="169"/>
        <v>0.80634499574009644</v>
      </c>
      <c r="AP521" s="112">
        <f t="shared" si="169"/>
        <v>0.80231327076139591</v>
      </c>
      <c r="AQ521" s="112">
        <f t="shared" si="169"/>
        <v>0.79830170440758885</v>
      </c>
      <c r="AR521" s="112">
        <f t="shared" si="169"/>
        <v>0.79431019588555085</v>
      </c>
      <c r="AS521" s="112">
        <f>AR521*(1+AS522-AS$4)</f>
        <v>0.79033864490612304</v>
      </c>
      <c r="AT521" s="112">
        <f t="shared" ref="AT521:AW521" si="170">AS521*(1+AT522-AT$4)</f>
        <v>0.78638695168159234</v>
      </c>
      <c r="AU521" s="112">
        <f t="shared" si="170"/>
        <v>0.78245501692318431</v>
      </c>
      <c r="AV521" s="112">
        <f t="shared" si="170"/>
        <v>0.77854274183856831</v>
      </c>
      <c r="AW521" s="112">
        <f t="shared" si="170"/>
        <v>0.77465002812937533</v>
      </c>
      <c r="AX521" s="112">
        <f>AW521*(1+AX522-AX$4)</f>
        <v>0.77077677798872835</v>
      </c>
      <c r="AY521" s="112">
        <f>AX521*(1+AY522-AY$4)</f>
        <v>0.76692289409878467</v>
      </c>
      <c r="AZ521" s="112">
        <f>AY521*(1+AZ522-AZ$4)</f>
        <v>0.76308827962829062</v>
      </c>
      <c r="BA521" s="112">
        <f>AZ521*(1+BA522-BA$4)</f>
        <v>0.75927283823014913</v>
      </c>
      <c r="BB521" s="112">
        <f>BA521*(1+BB522-BB$4)</f>
        <v>0.75547647403899831</v>
      </c>
      <c r="BC521" s="112">
        <f t="shared" ref="BC521:BG521" si="171">BB521*(1+BC522-BC$4)</f>
        <v>0.75169909166880322</v>
      </c>
      <c r="BD521" s="112">
        <f t="shared" si="171"/>
        <v>0.74794059621045916</v>
      </c>
      <c r="BE521" s="112">
        <f t="shared" si="171"/>
        <v>0.74420089322940675</v>
      </c>
      <c r="BF521" s="112">
        <f t="shared" si="171"/>
        <v>0.74047988876325965</v>
      </c>
      <c r="BG521" s="112">
        <f t="shared" si="171"/>
        <v>0.73677748931944331</v>
      </c>
    </row>
    <row r="522" spans="1:59" ht="13.75" customHeight="1">
      <c r="A522" s="141" t="s">
        <v>166</v>
      </c>
      <c r="B522" s="142" t="s">
        <v>491</v>
      </c>
      <c r="C522" s="142" t="s">
        <v>510</v>
      </c>
      <c r="D522" s="142" t="s">
        <v>87</v>
      </c>
      <c r="F522" s="168" t="s">
        <v>513</v>
      </c>
      <c r="G522" s="109" t="s">
        <v>3</v>
      </c>
      <c r="I522" s="109" t="s">
        <v>498</v>
      </c>
      <c r="V522" s="107">
        <v>2.2000000000000002E-2</v>
      </c>
      <c r="W522" s="107">
        <v>-2E-3</v>
      </c>
      <c r="X522" s="107">
        <v>-5.0000000000000001E-3</v>
      </c>
      <c r="Y522" s="107">
        <v>-1.1000000000000001E-2</v>
      </c>
      <c r="Z522" s="107">
        <v>1.15E-2</v>
      </c>
      <c r="AA522" s="107">
        <v>1.49167E-2</v>
      </c>
      <c r="AB522" s="107">
        <v>1.4999999999999999E-2</v>
      </c>
      <c r="AC522" s="107">
        <v>3.0000000000000001E-3</v>
      </c>
      <c r="AD522" s="107">
        <v>2.5600000000000001E-2</v>
      </c>
      <c r="AE522" s="107">
        <v>1.8000000000000002E-2</v>
      </c>
      <c r="AF522" s="107">
        <v>1.4999999999999999E-2</v>
      </c>
      <c r="AG522" s="107">
        <v>1.4999999999999999E-2</v>
      </c>
      <c r="AH522" s="107">
        <f t="shared" ref="AH522:AY522" si="172">AG522</f>
        <v>1.4999999999999999E-2</v>
      </c>
      <c r="AI522" s="107">
        <f t="shared" si="172"/>
        <v>1.4999999999999999E-2</v>
      </c>
      <c r="AJ522" s="107">
        <f t="shared" si="172"/>
        <v>1.4999999999999999E-2</v>
      </c>
      <c r="AK522" s="107">
        <f t="shared" si="172"/>
        <v>1.4999999999999999E-2</v>
      </c>
      <c r="AL522" s="107">
        <f t="shared" si="172"/>
        <v>1.4999999999999999E-2</v>
      </c>
      <c r="AM522" s="107">
        <f t="shared" si="172"/>
        <v>1.4999999999999999E-2</v>
      </c>
      <c r="AN522" s="107">
        <f t="shared" si="172"/>
        <v>1.4999999999999999E-2</v>
      </c>
      <c r="AO522" s="107">
        <f t="shared" si="172"/>
        <v>1.4999999999999999E-2</v>
      </c>
      <c r="AP522" s="107">
        <f t="shared" si="172"/>
        <v>1.4999999999999999E-2</v>
      </c>
      <c r="AQ522" s="107">
        <f t="shared" si="172"/>
        <v>1.4999999999999999E-2</v>
      </c>
      <c r="AR522" s="107">
        <f t="shared" si="172"/>
        <v>1.4999999999999999E-2</v>
      </c>
      <c r="AS522" s="107">
        <f t="shared" si="172"/>
        <v>1.4999999999999999E-2</v>
      </c>
      <c r="AT522" s="107">
        <f t="shared" si="172"/>
        <v>1.4999999999999999E-2</v>
      </c>
      <c r="AU522" s="107">
        <f t="shared" si="172"/>
        <v>1.4999999999999999E-2</v>
      </c>
      <c r="AV522" s="107">
        <f t="shared" si="172"/>
        <v>1.4999999999999999E-2</v>
      </c>
      <c r="AW522" s="107">
        <f>AV522</f>
        <v>1.4999999999999999E-2</v>
      </c>
      <c r="AX522" s="107">
        <f>AW522</f>
        <v>1.4999999999999999E-2</v>
      </c>
      <c r="AY522" s="107">
        <f t="shared" si="172"/>
        <v>1.4999999999999999E-2</v>
      </c>
      <c r="AZ522" s="107">
        <f>AY522</f>
        <v>1.4999999999999999E-2</v>
      </c>
      <c r="BA522" s="107">
        <f>AZ522</f>
        <v>1.4999999999999999E-2</v>
      </c>
      <c r="BB522" s="107">
        <f>BA522</f>
        <v>1.4999999999999999E-2</v>
      </c>
      <c r="BC522" s="107">
        <f t="shared" ref="BC522:BG522" si="173">BB522</f>
        <v>1.4999999999999999E-2</v>
      </c>
      <c r="BD522" s="107">
        <f t="shared" si="173"/>
        <v>1.4999999999999999E-2</v>
      </c>
      <c r="BE522" s="107">
        <f t="shared" si="173"/>
        <v>1.4999999999999999E-2</v>
      </c>
      <c r="BF522" s="107">
        <f t="shared" si="173"/>
        <v>1.4999999999999999E-2</v>
      </c>
      <c r="BG522" s="107">
        <f t="shared" si="173"/>
        <v>1.4999999999999999E-2</v>
      </c>
    </row>
    <row r="523" spans="1:59" ht="13.75" customHeight="1">
      <c r="A523" s="141" t="s">
        <v>166</v>
      </c>
      <c r="B523" s="142" t="s">
        <v>491</v>
      </c>
      <c r="C523" s="142" t="s">
        <v>510</v>
      </c>
      <c r="D523" s="142" t="s">
        <v>98</v>
      </c>
      <c r="F523" s="168" t="s">
        <v>514</v>
      </c>
      <c r="G523" s="109" t="s">
        <v>3</v>
      </c>
      <c r="I523" s="109" t="s">
        <v>498</v>
      </c>
      <c r="W523" s="109"/>
      <c r="Z523" s="107">
        <v>1.15E-2</v>
      </c>
      <c r="AA523" s="107">
        <v>2.2000000000000002E-2</v>
      </c>
      <c r="AB523" s="107">
        <v>0.01</v>
      </c>
      <c r="AC523" s="107">
        <v>-2.58E-2</v>
      </c>
      <c r="AD523" s="107">
        <v>0.15820000000000001</v>
      </c>
      <c r="AE523" s="107">
        <f t="shared" ref="AE523:AW523" si="174">AE522</f>
        <v>1.8000000000000002E-2</v>
      </c>
      <c r="AF523" s="107">
        <f t="shared" si="174"/>
        <v>1.4999999999999999E-2</v>
      </c>
      <c r="AG523" s="107">
        <f t="shared" si="174"/>
        <v>1.4999999999999999E-2</v>
      </c>
      <c r="AH523" s="107">
        <f t="shared" si="174"/>
        <v>1.4999999999999999E-2</v>
      </c>
      <c r="AI523" s="107">
        <f t="shared" si="174"/>
        <v>1.4999999999999999E-2</v>
      </c>
      <c r="AJ523" s="107">
        <f t="shared" si="174"/>
        <v>1.4999999999999999E-2</v>
      </c>
      <c r="AK523" s="107">
        <f t="shared" si="174"/>
        <v>1.4999999999999999E-2</v>
      </c>
      <c r="AL523" s="107">
        <f t="shared" si="174"/>
        <v>1.4999999999999999E-2</v>
      </c>
      <c r="AM523" s="107">
        <f t="shared" si="174"/>
        <v>1.4999999999999999E-2</v>
      </c>
      <c r="AN523" s="107">
        <f t="shared" si="174"/>
        <v>1.4999999999999999E-2</v>
      </c>
      <c r="AO523" s="107">
        <f t="shared" si="174"/>
        <v>1.4999999999999999E-2</v>
      </c>
      <c r="AP523" s="107">
        <f t="shared" si="174"/>
        <v>1.4999999999999999E-2</v>
      </c>
      <c r="AQ523" s="107">
        <f t="shared" si="174"/>
        <v>1.4999999999999999E-2</v>
      </c>
      <c r="AR523" s="107">
        <f t="shared" si="174"/>
        <v>1.4999999999999999E-2</v>
      </c>
      <c r="AS523" s="107">
        <f t="shared" si="174"/>
        <v>1.4999999999999999E-2</v>
      </c>
      <c r="AT523" s="107">
        <f t="shared" si="174"/>
        <v>1.4999999999999999E-2</v>
      </c>
      <c r="AU523" s="107">
        <f t="shared" si="174"/>
        <v>1.4999999999999999E-2</v>
      </c>
      <c r="AV523" s="107">
        <f t="shared" si="174"/>
        <v>1.4999999999999999E-2</v>
      </c>
      <c r="AW523" s="107">
        <f t="shared" si="174"/>
        <v>1.4999999999999999E-2</v>
      </c>
      <c r="AX523" s="107">
        <f>AX522</f>
        <v>1.4999999999999999E-2</v>
      </c>
      <c r="AY523" s="107">
        <f>AY522</f>
        <v>1.4999999999999999E-2</v>
      </c>
      <c r="AZ523" s="107">
        <f>AZ522</f>
        <v>1.4999999999999999E-2</v>
      </c>
      <c r="BA523" s="107">
        <f>BA522</f>
        <v>1.4999999999999999E-2</v>
      </c>
      <c r="BB523" s="107">
        <f>BB522</f>
        <v>1.4999999999999999E-2</v>
      </c>
      <c r="BC523" s="107">
        <f t="shared" ref="BC523:BG523" si="175">BC522</f>
        <v>1.4999999999999999E-2</v>
      </c>
      <c r="BD523" s="107">
        <f t="shared" si="175"/>
        <v>1.4999999999999999E-2</v>
      </c>
      <c r="BE523" s="107">
        <f t="shared" si="175"/>
        <v>1.4999999999999999E-2</v>
      </c>
      <c r="BF523" s="107">
        <f t="shared" si="175"/>
        <v>1.4999999999999999E-2</v>
      </c>
      <c r="BG523" s="107">
        <f t="shared" si="175"/>
        <v>1.4999999999999999E-2</v>
      </c>
    </row>
    <row r="524" spans="1:59" ht="13.75" customHeight="1">
      <c r="A524" s="141" t="s">
        <v>166</v>
      </c>
      <c r="B524" s="142" t="s">
        <v>491</v>
      </c>
      <c r="C524" s="142" t="s">
        <v>515</v>
      </c>
      <c r="D524" s="142" t="s">
        <v>87</v>
      </c>
      <c r="F524" s="168" t="s">
        <v>516</v>
      </c>
      <c r="G524" s="109" t="s">
        <v>494</v>
      </c>
      <c r="W524" s="111">
        <v>88.4</v>
      </c>
      <c r="X524" s="111">
        <v>108.8</v>
      </c>
      <c r="Y524" s="111">
        <v>111.28371675774135</v>
      </c>
      <c r="Z524" s="112">
        <v>107.7589</v>
      </c>
      <c r="AA524" s="111">
        <v>100.17507500000001</v>
      </c>
      <c r="AB524" s="112">
        <v>105</v>
      </c>
      <c r="AC524" s="112">
        <v>103</v>
      </c>
      <c r="AD524" s="112">
        <v>99</v>
      </c>
      <c r="AE524" s="112">
        <v>100.51282051282051</v>
      </c>
      <c r="AF524" s="112">
        <v>99.66101694915254</v>
      </c>
      <c r="AG524" s="112">
        <v>98.82352941176471</v>
      </c>
      <c r="AH524" s="112">
        <f t="shared" ref="AH524:AX524" si="176">AVERAGE(AG525:AH525)</f>
        <v>99.090756882078367</v>
      </c>
      <c r="AI524" s="112">
        <f t="shared" si="176"/>
        <v>99.626657035628455</v>
      </c>
      <c r="AJ524" s="112">
        <f t="shared" si="176"/>
        <v>100.19501570802146</v>
      </c>
      <c r="AK524" s="112">
        <f t="shared" si="176"/>
        <v>100.79618580226959</v>
      </c>
      <c r="AL524" s="112">
        <f t="shared" si="176"/>
        <v>101.40096291708321</v>
      </c>
      <c r="AM524" s="112">
        <f t="shared" si="176"/>
        <v>102.0093686945857</v>
      </c>
      <c r="AN524" s="112">
        <f t="shared" si="176"/>
        <v>102.62142490675322</v>
      </c>
      <c r="AO524" s="112">
        <f t="shared" si="176"/>
        <v>103.23715345619374</v>
      </c>
      <c r="AP524" s="112">
        <f t="shared" si="176"/>
        <v>103.85657637693092</v>
      </c>
      <c r="AQ524" s="112">
        <f t="shared" si="176"/>
        <v>104.47971583519249</v>
      </c>
      <c r="AR524" s="112">
        <f t="shared" si="176"/>
        <v>105.10659413020365</v>
      </c>
      <c r="AS524" s="112">
        <f t="shared" si="176"/>
        <v>105.73723369498487</v>
      </c>
      <c r="AT524" s="112">
        <f t="shared" si="176"/>
        <v>106.37165709715478</v>
      </c>
      <c r="AU524" s="112">
        <f t="shared" si="176"/>
        <v>107.00988703973771</v>
      </c>
      <c r="AV524" s="112">
        <f t="shared" si="176"/>
        <v>107.65194636197614</v>
      </c>
      <c r="AW524" s="112">
        <f t="shared" si="176"/>
        <v>108.29785804014799</v>
      </c>
      <c r="AX524" s="112">
        <f t="shared" si="176"/>
        <v>108.94764518838888</v>
      </c>
      <c r="AY524" s="112">
        <f>AVERAGE(AX525:AY525)</f>
        <v>109.6013310595192</v>
      </c>
      <c r="AZ524" s="112">
        <f>AVERAGE(AY525:AZ525)</f>
        <v>110.25893904587632</v>
      </c>
      <c r="BA524" s="112">
        <f>AVERAGE(AZ525:BA525)</f>
        <v>110.92049268015157</v>
      </c>
      <c r="BB524" s="112">
        <f>AVERAGE(BA525:BB525)</f>
        <v>111.58601563623247</v>
      </c>
      <c r="BC524" s="112">
        <f t="shared" ref="BC524:BG524" si="177">AVERAGE(BB525:BC525)</f>
        <v>112.25553173004988</v>
      </c>
      <c r="BD524" s="112">
        <f t="shared" si="177"/>
        <v>112.92906492043016</v>
      </c>
      <c r="BE524" s="112">
        <f t="shared" si="177"/>
        <v>113.60663930995275</v>
      </c>
      <c r="BF524" s="112">
        <f t="shared" si="177"/>
        <v>114.28827914581248</v>
      </c>
      <c r="BG524" s="112">
        <f t="shared" si="177"/>
        <v>114.97400882068735</v>
      </c>
    </row>
    <row r="525" spans="1:59" ht="13.75" customHeight="1">
      <c r="A525" s="141" t="s">
        <v>166</v>
      </c>
      <c r="B525" s="142" t="s">
        <v>491</v>
      </c>
      <c r="C525" s="142" t="s">
        <v>515</v>
      </c>
      <c r="D525" s="142" t="s">
        <v>87</v>
      </c>
      <c r="F525" s="168" t="s">
        <v>517</v>
      </c>
      <c r="G525" s="109" t="s">
        <v>494</v>
      </c>
      <c r="I525" s="109" t="s">
        <v>496</v>
      </c>
      <c r="W525" s="111">
        <v>99.5</v>
      </c>
      <c r="X525" s="111">
        <v>111.2</v>
      </c>
      <c r="Y525" s="111">
        <v>117.1353</v>
      </c>
      <c r="Z525" s="112">
        <v>99.115499999999997</v>
      </c>
      <c r="AA525" s="111">
        <v>103.38930000000001</v>
      </c>
      <c r="AB525" s="112">
        <v>104.9</v>
      </c>
      <c r="AC525" s="112">
        <v>95.66</v>
      </c>
      <c r="AD525" s="112">
        <v>103.387</v>
      </c>
      <c r="AE525" s="112">
        <v>100.51282051282051</v>
      </c>
      <c r="AF525" s="112">
        <v>99.66101694915254</v>
      </c>
      <c r="AG525" s="112">
        <v>98.82352941176471</v>
      </c>
      <c r="AH525" s="112">
        <f>AG525*(1+AH526-AH$4)</f>
        <v>99.357984352392023</v>
      </c>
      <c r="AI525" s="112">
        <f t="shared" ref="AI525:AR525" si="178">AH525*(1+AI526-AI$4)</f>
        <v>99.895329718864872</v>
      </c>
      <c r="AJ525" s="112">
        <f t="shared" si="178"/>
        <v>100.49470169717806</v>
      </c>
      <c r="AK525" s="112">
        <f t="shared" si="178"/>
        <v>101.09766990736112</v>
      </c>
      <c r="AL525" s="112">
        <f t="shared" si="178"/>
        <v>101.70425592680529</v>
      </c>
      <c r="AM525" s="112">
        <f t="shared" si="178"/>
        <v>102.31448146236612</v>
      </c>
      <c r="AN525" s="112">
        <f t="shared" si="178"/>
        <v>102.92836835114032</v>
      </c>
      <c r="AO525" s="112">
        <f t="shared" si="178"/>
        <v>103.54593856124717</v>
      </c>
      <c r="AP525" s="112">
        <f t="shared" si="178"/>
        <v>104.16721419261465</v>
      </c>
      <c r="AQ525" s="112">
        <f t="shared" si="178"/>
        <v>104.79221747777034</v>
      </c>
      <c r="AR525" s="112">
        <f t="shared" si="178"/>
        <v>105.42097078263696</v>
      </c>
      <c r="AS525" s="112">
        <f>AR525*(1+AS526-AS$4)</f>
        <v>106.05349660733278</v>
      </c>
      <c r="AT525" s="112">
        <f t="shared" ref="AT525:AX525" si="179">AS525*(1+AT526-AT$4)</f>
        <v>106.68981758697677</v>
      </c>
      <c r="AU525" s="112">
        <f t="shared" si="179"/>
        <v>107.32995649249864</v>
      </c>
      <c r="AV525" s="112">
        <f t="shared" si="179"/>
        <v>107.97393623145364</v>
      </c>
      <c r="AW525" s="112">
        <f t="shared" si="179"/>
        <v>108.62177984884235</v>
      </c>
      <c r="AX525" s="112">
        <f t="shared" si="179"/>
        <v>109.2735105279354</v>
      </c>
      <c r="AY525" s="112">
        <f>AX525*(1+AY526-AY$4)</f>
        <v>109.92915159110301</v>
      </c>
      <c r="AZ525" s="112">
        <f>AY525*(1+AZ526-AZ$4)</f>
        <v>110.58872650064963</v>
      </c>
      <c r="BA525" s="112">
        <f>AZ525*(1+BA526-BA$4)</f>
        <v>111.25225885965352</v>
      </c>
      <c r="BB525" s="112">
        <f>BA525*(1+BB526-BB$4)</f>
        <v>111.91977241281144</v>
      </c>
      <c r="BC525" s="112">
        <f t="shared" ref="BC525:BG525" si="180">BB525*(1+BC526-BC$4)</f>
        <v>112.59129104728831</v>
      </c>
      <c r="BD525" s="112">
        <f t="shared" si="180"/>
        <v>113.26683879357203</v>
      </c>
      <c r="BE525" s="112">
        <f t="shared" si="180"/>
        <v>113.94643982633347</v>
      </c>
      <c r="BF525" s="112">
        <f t="shared" si="180"/>
        <v>114.63011846529147</v>
      </c>
      <c r="BG525" s="112">
        <f t="shared" si="180"/>
        <v>115.31789917608323</v>
      </c>
    </row>
    <row r="526" spans="1:59" ht="13.75" customHeight="1">
      <c r="A526" s="141" t="s">
        <v>166</v>
      </c>
      <c r="B526" s="142" t="s">
        <v>491</v>
      </c>
      <c r="C526" s="142" t="s">
        <v>515</v>
      </c>
      <c r="D526" s="142" t="s">
        <v>87</v>
      </c>
      <c r="F526" s="168" t="s">
        <v>518</v>
      </c>
      <c r="G526" s="109" t="s">
        <v>3</v>
      </c>
      <c r="I526" s="109" t="s">
        <v>498</v>
      </c>
      <c r="W526" s="107">
        <v>2.1000000000000001E-2</v>
      </c>
      <c r="X526" s="107">
        <v>1.3999999999999999E-2</v>
      </c>
      <c r="Y526" s="107">
        <v>1.125E-2</v>
      </c>
      <c r="Z526" s="107">
        <v>3.15E-2</v>
      </c>
      <c r="AA526" s="107">
        <v>1.9599999999999999E-2</v>
      </c>
      <c r="AB526" s="107">
        <v>1.9E-2</v>
      </c>
      <c r="AC526" s="107">
        <v>1.6E-2</v>
      </c>
      <c r="AD526" s="107">
        <v>7.9000000000000001E-2</v>
      </c>
      <c r="AE526" s="107">
        <v>2.4E-2</v>
      </c>
      <c r="AF526" s="107">
        <v>2.4E-2</v>
      </c>
      <c r="AG526" s="107">
        <v>2.6000000000000002E-2</v>
      </c>
      <c r="AH526" s="107">
        <f t="shared" ref="AH526:AX526" si="181">AG526</f>
        <v>2.6000000000000002E-2</v>
      </c>
      <c r="AI526" s="107">
        <f t="shared" si="181"/>
        <v>2.6000000000000002E-2</v>
      </c>
      <c r="AJ526" s="107">
        <f t="shared" si="181"/>
        <v>2.6000000000000002E-2</v>
      </c>
      <c r="AK526" s="107">
        <f t="shared" si="181"/>
        <v>2.6000000000000002E-2</v>
      </c>
      <c r="AL526" s="107">
        <f t="shared" si="181"/>
        <v>2.6000000000000002E-2</v>
      </c>
      <c r="AM526" s="107">
        <f t="shared" si="181"/>
        <v>2.6000000000000002E-2</v>
      </c>
      <c r="AN526" s="107">
        <f t="shared" si="181"/>
        <v>2.6000000000000002E-2</v>
      </c>
      <c r="AO526" s="107">
        <f t="shared" si="181"/>
        <v>2.6000000000000002E-2</v>
      </c>
      <c r="AP526" s="107">
        <f t="shared" si="181"/>
        <v>2.6000000000000002E-2</v>
      </c>
      <c r="AQ526" s="107">
        <f t="shared" si="181"/>
        <v>2.6000000000000002E-2</v>
      </c>
      <c r="AR526" s="107">
        <f t="shared" si="181"/>
        <v>2.6000000000000002E-2</v>
      </c>
      <c r="AS526" s="107">
        <f t="shared" si="181"/>
        <v>2.6000000000000002E-2</v>
      </c>
      <c r="AT526" s="107">
        <f t="shared" si="181"/>
        <v>2.6000000000000002E-2</v>
      </c>
      <c r="AU526" s="107">
        <f t="shared" si="181"/>
        <v>2.6000000000000002E-2</v>
      </c>
      <c r="AV526" s="107">
        <f t="shared" si="181"/>
        <v>2.6000000000000002E-2</v>
      </c>
      <c r="AW526" s="107">
        <f t="shared" si="181"/>
        <v>2.6000000000000002E-2</v>
      </c>
      <c r="AX526" s="107">
        <f t="shared" si="181"/>
        <v>2.6000000000000002E-2</v>
      </c>
      <c r="AY526" s="107">
        <f>AX526</f>
        <v>2.6000000000000002E-2</v>
      </c>
      <c r="AZ526" s="107">
        <f>AY526</f>
        <v>2.6000000000000002E-2</v>
      </c>
      <c r="BA526" s="107">
        <f>AZ526</f>
        <v>2.6000000000000002E-2</v>
      </c>
      <c r="BB526" s="107">
        <f>BA526</f>
        <v>2.6000000000000002E-2</v>
      </c>
      <c r="BC526" s="107">
        <f t="shared" ref="BC526:BG526" si="182">BB526</f>
        <v>2.6000000000000002E-2</v>
      </c>
      <c r="BD526" s="107">
        <f t="shared" si="182"/>
        <v>2.6000000000000002E-2</v>
      </c>
      <c r="BE526" s="107">
        <f t="shared" si="182"/>
        <v>2.6000000000000002E-2</v>
      </c>
      <c r="BF526" s="107">
        <f t="shared" si="182"/>
        <v>2.6000000000000002E-2</v>
      </c>
      <c r="BG526" s="107">
        <f t="shared" si="182"/>
        <v>2.6000000000000002E-2</v>
      </c>
    </row>
    <row r="527" spans="1:59" ht="13.75" customHeight="1">
      <c r="A527" s="141" t="s">
        <v>166</v>
      </c>
      <c r="B527" s="142" t="s">
        <v>491</v>
      </c>
      <c r="C527" s="142" t="s">
        <v>515</v>
      </c>
      <c r="D527" s="142" t="s">
        <v>98</v>
      </c>
      <c r="F527" s="168" t="s">
        <v>519</v>
      </c>
      <c r="G527" s="109" t="s">
        <v>3</v>
      </c>
      <c r="I527" s="109" t="s">
        <v>498</v>
      </c>
      <c r="W527" s="109"/>
      <c r="Y527" s="107">
        <v>1.125E-2</v>
      </c>
      <c r="Z527" s="107">
        <v>3.15E-2</v>
      </c>
      <c r="AA527" s="107">
        <v>1.9599999999999999E-2</v>
      </c>
      <c r="AB527" s="107">
        <v>4.4999999999999998E-2</v>
      </c>
      <c r="AC527" s="107">
        <v>4.4999999999999998E-2</v>
      </c>
      <c r="AD527" s="107">
        <v>4.4999999999999998E-2</v>
      </c>
      <c r="AE527" s="107">
        <f t="shared" ref="AE527:AX527" si="183">AE526</f>
        <v>2.4E-2</v>
      </c>
      <c r="AF527" s="107">
        <f t="shared" si="183"/>
        <v>2.4E-2</v>
      </c>
      <c r="AG527" s="107">
        <f t="shared" si="183"/>
        <v>2.6000000000000002E-2</v>
      </c>
      <c r="AH527" s="107">
        <f t="shared" si="183"/>
        <v>2.6000000000000002E-2</v>
      </c>
      <c r="AI527" s="107">
        <f t="shared" si="183"/>
        <v>2.6000000000000002E-2</v>
      </c>
      <c r="AJ527" s="107">
        <f t="shared" si="183"/>
        <v>2.6000000000000002E-2</v>
      </c>
      <c r="AK527" s="107">
        <f t="shared" si="183"/>
        <v>2.6000000000000002E-2</v>
      </c>
      <c r="AL527" s="107">
        <f t="shared" si="183"/>
        <v>2.6000000000000002E-2</v>
      </c>
      <c r="AM527" s="107">
        <f t="shared" si="183"/>
        <v>2.6000000000000002E-2</v>
      </c>
      <c r="AN527" s="107">
        <f t="shared" si="183"/>
        <v>2.6000000000000002E-2</v>
      </c>
      <c r="AO527" s="107">
        <f t="shared" si="183"/>
        <v>2.6000000000000002E-2</v>
      </c>
      <c r="AP527" s="107">
        <f t="shared" si="183"/>
        <v>2.6000000000000002E-2</v>
      </c>
      <c r="AQ527" s="107">
        <f t="shared" si="183"/>
        <v>2.6000000000000002E-2</v>
      </c>
      <c r="AR527" s="107">
        <f t="shared" si="183"/>
        <v>2.6000000000000002E-2</v>
      </c>
      <c r="AS527" s="107">
        <f t="shared" si="183"/>
        <v>2.6000000000000002E-2</v>
      </c>
      <c r="AT527" s="107">
        <f t="shared" si="183"/>
        <v>2.6000000000000002E-2</v>
      </c>
      <c r="AU527" s="107">
        <f t="shared" si="183"/>
        <v>2.6000000000000002E-2</v>
      </c>
      <c r="AV527" s="107">
        <f t="shared" si="183"/>
        <v>2.6000000000000002E-2</v>
      </c>
      <c r="AW527" s="107">
        <f t="shared" si="183"/>
        <v>2.6000000000000002E-2</v>
      </c>
      <c r="AX527" s="107">
        <f t="shared" si="183"/>
        <v>2.6000000000000002E-2</v>
      </c>
      <c r="AY527" s="107">
        <f>AY526</f>
        <v>2.6000000000000002E-2</v>
      </c>
      <c r="AZ527" s="107">
        <f>AZ526</f>
        <v>2.6000000000000002E-2</v>
      </c>
      <c r="BA527" s="107">
        <f>BA526</f>
        <v>2.6000000000000002E-2</v>
      </c>
      <c r="BB527" s="107">
        <f>BB526</f>
        <v>2.6000000000000002E-2</v>
      </c>
      <c r="BC527" s="107">
        <f t="shared" ref="BC527:BG527" si="184">BC526</f>
        <v>2.6000000000000002E-2</v>
      </c>
      <c r="BD527" s="107">
        <f t="shared" si="184"/>
        <v>2.6000000000000002E-2</v>
      </c>
      <c r="BE527" s="107">
        <f t="shared" si="184"/>
        <v>2.6000000000000002E-2</v>
      </c>
      <c r="BF527" s="107">
        <f t="shared" si="184"/>
        <v>2.6000000000000002E-2</v>
      </c>
      <c r="BG527" s="107">
        <f t="shared" si="184"/>
        <v>2.6000000000000002E-2</v>
      </c>
    </row>
    <row r="528" spans="1:59" ht="13.75" customHeight="1">
      <c r="A528" s="141" t="s">
        <v>166</v>
      </c>
      <c r="B528" s="142" t="s">
        <v>491</v>
      </c>
      <c r="C528" s="142" t="s">
        <v>520</v>
      </c>
      <c r="D528" s="142" t="s">
        <v>87</v>
      </c>
      <c r="F528" s="168" t="s">
        <v>521</v>
      </c>
      <c r="G528" s="109" t="s">
        <v>494</v>
      </c>
      <c r="V528" s="111">
        <v>0.75301204819277101</v>
      </c>
      <c r="W528" s="111">
        <v>0.75757575757575757</v>
      </c>
      <c r="X528" s="111">
        <v>0.90102680916158218</v>
      </c>
      <c r="Y528" s="111">
        <v>0.90290869916509553</v>
      </c>
      <c r="Z528" s="111">
        <v>0.88481656490336635</v>
      </c>
      <c r="AA528" s="111">
        <v>0.84695910881422631</v>
      </c>
      <c r="AB528" s="111">
        <v>0.89336164525314177</v>
      </c>
      <c r="AC528" s="111">
        <v>0.87719298245614041</v>
      </c>
      <c r="AD528" s="111">
        <v>0.84033613445378152</v>
      </c>
      <c r="AE528" s="111">
        <f>1/AE35</f>
        <v>0.95088866070413236</v>
      </c>
      <c r="AF528" s="111">
        <f t="shared" ref="AF528:AX529" si="185">1/AF35</f>
        <v>0.92758467148997403</v>
      </c>
      <c r="AG528" s="111">
        <f t="shared" si="185"/>
        <v>0.93023255813953476</v>
      </c>
      <c r="AH528" s="111">
        <f t="shared" si="185"/>
        <v>0.92592592592592582</v>
      </c>
      <c r="AI528" s="111">
        <f t="shared" si="185"/>
        <v>0.92592592592592582</v>
      </c>
      <c r="AJ528" s="111">
        <f t="shared" si="185"/>
        <v>0.92592592592592582</v>
      </c>
      <c r="AK528" s="111">
        <f t="shared" si="185"/>
        <v>0.92592592592592582</v>
      </c>
      <c r="AL528" s="111">
        <f t="shared" si="185"/>
        <v>0.92592592592592582</v>
      </c>
      <c r="AM528" s="111">
        <f t="shared" si="185"/>
        <v>0.92592592592592582</v>
      </c>
      <c r="AN528" s="111">
        <f t="shared" si="185"/>
        <v>0.92592592592592582</v>
      </c>
      <c r="AO528" s="111">
        <f t="shared" si="185"/>
        <v>0.92592592592592582</v>
      </c>
      <c r="AP528" s="111">
        <f t="shared" si="185"/>
        <v>0.92592592592592582</v>
      </c>
      <c r="AQ528" s="111">
        <f t="shared" si="185"/>
        <v>0.92592592592592582</v>
      </c>
      <c r="AR528" s="111">
        <f t="shared" si="185"/>
        <v>0.92592592592592582</v>
      </c>
      <c r="AS528" s="111">
        <f t="shared" si="185"/>
        <v>0.92592592592592582</v>
      </c>
      <c r="AT528" s="111">
        <f t="shared" si="185"/>
        <v>0.92592592592592582</v>
      </c>
      <c r="AU528" s="111">
        <f t="shared" si="185"/>
        <v>0.92592592592592582</v>
      </c>
      <c r="AV528" s="111">
        <f t="shared" si="185"/>
        <v>0.92592592592592582</v>
      </c>
      <c r="AW528" s="111">
        <f t="shared" si="185"/>
        <v>0.92592592592592582</v>
      </c>
      <c r="AX528" s="111">
        <f t="shared" si="185"/>
        <v>0.92592592592592582</v>
      </c>
      <c r="AY528" s="111">
        <f>1/AY35</f>
        <v>0.92592592592592582</v>
      </c>
      <c r="AZ528" s="111">
        <f>1/AZ35</f>
        <v>0.92592592592592582</v>
      </c>
      <c r="BA528" s="111">
        <f>1/BA35</f>
        <v>0.92592592592592582</v>
      </c>
      <c r="BB528" s="111">
        <f>1/BB35</f>
        <v>0.92592592592592582</v>
      </c>
      <c r="BC528" s="111">
        <f t="shared" ref="BC528:BG529" si="186">1/BC35</f>
        <v>0.92592592592592582</v>
      </c>
      <c r="BD528" s="111">
        <f t="shared" si="186"/>
        <v>0.92592592592592582</v>
      </c>
      <c r="BE528" s="111">
        <f t="shared" si="186"/>
        <v>0.92592592592592582</v>
      </c>
      <c r="BF528" s="111">
        <f t="shared" si="186"/>
        <v>0.92592592592592582</v>
      </c>
      <c r="BG528" s="111">
        <f t="shared" si="186"/>
        <v>0.92592592592592582</v>
      </c>
    </row>
    <row r="529" spans="1:59" ht="13.75" customHeight="1">
      <c r="A529" s="141" t="s">
        <v>166</v>
      </c>
      <c r="B529" s="142" t="s">
        <v>491</v>
      </c>
      <c r="C529" s="142" t="s">
        <v>520</v>
      </c>
      <c r="D529" s="142" t="s">
        <v>87</v>
      </c>
      <c r="F529" s="168" t="s">
        <v>522</v>
      </c>
      <c r="G529" s="109" t="s">
        <v>494</v>
      </c>
      <c r="I529" s="109" t="s">
        <v>496</v>
      </c>
      <c r="V529" s="111">
        <v>0.72727272727272729</v>
      </c>
      <c r="W529" s="111">
        <v>0.82644628099173556</v>
      </c>
      <c r="X529" s="116">
        <v>0.91743119266054995</v>
      </c>
      <c r="Y529" s="111">
        <v>0.95093191327500948</v>
      </c>
      <c r="Z529" s="111">
        <v>0.8337502084375521</v>
      </c>
      <c r="AA529" s="111">
        <v>0.87290502793296088</v>
      </c>
      <c r="AB529" s="111">
        <v>0.89190153407063855</v>
      </c>
      <c r="AC529" s="111">
        <v>0.81300813008130079</v>
      </c>
      <c r="AD529" s="111">
        <v>0.87950747581354438</v>
      </c>
      <c r="AE529" s="111">
        <f>1/AE36</f>
        <v>0.95088866070413236</v>
      </c>
      <c r="AF529" s="111">
        <f t="shared" si="185"/>
        <v>0.92758467148997403</v>
      </c>
      <c r="AG529" s="111">
        <f t="shared" si="185"/>
        <v>0.93023255813953476</v>
      </c>
      <c r="AH529" s="111">
        <f t="shared" si="185"/>
        <v>0.92592592592592582</v>
      </c>
      <c r="AI529" s="111">
        <f t="shared" si="185"/>
        <v>0.92592592592592582</v>
      </c>
      <c r="AJ529" s="111">
        <f t="shared" si="185"/>
        <v>0.92592592592592582</v>
      </c>
      <c r="AK529" s="111">
        <f t="shared" si="185"/>
        <v>0.92592592592592582</v>
      </c>
      <c r="AL529" s="111">
        <f t="shared" si="185"/>
        <v>0.92592592592592582</v>
      </c>
      <c r="AM529" s="111">
        <f t="shared" si="185"/>
        <v>0.92592592592592582</v>
      </c>
      <c r="AN529" s="111">
        <f t="shared" si="185"/>
        <v>0.92592592592592582</v>
      </c>
      <c r="AO529" s="111">
        <f t="shared" si="185"/>
        <v>0.92592592592592582</v>
      </c>
      <c r="AP529" s="111">
        <f t="shared" si="185"/>
        <v>0.92592592592592582</v>
      </c>
      <c r="AQ529" s="111">
        <f t="shared" si="185"/>
        <v>0.92592592592592582</v>
      </c>
      <c r="AR529" s="111">
        <f t="shared" si="185"/>
        <v>0.92592592592592582</v>
      </c>
      <c r="AS529" s="111">
        <f t="shared" si="185"/>
        <v>0.92592592592592582</v>
      </c>
      <c r="AT529" s="111">
        <f t="shared" si="185"/>
        <v>0.92592592592592582</v>
      </c>
      <c r="AU529" s="111">
        <f t="shared" si="185"/>
        <v>0.92592592592592582</v>
      </c>
      <c r="AV529" s="111">
        <f t="shared" si="185"/>
        <v>0.92592592592592582</v>
      </c>
      <c r="AW529" s="111">
        <f t="shared" si="185"/>
        <v>0.92592592592592582</v>
      </c>
      <c r="AX529" s="111">
        <f>1/AX36</f>
        <v>0.92592592592592582</v>
      </c>
      <c r="AY529" s="111">
        <f>1/AY36</f>
        <v>0.92592592592592582</v>
      </c>
      <c r="AZ529" s="111">
        <f>1/AZ36</f>
        <v>0.92592592592592582</v>
      </c>
      <c r="BA529" s="111">
        <f>1/BA36</f>
        <v>0.92592592592592582</v>
      </c>
      <c r="BB529" s="111">
        <f t="shared" ref="BB529" si="187">1/BB36</f>
        <v>0.92592592592592582</v>
      </c>
      <c r="BC529" s="111">
        <f t="shared" si="186"/>
        <v>0.92592592592592582</v>
      </c>
      <c r="BD529" s="111">
        <f t="shared" si="186"/>
        <v>0.92592592592592582</v>
      </c>
      <c r="BE529" s="111">
        <f t="shared" si="186"/>
        <v>0.92592592592592582</v>
      </c>
      <c r="BF529" s="111">
        <f t="shared" si="186"/>
        <v>0.92592592592592582</v>
      </c>
      <c r="BG529" s="111">
        <f t="shared" si="186"/>
        <v>0.92592592592592582</v>
      </c>
    </row>
    <row r="530" spans="1:59" ht="13.75" customHeight="1">
      <c r="A530" s="141" t="s">
        <v>166</v>
      </c>
      <c r="B530" s="142" t="s">
        <v>491</v>
      </c>
      <c r="C530" s="142" t="s">
        <v>520</v>
      </c>
      <c r="D530" s="142" t="s">
        <v>87</v>
      </c>
      <c r="F530" s="168" t="s">
        <v>523</v>
      </c>
      <c r="G530" s="109" t="s">
        <v>3</v>
      </c>
      <c r="I530" s="109" t="s">
        <v>498</v>
      </c>
      <c r="V530" s="107">
        <v>1.9E-2</v>
      </c>
      <c r="W530" s="107">
        <v>4.0000000000000001E-3</v>
      </c>
      <c r="X530" s="107">
        <v>-8.0000000000000002E-3</v>
      </c>
      <c r="Y530" s="107">
        <v>-1E-3</v>
      </c>
      <c r="Z530" s="107">
        <v>1.3999999999999999E-2</v>
      </c>
      <c r="AA530" s="107">
        <v>1.7000000000000001E-2</v>
      </c>
      <c r="AB530" s="107">
        <v>1.6E-2</v>
      </c>
      <c r="AC530" s="107">
        <v>-2.9999999999999997E-4</v>
      </c>
      <c r="AD530" s="107">
        <v>4.9000000000000002E-2</v>
      </c>
      <c r="AE530" s="107">
        <v>1.7000000000000001E-2</v>
      </c>
      <c r="AF530" s="107">
        <v>1.8000000000000002E-2</v>
      </c>
      <c r="AG530" s="107">
        <v>1.8000000000000002E-2</v>
      </c>
      <c r="AH530" s="107">
        <f>AG530</f>
        <v>1.8000000000000002E-2</v>
      </c>
      <c r="AI530" s="107">
        <f t="shared" ref="AI530:AX530" si="188">AH530</f>
        <v>1.8000000000000002E-2</v>
      </c>
      <c r="AJ530" s="107">
        <f t="shared" si="188"/>
        <v>1.8000000000000002E-2</v>
      </c>
      <c r="AK530" s="107">
        <f t="shared" si="188"/>
        <v>1.8000000000000002E-2</v>
      </c>
      <c r="AL530" s="107">
        <f t="shared" si="188"/>
        <v>1.8000000000000002E-2</v>
      </c>
      <c r="AM530" s="107">
        <f t="shared" si="188"/>
        <v>1.8000000000000002E-2</v>
      </c>
      <c r="AN530" s="107">
        <f t="shared" si="188"/>
        <v>1.8000000000000002E-2</v>
      </c>
      <c r="AO530" s="107">
        <f t="shared" si="188"/>
        <v>1.8000000000000002E-2</v>
      </c>
      <c r="AP530" s="107">
        <f t="shared" si="188"/>
        <v>1.8000000000000002E-2</v>
      </c>
      <c r="AQ530" s="107">
        <f t="shared" si="188"/>
        <v>1.8000000000000002E-2</v>
      </c>
      <c r="AR530" s="107">
        <f t="shared" si="188"/>
        <v>1.8000000000000002E-2</v>
      </c>
      <c r="AS530" s="107">
        <f t="shared" si="188"/>
        <v>1.8000000000000002E-2</v>
      </c>
      <c r="AT530" s="107">
        <f t="shared" si="188"/>
        <v>1.8000000000000002E-2</v>
      </c>
      <c r="AU530" s="107">
        <f t="shared" si="188"/>
        <v>1.8000000000000002E-2</v>
      </c>
      <c r="AV530" s="107">
        <f t="shared" si="188"/>
        <v>1.8000000000000002E-2</v>
      </c>
      <c r="AW530" s="107">
        <f t="shared" si="188"/>
        <v>1.8000000000000002E-2</v>
      </c>
      <c r="AX530" s="107">
        <f t="shared" si="188"/>
        <v>1.8000000000000002E-2</v>
      </c>
      <c r="AY530" s="107">
        <f>AX530</f>
        <v>1.8000000000000002E-2</v>
      </c>
      <c r="AZ530" s="107">
        <f>AY530</f>
        <v>1.8000000000000002E-2</v>
      </c>
      <c r="BA530" s="107">
        <f>AZ530</f>
        <v>1.8000000000000002E-2</v>
      </c>
      <c r="BB530" s="107">
        <f>BA530</f>
        <v>1.8000000000000002E-2</v>
      </c>
      <c r="BC530" s="107">
        <f t="shared" ref="BC530:BG530" si="189">BB530</f>
        <v>1.8000000000000002E-2</v>
      </c>
      <c r="BD530" s="107">
        <f t="shared" si="189"/>
        <v>1.8000000000000002E-2</v>
      </c>
      <c r="BE530" s="107">
        <f t="shared" si="189"/>
        <v>1.8000000000000002E-2</v>
      </c>
      <c r="BF530" s="107">
        <f t="shared" si="189"/>
        <v>1.8000000000000002E-2</v>
      </c>
      <c r="BG530" s="107">
        <f t="shared" si="189"/>
        <v>1.8000000000000002E-2</v>
      </c>
    </row>
    <row r="531" spans="1:59" ht="13.75" customHeight="1">
      <c r="A531" s="141" t="s">
        <v>166</v>
      </c>
      <c r="B531" s="142" t="s">
        <v>491</v>
      </c>
      <c r="C531" s="142" t="s">
        <v>520</v>
      </c>
      <c r="D531" s="142" t="s">
        <v>98</v>
      </c>
      <c r="F531" s="168" t="s">
        <v>524</v>
      </c>
      <c r="G531" s="109" t="s">
        <v>3</v>
      </c>
      <c r="I531" s="109" t="s">
        <v>498</v>
      </c>
      <c r="W531" s="109"/>
      <c r="Z531" s="107">
        <v>1.5599999999999999E-2</v>
      </c>
      <c r="AA531" s="107">
        <v>2.0667000000000001E-2</v>
      </c>
      <c r="AB531" s="107">
        <v>5.0000000000000001E-3</v>
      </c>
      <c r="AC531" s="107">
        <v>-2E-3</v>
      </c>
      <c r="AD531" s="107">
        <v>0.106</v>
      </c>
      <c r="AE531" s="107">
        <f t="shared" ref="AE531:AX531" si="190">AE530</f>
        <v>1.7000000000000001E-2</v>
      </c>
      <c r="AF531" s="107">
        <f t="shared" si="190"/>
        <v>1.8000000000000002E-2</v>
      </c>
      <c r="AG531" s="107">
        <f t="shared" si="190"/>
        <v>1.8000000000000002E-2</v>
      </c>
      <c r="AH531" s="107">
        <f t="shared" si="190"/>
        <v>1.8000000000000002E-2</v>
      </c>
      <c r="AI531" s="107">
        <f t="shared" si="190"/>
        <v>1.8000000000000002E-2</v>
      </c>
      <c r="AJ531" s="107">
        <f t="shared" si="190"/>
        <v>1.8000000000000002E-2</v>
      </c>
      <c r="AK531" s="107">
        <f t="shared" si="190"/>
        <v>1.8000000000000002E-2</v>
      </c>
      <c r="AL531" s="107">
        <f t="shared" si="190"/>
        <v>1.8000000000000002E-2</v>
      </c>
      <c r="AM531" s="107">
        <f t="shared" si="190"/>
        <v>1.8000000000000002E-2</v>
      </c>
      <c r="AN531" s="107">
        <f t="shared" si="190"/>
        <v>1.8000000000000002E-2</v>
      </c>
      <c r="AO531" s="107">
        <f t="shared" si="190"/>
        <v>1.8000000000000002E-2</v>
      </c>
      <c r="AP531" s="107">
        <f t="shared" si="190"/>
        <v>1.8000000000000002E-2</v>
      </c>
      <c r="AQ531" s="107">
        <f t="shared" si="190"/>
        <v>1.8000000000000002E-2</v>
      </c>
      <c r="AR531" s="107">
        <f t="shared" si="190"/>
        <v>1.8000000000000002E-2</v>
      </c>
      <c r="AS531" s="107">
        <f t="shared" si="190"/>
        <v>1.8000000000000002E-2</v>
      </c>
      <c r="AT531" s="107">
        <f t="shared" si="190"/>
        <v>1.8000000000000002E-2</v>
      </c>
      <c r="AU531" s="107">
        <f t="shared" si="190"/>
        <v>1.8000000000000002E-2</v>
      </c>
      <c r="AV531" s="107">
        <f t="shared" si="190"/>
        <v>1.8000000000000002E-2</v>
      </c>
      <c r="AW531" s="107">
        <f t="shared" si="190"/>
        <v>1.8000000000000002E-2</v>
      </c>
      <c r="AX531" s="107">
        <f t="shared" si="190"/>
        <v>1.8000000000000002E-2</v>
      </c>
      <c r="AY531" s="107">
        <f>AY530</f>
        <v>1.8000000000000002E-2</v>
      </c>
      <c r="AZ531" s="107">
        <f>AZ530</f>
        <v>1.8000000000000002E-2</v>
      </c>
      <c r="BA531" s="107">
        <f>BA530</f>
        <v>1.8000000000000002E-2</v>
      </c>
      <c r="BB531" s="107">
        <f>BB530</f>
        <v>1.8000000000000002E-2</v>
      </c>
      <c r="BC531" s="107">
        <f t="shared" ref="BC531:BG531" si="191">BC530</f>
        <v>1.8000000000000002E-2</v>
      </c>
      <c r="BD531" s="107">
        <f t="shared" si="191"/>
        <v>1.8000000000000002E-2</v>
      </c>
      <c r="BE531" s="107">
        <f t="shared" si="191"/>
        <v>1.8000000000000002E-2</v>
      </c>
      <c r="BF531" s="107">
        <f t="shared" si="191"/>
        <v>1.8000000000000002E-2</v>
      </c>
      <c r="BG531" s="107">
        <f t="shared" si="191"/>
        <v>1.8000000000000002E-2</v>
      </c>
    </row>
    <row r="532" spans="1:59" ht="13.75" customHeight="1">
      <c r="A532" s="141" t="s">
        <v>166</v>
      </c>
      <c r="B532" s="142" t="s">
        <v>491</v>
      </c>
      <c r="C532" s="142" t="s">
        <v>525</v>
      </c>
      <c r="D532" s="142" t="s">
        <v>87</v>
      </c>
      <c r="F532" s="168" t="s">
        <v>526</v>
      </c>
      <c r="G532" s="109" t="s">
        <v>494</v>
      </c>
      <c r="U532" s="109">
        <v>1.5225</v>
      </c>
      <c r="V532" s="111">
        <v>1.4727409638554216</v>
      </c>
      <c r="W532" s="111">
        <v>1.4716328066215201</v>
      </c>
      <c r="X532" s="116">
        <v>1.7619819819819817</v>
      </c>
      <c r="Y532" s="111">
        <v>1.7676462696066966</v>
      </c>
      <c r="Z532" s="111">
        <v>1.7282999999999999</v>
      </c>
      <c r="AA532" s="111">
        <v>1.65</v>
      </c>
      <c r="AB532" s="111">
        <v>1.75</v>
      </c>
      <c r="AC532" s="111">
        <v>1.6050684043594996</v>
      </c>
      <c r="AD532" s="111">
        <v>1.6388335233995801</v>
      </c>
      <c r="AE532" s="111">
        <v>1.6504641350210969</v>
      </c>
      <c r="AF532" s="111">
        <v>1.6366527196652723</v>
      </c>
      <c r="AG532" s="111">
        <v>1.623070539419087</v>
      </c>
      <c r="AH532" s="111">
        <f>AVERAGE(AG533:AH533)</f>
        <v>1.6130566977909635</v>
      </c>
      <c r="AI532" s="111">
        <f>AVERAGE(AH533:AI533)</f>
        <v>1.6064563520595607</v>
      </c>
      <c r="AJ532" s="111">
        <f t="shared" ref="AJ532:AX532" si="192">AVERAGE(AI533:AJ533)</f>
        <v>1.6003574097472546</v>
      </c>
      <c r="AK532" s="111">
        <f t="shared" si="192"/>
        <v>1.5947561588131391</v>
      </c>
      <c r="AL532" s="111">
        <f t="shared" si="192"/>
        <v>1.5891745122572931</v>
      </c>
      <c r="AM532" s="111">
        <f t="shared" si="192"/>
        <v>1.5836124014643924</v>
      </c>
      <c r="AN532" s="111">
        <f t="shared" si="192"/>
        <v>1.5780697580592671</v>
      </c>
      <c r="AO532" s="111">
        <f t="shared" si="192"/>
        <v>1.5725465139060595</v>
      </c>
      <c r="AP532" s="111">
        <f t="shared" si="192"/>
        <v>1.5670426011073884</v>
      </c>
      <c r="AQ532" s="111">
        <f t="shared" si="192"/>
        <v>1.5615579520035126</v>
      </c>
      <c r="AR532" s="111">
        <f t="shared" si="192"/>
        <v>1.5560924991715002</v>
      </c>
      <c r="AS532" s="111">
        <f t="shared" si="192"/>
        <v>1.5506461754243996</v>
      </c>
      <c r="AT532" s="111">
        <f t="shared" si="192"/>
        <v>1.5452189138104142</v>
      </c>
      <c r="AU532" s="111">
        <f t="shared" si="192"/>
        <v>1.5398106476120774</v>
      </c>
      <c r="AV532" s="111">
        <f t="shared" si="192"/>
        <v>1.5344213103454352</v>
      </c>
      <c r="AW532" s="111">
        <f t="shared" si="192"/>
        <v>1.5290508357592261</v>
      </c>
      <c r="AX532" s="111">
        <f t="shared" si="192"/>
        <v>1.5236991578340686</v>
      </c>
      <c r="AY532" s="111">
        <f>AVERAGE(AX533:AY533)</f>
        <v>1.5183662107816494</v>
      </c>
      <c r="AZ532" s="111">
        <f>AVERAGE(AY533:AZ533)</f>
        <v>1.5130519290439137</v>
      </c>
      <c r="BA532" s="111">
        <f>AVERAGE(AZ533:BA533)</f>
        <v>1.5077562472922597</v>
      </c>
      <c r="BB532" s="111">
        <f>AVERAGE(BA533:BB533)</f>
        <v>1.5024791004267368</v>
      </c>
      <c r="BC532" s="111">
        <f t="shared" ref="BC532:BG532" si="193">AVERAGE(BB533:BC533)</f>
        <v>1.4972204235752429</v>
      </c>
      <c r="BD532" s="111">
        <f t="shared" si="193"/>
        <v>1.4919801520927294</v>
      </c>
      <c r="BE532" s="111">
        <f t="shared" si="193"/>
        <v>1.4867582215604047</v>
      </c>
      <c r="BF532" s="111">
        <f t="shared" si="193"/>
        <v>1.4815545677849433</v>
      </c>
      <c r="BG532" s="111">
        <f t="shared" si="193"/>
        <v>1.4763691267976959</v>
      </c>
    </row>
    <row r="533" spans="1:59" ht="13.75" customHeight="1">
      <c r="A533" s="141" t="s">
        <v>166</v>
      </c>
      <c r="B533" s="142" t="s">
        <v>491</v>
      </c>
      <c r="C533" s="142" t="s">
        <v>525</v>
      </c>
      <c r="D533" s="142" t="s">
        <v>87</v>
      </c>
      <c r="F533" s="168" t="s">
        <v>527</v>
      </c>
      <c r="G533" s="109" t="s">
        <v>494</v>
      </c>
      <c r="I533" s="109" t="s">
        <v>496</v>
      </c>
      <c r="U533" s="109">
        <v>1.48</v>
      </c>
      <c r="V533" s="111">
        <v>1.4223999999999999</v>
      </c>
      <c r="W533" s="111">
        <v>1.6163636363636364</v>
      </c>
      <c r="X533" s="116">
        <v>1.7943119266055045</v>
      </c>
      <c r="Y533" s="111">
        <v>1.8603633596499574</v>
      </c>
      <c r="Z533" s="111">
        <v>1.6301000000000001</v>
      </c>
      <c r="AA533" s="111">
        <v>1.71</v>
      </c>
      <c r="AB533" s="111">
        <v>1.74</v>
      </c>
      <c r="AC533" s="111">
        <v>1.6031147540983606</v>
      </c>
      <c r="AD533" s="111">
        <v>1.7261</v>
      </c>
      <c r="AE533" s="111">
        <v>1.6435294117647059</v>
      </c>
      <c r="AF533" s="111">
        <v>1.6298333333333335</v>
      </c>
      <c r="AG533" s="111">
        <v>1.6163636363636364</v>
      </c>
      <c r="AH533" s="112">
        <f>AG533*(1+AH534-AH$4)</f>
        <v>1.6097497592182903</v>
      </c>
      <c r="AI533" s="112">
        <f t="shared" ref="AI533:AR533" si="194">AH533*(1+AI534-AI$4)</f>
        <v>1.6031629449008311</v>
      </c>
      <c r="AJ533" s="112">
        <f t="shared" si="194"/>
        <v>1.5975518745936781</v>
      </c>
      <c r="AK533" s="112">
        <f t="shared" si="194"/>
        <v>1.5919604430326002</v>
      </c>
      <c r="AL533" s="112">
        <f t="shared" si="194"/>
        <v>1.586388581481986</v>
      </c>
      <c r="AM533" s="112">
        <f t="shared" si="194"/>
        <v>1.580836221446799</v>
      </c>
      <c r="AN533" s="112">
        <f t="shared" si="194"/>
        <v>1.5753032946717351</v>
      </c>
      <c r="AO533" s="112">
        <f t="shared" si="194"/>
        <v>1.5697897331403841</v>
      </c>
      <c r="AP533" s="112">
        <f t="shared" si="194"/>
        <v>1.5642954690743927</v>
      </c>
      <c r="AQ533" s="112">
        <f t="shared" si="194"/>
        <v>1.5588204349326322</v>
      </c>
      <c r="AR533" s="112">
        <f t="shared" si="194"/>
        <v>1.5533645634103679</v>
      </c>
      <c r="AS533" s="112">
        <f>AR533*(1+AS534-AS$4)</f>
        <v>1.5479277874384314</v>
      </c>
      <c r="AT533" s="112">
        <f t="shared" ref="AT533:AX533" si="195">AS533*(1+AT534-AT$4)</f>
        <v>1.5425100401823968</v>
      </c>
      <c r="AU533" s="112">
        <f t="shared" si="195"/>
        <v>1.5371112550417583</v>
      </c>
      <c r="AV533" s="112">
        <f t="shared" si="195"/>
        <v>1.5317313656491121</v>
      </c>
      <c r="AW533" s="112">
        <f t="shared" si="195"/>
        <v>1.5263703058693401</v>
      </c>
      <c r="AX533" s="112">
        <f t="shared" si="195"/>
        <v>1.5210280097987974</v>
      </c>
      <c r="AY533" s="112">
        <f>AX533*(1+AY534-AY$4)</f>
        <v>1.5157044117645015</v>
      </c>
      <c r="AZ533" s="112">
        <f>AY533*(1+AZ534-AZ$4)</f>
        <v>1.5103994463233257</v>
      </c>
      <c r="BA533" s="112">
        <f>AZ533*(1+BA534-BA$4)</f>
        <v>1.5051130482611939</v>
      </c>
      <c r="BB533" s="112">
        <f>BA533*(1+BB534-BB$4)</f>
        <v>1.4998451525922796</v>
      </c>
      <c r="BC533" s="112">
        <f t="shared" ref="BC533:BG533" si="196">BB533*(1+BC534-BC$4)</f>
        <v>1.4945956945582064</v>
      </c>
      <c r="BD533" s="112">
        <f t="shared" si="196"/>
        <v>1.4893646096272526</v>
      </c>
      <c r="BE533" s="112">
        <f t="shared" si="196"/>
        <v>1.4841518334935571</v>
      </c>
      <c r="BF533" s="112">
        <f t="shared" si="196"/>
        <v>1.4789573020763296</v>
      </c>
      <c r="BG533" s="112">
        <f t="shared" si="196"/>
        <v>1.4737809515190623</v>
      </c>
    </row>
    <row r="534" spans="1:59" ht="13.75" customHeight="1">
      <c r="A534" s="141" t="s">
        <v>166</v>
      </c>
      <c r="B534" s="142" t="s">
        <v>491</v>
      </c>
      <c r="C534" s="142" t="s">
        <v>525</v>
      </c>
      <c r="D534" s="142" t="s">
        <v>87</v>
      </c>
      <c r="F534" s="168" t="s">
        <v>528</v>
      </c>
      <c r="G534" s="109" t="s">
        <v>3</v>
      </c>
      <c r="I534" s="109" t="s">
        <v>498</v>
      </c>
      <c r="U534" s="107">
        <v>2.1000000000000001E-2</v>
      </c>
      <c r="V534" s="107">
        <v>-1E-3</v>
      </c>
      <c r="W534" s="107">
        <v>-9.0000000000000011E-3</v>
      </c>
      <c r="X534" s="107">
        <v>-0.01</v>
      </c>
      <c r="Y534" s="107">
        <v>-1.0749999999999999E-2</v>
      </c>
      <c r="Z534" s="107">
        <v>1.7000000000000001E-2</v>
      </c>
      <c r="AA534" s="107">
        <v>1.3999999999999999E-2</v>
      </c>
      <c r="AB534" s="107">
        <v>5.5000000000000005E-3</v>
      </c>
      <c r="AC534" s="107">
        <v>-0.01</v>
      </c>
      <c r="AD534" s="107">
        <v>1.8189999999999998E-2</v>
      </c>
      <c r="AE534" s="107">
        <v>1.2E-2</v>
      </c>
      <c r="AF534" s="107">
        <v>1.325E-2</v>
      </c>
      <c r="AG534" s="107">
        <v>1.6500000000000001E-2</v>
      </c>
      <c r="AH534" s="107">
        <f t="shared" ref="AH534:AX534" si="197">AG534</f>
        <v>1.6500000000000001E-2</v>
      </c>
      <c r="AI534" s="107">
        <f t="shared" si="197"/>
        <v>1.6500000000000001E-2</v>
      </c>
      <c r="AJ534" s="107">
        <f t="shared" si="197"/>
        <v>1.6500000000000001E-2</v>
      </c>
      <c r="AK534" s="107">
        <f t="shared" si="197"/>
        <v>1.6500000000000001E-2</v>
      </c>
      <c r="AL534" s="107">
        <f t="shared" si="197"/>
        <v>1.6500000000000001E-2</v>
      </c>
      <c r="AM534" s="107">
        <f t="shared" si="197"/>
        <v>1.6500000000000001E-2</v>
      </c>
      <c r="AN534" s="107">
        <f t="shared" si="197"/>
        <v>1.6500000000000001E-2</v>
      </c>
      <c r="AO534" s="107">
        <f t="shared" si="197"/>
        <v>1.6500000000000001E-2</v>
      </c>
      <c r="AP534" s="107">
        <f t="shared" si="197"/>
        <v>1.6500000000000001E-2</v>
      </c>
      <c r="AQ534" s="107">
        <f t="shared" si="197"/>
        <v>1.6500000000000001E-2</v>
      </c>
      <c r="AR534" s="107">
        <f t="shared" si="197"/>
        <v>1.6500000000000001E-2</v>
      </c>
      <c r="AS534" s="107">
        <f t="shared" si="197"/>
        <v>1.6500000000000001E-2</v>
      </c>
      <c r="AT534" s="107">
        <f t="shared" si="197"/>
        <v>1.6500000000000001E-2</v>
      </c>
      <c r="AU534" s="107">
        <f t="shared" si="197"/>
        <v>1.6500000000000001E-2</v>
      </c>
      <c r="AV534" s="107">
        <f t="shared" si="197"/>
        <v>1.6500000000000001E-2</v>
      </c>
      <c r="AW534" s="107">
        <f t="shared" si="197"/>
        <v>1.6500000000000001E-2</v>
      </c>
      <c r="AX534" s="107">
        <f t="shared" si="197"/>
        <v>1.6500000000000001E-2</v>
      </c>
      <c r="AY534" s="107">
        <f>AX534</f>
        <v>1.6500000000000001E-2</v>
      </c>
      <c r="AZ534" s="107">
        <f>AY534</f>
        <v>1.6500000000000001E-2</v>
      </c>
      <c r="BA534" s="107">
        <f>AZ534</f>
        <v>1.6500000000000001E-2</v>
      </c>
      <c r="BB534" s="107">
        <f>BA534</f>
        <v>1.6500000000000001E-2</v>
      </c>
      <c r="BC534" s="107">
        <f t="shared" ref="BC534:BG534" si="198">BB534</f>
        <v>1.6500000000000001E-2</v>
      </c>
      <c r="BD534" s="107">
        <f t="shared" si="198"/>
        <v>1.6500000000000001E-2</v>
      </c>
      <c r="BE534" s="107">
        <f t="shared" si="198"/>
        <v>1.6500000000000001E-2</v>
      </c>
      <c r="BF534" s="107">
        <f t="shared" si="198"/>
        <v>1.6500000000000001E-2</v>
      </c>
      <c r="BG534" s="107">
        <f t="shared" si="198"/>
        <v>1.6500000000000001E-2</v>
      </c>
    </row>
    <row r="535" spans="1:59" ht="13.75" customHeight="1">
      <c r="A535" s="141" t="s">
        <v>166</v>
      </c>
      <c r="B535" s="142" t="s">
        <v>491</v>
      </c>
      <c r="C535" s="142" t="s">
        <v>525</v>
      </c>
      <c r="D535" s="142" t="s">
        <v>98</v>
      </c>
      <c r="F535" s="168" t="s">
        <v>529</v>
      </c>
      <c r="G535" s="109" t="s">
        <v>3</v>
      </c>
      <c r="I535" s="109" t="s">
        <v>498</v>
      </c>
      <c r="W535" s="109"/>
      <c r="Z535" s="107">
        <v>1.7000000000000001E-2</v>
      </c>
      <c r="AA535" s="107">
        <v>1.3999999999999999E-2</v>
      </c>
      <c r="AB535" s="107">
        <v>1.942E-2</v>
      </c>
      <c r="AC535" s="107">
        <v>-0.01</v>
      </c>
      <c r="AD535" s="107">
        <v>1.8189999999999998E-2</v>
      </c>
      <c r="AE535" s="107">
        <f t="shared" ref="AE535:AX535" si="199">AE534</f>
        <v>1.2E-2</v>
      </c>
      <c r="AF535" s="107">
        <f t="shared" si="199"/>
        <v>1.325E-2</v>
      </c>
      <c r="AG535" s="107">
        <f t="shared" si="199"/>
        <v>1.6500000000000001E-2</v>
      </c>
      <c r="AH535" s="107">
        <f t="shared" si="199"/>
        <v>1.6500000000000001E-2</v>
      </c>
      <c r="AI535" s="107">
        <f t="shared" si="199"/>
        <v>1.6500000000000001E-2</v>
      </c>
      <c r="AJ535" s="107">
        <f t="shared" si="199"/>
        <v>1.6500000000000001E-2</v>
      </c>
      <c r="AK535" s="107">
        <f t="shared" si="199"/>
        <v>1.6500000000000001E-2</v>
      </c>
      <c r="AL535" s="107">
        <f t="shared" si="199"/>
        <v>1.6500000000000001E-2</v>
      </c>
      <c r="AM535" s="107">
        <f t="shared" si="199"/>
        <v>1.6500000000000001E-2</v>
      </c>
      <c r="AN535" s="107">
        <f t="shared" si="199"/>
        <v>1.6500000000000001E-2</v>
      </c>
      <c r="AO535" s="107">
        <f t="shared" si="199"/>
        <v>1.6500000000000001E-2</v>
      </c>
      <c r="AP535" s="107">
        <f t="shared" si="199"/>
        <v>1.6500000000000001E-2</v>
      </c>
      <c r="AQ535" s="107">
        <f t="shared" si="199"/>
        <v>1.6500000000000001E-2</v>
      </c>
      <c r="AR535" s="107">
        <f t="shared" si="199"/>
        <v>1.6500000000000001E-2</v>
      </c>
      <c r="AS535" s="107">
        <f t="shared" si="199"/>
        <v>1.6500000000000001E-2</v>
      </c>
      <c r="AT535" s="107">
        <f t="shared" si="199"/>
        <v>1.6500000000000001E-2</v>
      </c>
      <c r="AU535" s="107">
        <f t="shared" si="199"/>
        <v>1.6500000000000001E-2</v>
      </c>
      <c r="AV535" s="107">
        <f t="shared" si="199"/>
        <v>1.6500000000000001E-2</v>
      </c>
      <c r="AW535" s="107">
        <f t="shared" si="199"/>
        <v>1.6500000000000001E-2</v>
      </c>
      <c r="AX535" s="107">
        <f t="shared" si="199"/>
        <v>1.6500000000000001E-2</v>
      </c>
      <c r="AY535" s="107">
        <f>AY534</f>
        <v>1.6500000000000001E-2</v>
      </c>
      <c r="AZ535" s="107">
        <f>AZ534</f>
        <v>1.6500000000000001E-2</v>
      </c>
      <c r="BA535" s="107">
        <f>BA534</f>
        <v>1.6500000000000001E-2</v>
      </c>
      <c r="BB535" s="107">
        <f>BB534</f>
        <v>1.6500000000000001E-2</v>
      </c>
      <c r="BC535" s="107">
        <f t="shared" ref="BC535:BG535" si="200">BC534</f>
        <v>1.6500000000000001E-2</v>
      </c>
      <c r="BD535" s="107">
        <f t="shared" si="200"/>
        <v>1.6500000000000001E-2</v>
      </c>
      <c r="BE535" s="107">
        <f t="shared" si="200"/>
        <v>1.6500000000000001E-2</v>
      </c>
      <c r="BF535" s="107">
        <f t="shared" si="200"/>
        <v>1.6500000000000001E-2</v>
      </c>
      <c r="BG535" s="107">
        <f t="shared" si="200"/>
        <v>1.6500000000000001E-2</v>
      </c>
    </row>
    <row r="536" spans="1:59" ht="13.75" customHeight="1" outlineLevel="1">
      <c r="F536" s="168"/>
      <c r="W536" s="109"/>
    </row>
    <row r="537" spans="1:59" ht="13.75" customHeight="1" outlineLevel="1">
      <c r="F537" s="168"/>
      <c r="W537" s="109"/>
    </row>
    <row r="538" spans="1:59" ht="13.75" customHeight="1" outlineLevel="1">
      <c r="F538" s="168"/>
      <c r="W538" s="109"/>
    </row>
    <row r="539" spans="1:59" ht="13.75" customHeight="1" outlineLevel="1">
      <c r="F539" s="168"/>
      <c r="W539" s="109"/>
    </row>
    <row r="540" spans="1:59" ht="13.75" customHeight="1" outlineLevel="1">
      <c r="F540" s="168"/>
      <c r="W540" s="109"/>
    </row>
    <row r="541" spans="1:59" ht="13.75" customHeight="1" outlineLevel="1">
      <c r="F541" s="168"/>
      <c r="W541" s="109"/>
    </row>
    <row r="542" spans="1:59" ht="13.75" customHeight="1" outlineLevel="1">
      <c r="F542" s="168"/>
      <c r="W542" s="109"/>
    </row>
    <row r="543" spans="1:59" ht="13.75" customHeight="1" outlineLevel="1">
      <c r="F543" s="168"/>
      <c r="I543" s="109">
        <v>100</v>
      </c>
      <c r="W543" s="109"/>
    </row>
    <row r="544" spans="1:59" ht="13.75" customHeight="1" outlineLevel="1">
      <c r="F544" s="168"/>
      <c r="W544" s="109"/>
    </row>
    <row r="545" spans="1:59" ht="13.75" customHeight="1">
      <c r="A545" s="141" t="s">
        <v>166</v>
      </c>
      <c r="B545" s="142" t="s">
        <v>530</v>
      </c>
      <c r="D545" s="142" t="s">
        <v>87</v>
      </c>
      <c r="E545" s="174">
        <v>42108</v>
      </c>
      <c r="F545" s="168" t="s">
        <v>531</v>
      </c>
      <c r="G545" s="109" t="s">
        <v>532</v>
      </c>
      <c r="W545" s="123">
        <v>2.7E-2</v>
      </c>
      <c r="X545" s="107">
        <v>-9.9999999999999978E-2</v>
      </c>
      <c r="Y545" s="107">
        <v>-4.599999999999993E-2</v>
      </c>
      <c r="Z545" s="107">
        <v>1.2999999999999901E-2</v>
      </c>
      <c r="AA545" s="107">
        <v>2.8250000000000001E-2</v>
      </c>
      <c r="AB545" s="107">
        <v>1.8666666666666672E-2</v>
      </c>
      <c r="AC545" s="107">
        <v>-3.2000000000000008E-2</v>
      </c>
      <c r="AD545" s="107">
        <v>8.7666666666666657E-2</v>
      </c>
      <c r="AE545" s="107">
        <v>-6.008333333333335E-2</v>
      </c>
      <c r="AF545" s="107">
        <v>5.7851669572795653E-2</v>
      </c>
      <c r="AG545" s="107">
        <v>1.2268001932753186E-2</v>
      </c>
      <c r="AH545" s="107">
        <v>6.0962243242017149E-3</v>
      </c>
      <c r="AI545" s="107">
        <v>1.4868392646515832E-2</v>
      </c>
      <c r="AJ545" s="107">
        <f t="shared" ref="AJ545:AX545" si="201">AJ2</f>
        <v>1.4999999999999999E-2</v>
      </c>
      <c r="AK545" s="107">
        <f t="shared" si="201"/>
        <v>1.4999999999999999E-2</v>
      </c>
      <c r="AL545" s="107">
        <f t="shared" si="201"/>
        <v>1.4999999999999999E-2</v>
      </c>
      <c r="AM545" s="107">
        <f t="shared" si="201"/>
        <v>1.4999999999999999E-2</v>
      </c>
      <c r="AN545" s="107">
        <f t="shared" si="201"/>
        <v>1.4999999999999999E-2</v>
      </c>
      <c r="AO545" s="107">
        <f t="shared" si="201"/>
        <v>1.4999999999999999E-2</v>
      </c>
      <c r="AP545" s="107">
        <f t="shared" si="201"/>
        <v>1.4999999999999999E-2</v>
      </c>
      <c r="AQ545" s="107">
        <f t="shared" si="201"/>
        <v>1.4999999999999999E-2</v>
      </c>
      <c r="AR545" s="107">
        <f t="shared" si="201"/>
        <v>1.4999999999999999E-2</v>
      </c>
      <c r="AS545" s="107">
        <f t="shared" si="201"/>
        <v>1.4999999999999999E-2</v>
      </c>
      <c r="AT545" s="107">
        <f t="shared" si="201"/>
        <v>1.4999999999999999E-2</v>
      </c>
      <c r="AU545" s="107">
        <f t="shared" si="201"/>
        <v>1.4999999999999999E-2</v>
      </c>
      <c r="AV545" s="107">
        <f t="shared" si="201"/>
        <v>1.4999999999999999E-2</v>
      </c>
      <c r="AW545" s="107">
        <f t="shared" si="201"/>
        <v>1.4999999999999999E-2</v>
      </c>
      <c r="AX545" s="107">
        <f t="shared" si="201"/>
        <v>1.4999999999999999E-2</v>
      </c>
      <c r="AY545" s="107">
        <f>AY2</f>
        <v>1.4999999999999999E-2</v>
      </c>
      <c r="AZ545" s="107">
        <f>AZ2</f>
        <v>1.4999999999999999E-2</v>
      </c>
      <c r="BA545" s="107">
        <f t="shared" ref="BA545:BG545" si="202">BA2</f>
        <v>1.4999999999999999E-2</v>
      </c>
      <c r="BB545" s="107">
        <f t="shared" si="202"/>
        <v>1.4999999999999999E-2</v>
      </c>
      <c r="BC545" s="107">
        <f t="shared" si="202"/>
        <v>1.4999999999999999E-2</v>
      </c>
      <c r="BD545" s="107">
        <f t="shared" si="202"/>
        <v>1.4999999999999999E-2</v>
      </c>
      <c r="BE545" s="107">
        <f t="shared" si="202"/>
        <v>1.4999999999999999E-2</v>
      </c>
      <c r="BF545" s="107">
        <f t="shared" si="202"/>
        <v>1.4999999999999999E-2</v>
      </c>
      <c r="BG545" s="107">
        <f t="shared" si="202"/>
        <v>1.4999999999999999E-2</v>
      </c>
    </row>
    <row r="546" spans="1:59" ht="13.75" customHeight="1">
      <c r="A546" s="141" t="s">
        <v>166</v>
      </c>
      <c r="B546" s="142" t="s">
        <v>530</v>
      </c>
      <c r="D546" s="142" t="s">
        <v>87</v>
      </c>
      <c r="E546" s="174">
        <v>42108</v>
      </c>
      <c r="F546" s="168" t="s">
        <v>533</v>
      </c>
      <c r="G546" s="109" t="s">
        <v>3</v>
      </c>
      <c r="I546" s="175" t="s">
        <v>534</v>
      </c>
      <c r="W546" s="107">
        <v>-1.2000000000000028E-2</v>
      </c>
      <c r="X546" s="107">
        <v>-2.4000000000000056E-2</v>
      </c>
      <c r="Y546" s="107">
        <v>-4.4999999999999998E-2</v>
      </c>
      <c r="Z546" s="107">
        <v>-5.0000000000000001E-3</v>
      </c>
      <c r="AA546" s="107">
        <v>7.9999999999998291E-4</v>
      </c>
      <c r="AB546" s="107">
        <v>9.0250000000000347E-3</v>
      </c>
      <c r="AC546" s="107">
        <v>-2.7749999999999986E-2</v>
      </c>
      <c r="AD546" s="107">
        <v>3.7814280447421314E-2</v>
      </c>
      <c r="AE546" s="107">
        <f t="shared" ref="AE546:BG546" si="203">AE9</f>
        <v>-9.4520199691621159E-3</v>
      </c>
      <c r="AF546" s="107">
        <f t="shared" si="203"/>
        <v>4.4452944161055614E-2</v>
      </c>
      <c r="AG546" s="107">
        <f t="shared" si="203"/>
        <v>6.2427696191460959E-3</v>
      </c>
      <c r="AH546" s="107">
        <f t="shared" si="203"/>
        <v>9.4875358147902579E-3</v>
      </c>
      <c r="AI546" s="107">
        <f t="shared" si="203"/>
        <v>1.2054108080999673E-2</v>
      </c>
      <c r="AJ546" s="107">
        <f t="shared" si="203"/>
        <v>1.2054108080999673E-2</v>
      </c>
      <c r="AK546" s="107">
        <f t="shared" si="203"/>
        <v>1.2054108080999673E-2</v>
      </c>
      <c r="AL546" s="107">
        <f t="shared" si="203"/>
        <v>1.2054108080999673E-2</v>
      </c>
      <c r="AM546" s="107">
        <f t="shared" si="203"/>
        <v>1.2054108080999673E-2</v>
      </c>
      <c r="AN546" s="107">
        <f t="shared" si="203"/>
        <v>1.2054108080999673E-2</v>
      </c>
      <c r="AO546" s="107">
        <f t="shared" si="203"/>
        <v>1.2054108080999673E-2</v>
      </c>
      <c r="AP546" s="107">
        <f t="shared" si="203"/>
        <v>1.2054108080999673E-2</v>
      </c>
      <c r="AQ546" s="107">
        <f t="shared" si="203"/>
        <v>1.2054108080999673E-2</v>
      </c>
      <c r="AR546" s="107">
        <f t="shared" si="203"/>
        <v>1.2054108080999673E-2</v>
      </c>
      <c r="AS546" s="107">
        <f t="shared" si="203"/>
        <v>1.2054108080999673E-2</v>
      </c>
      <c r="AT546" s="107">
        <f t="shared" si="203"/>
        <v>1.2054108080999673E-2</v>
      </c>
      <c r="AU546" s="107">
        <f t="shared" si="203"/>
        <v>1.2054108080999673E-2</v>
      </c>
      <c r="AV546" s="107">
        <f t="shared" si="203"/>
        <v>1.2054108080999673E-2</v>
      </c>
      <c r="AW546" s="107">
        <f t="shared" si="203"/>
        <v>1.2054108080999673E-2</v>
      </c>
      <c r="AX546" s="107">
        <f>AX9</f>
        <v>1.2054108080999673E-2</v>
      </c>
      <c r="AY546" s="107">
        <f t="shared" si="203"/>
        <v>1.2054108080999673E-2</v>
      </c>
      <c r="AZ546" s="107">
        <f t="shared" si="203"/>
        <v>1.2054108080999673E-2</v>
      </c>
      <c r="BA546" s="107">
        <f t="shared" si="203"/>
        <v>1.2054108080999673E-2</v>
      </c>
      <c r="BB546" s="107">
        <f t="shared" si="203"/>
        <v>1.2054108080999673E-2</v>
      </c>
      <c r="BC546" s="107">
        <f t="shared" si="203"/>
        <v>1.2054108080999673E-2</v>
      </c>
      <c r="BD546" s="107">
        <f t="shared" si="203"/>
        <v>1.2054108080999673E-2</v>
      </c>
      <c r="BE546" s="107">
        <f t="shared" si="203"/>
        <v>1.2054108080999673E-2</v>
      </c>
      <c r="BF546" s="107">
        <f t="shared" si="203"/>
        <v>1.2054108080999673E-2</v>
      </c>
      <c r="BG546" s="107">
        <f t="shared" si="203"/>
        <v>1.2054108080999673E-2</v>
      </c>
    </row>
    <row r="547" spans="1:59" ht="13.75" customHeight="1">
      <c r="A547" s="141" t="s">
        <v>166</v>
      </c>
      <c r="B547" s="142" t="s">
        <v>530</v>
      </c>
      <c r="D547" s="142" t="s">
        <v>87</v>
      </c>
      <c r="E547" s="174">
        <v>42108</v>
      </c>
      <c r="F547" s="168" t="s">
        <v>535</v>
      </c>
      <c r="G547" s="109" t="s">
        <v>3</v>
      </c>
      <c r="W547" s="123">
        <v>1.6E-2</v>
      </c>
      <c r="X547" s="107">
        <v>-6.0000000000000001E-3</v>
      </c>
      <c r="Y547" s="107">
        <v>1.325E-2</v>
      </c>
      <c r="Z547" s="107">
        <v>2.1000000000000001E-2</v>
      </c>
      <c r="AA547" s="107">
        <v>3.5083333333333334E-2</v>
      </c>
      <c r="AB547" s="107">
        <v>3.3916666666666678E-2</v>
      </c>
      <c r="AC547" s="107">
        <v>-2.0666666666666677E-2</v>
      </c>
      <c r="AD547" s="107">
        <v>6.5964206019097388E-2</v>
      </c>
      <c r="AE547" s="107">
        <v>6.9677409349179235E-3</v>
      </c>
      <c r="AF547" s="107">
        <v>3.500739907380887E-2</v>
      </c>
      <c r="AG547" s="107">
        <v>2.4365262888400668E-2</v>
      </c>
      <c r="AH547" s="107">
        <v>1.981760359063145E-2</v>
      </c>
      <c r="AI547" s="107">
        <v>1.606032768761867E-2</v>
      </c>
      <c r="AJ547" s="107">
        <f>AJ$2</f>
        <v>1.4999999999999999E-2</v>
      </c>
      <c r="AK547" s="107">
        <f t="shared" ref="AK547:BG547" si="204">AK$2</f>
        <v>1.4999999999999999E-2</v>
      </c>
      <c r="AL547" s="107">
        <f t="shared" si="204"/>
        <v>1.4999999999999999E-2</v>
      </c>
      <c r="AM547" s="107">
        <f t="shared" si="204"/>
        <v>1.4999999999999999E-2</v>
      </c>
      <c r="AN547" s="107">
        <f t="shared" si="204"/>
        <v>1.4999999999999999E-2</v>
      </c>
      <c r="AO547" s="107">
        <f t="shared" si="204"/>
        <v>1.4999999999999999E-2</v>
      </c>
      <c r="AP547" s="107">
        <f t="shared" si="204"/>
        <v>1.4999999999999999E-2</v>
      </c>
      <c r="AQ547" s="107">
        <f t="shared" si="204"/>
        <v>1.4999999999999999E-2</v>
      </c>
      <c r="AR547" s="107">
        <f t="shared" si="204"/>
        <v>1.4999999999999999E-2</v>
      </c>
      <c r="AS547" s="107">
        <f t="shared" si="204"/>
        <v>1.4999999999999999E-2</v>
      </c>
      <c r="AT547" s="107">
        <f t="shared" si="204"/>
        <v>1.4999999999999999E-2</v>
      </c>
      <c r="AU547" s="107">
        <f t="shared" si="204"/>
        <v>1.4999999999999999E-2</v>
      </c>
      <c r="AV547" s="107">
        <f t="shared" si="204"/>
        <v>1.4999999999999999E-2</v>
      </c>
      <c r="AW547" s="107">
        <f t="shared" si="204"/>
        <v>1.4999999999999999E-2</v>
      </c>
      <c r="AX547" s="107">
        <f t="shared" si="204"/>
        <v>1.4999999999999999E-2</v>
      </c>
      <c r="AY547" s="107">
        <f t="shared" si="204"/>
        <v>1.4999999999999999E-2</v>
      </c>
      <c r="AZ547" s="107">
        <f t="shared" si="204"/>
        <v>1.4999999999999999E-2</v>
      </c>
      <c r="BA547" s="107">
        <f t="shared" si="204"/>
        <v>1.4999999999999999E-2</v>
      </c>
      <c r="BB547" s="107">
        <f t="shared" si="204"/>
        <v>1.4999999999999999E-2</v>
      </c>
      <c r="BC547" s="107">
        <f t="shared" si="204"/>
        <v>1.4999999999999999E-2</v>
      </c>
      <c r="BD547" s="107">
        <f t="shared" si="204"/>
        <v>1.4999999999999999E-2</v>
      </c>
      <c r="BE547" s="107">
        <f t="shared" si="204"/>
        <v>1.4999999999999999E-2</v>
      </c>
      <c r="BF547" s="107">
        <f t="shared" si="204"/>
        <v>1.4999999999999999E-2</v>
      </c>
      <c r="BG547" s="107">
        <f t="shared" si="204"/>
        <v>1.4999999999999999E-2</v>
      </c>
    </row>
    <row r="548" spans="1:59" ht="13.75" customHeight="1">
      <c r="A548" s="141" t="s">
        <v>166</v>
      </c>
      <c r="B548" s="142" t="s">
        <v>530</v>
      </c>
      <c r="D548" s="142" t="s">
        <v>87</v>
      </c>
      <c r="E548" s="174">
        <v>42108</v>
      </c>
      <c r="F548" s="168" t="s">
        <v>536</v>
      </c>
      <c r="G548" s="109" t="s">
        <v>3</v>
      </c>
      <c r="W548" s="123">
        <v>5.1999999999999998E-2</v>
      </c>
      <c r="X548" s="107">
        <v>5.6000000000000008E-2</v>
      </c>
      <c r="Y548" s="107">
        <v>5.525E-2</v>
      </c>
      <c r="Z548" s="107">
        <v>5.1999999999999998E-2</v>
      </c>
      <c r="AA548" s="107">
        <v>4.7963292941278955E-2</v>
      </c>
      <c r="AB548" s="107">
        <v>4.5902612031517458E-2</v>
      </c>
      <c r="AC548" s="107">
        <v>5.7743860180995581E-2</v>
      </c>
      <c r="AD548" s="107">
        <v>4.8178062363303908E-2</v>
      </c>
      <c r="AE548" s="107">
        <v>3.9411367738333335E-2</v>
      </c>
      <c r="AF548" s="107">
        <v>3.2238222596666671E-2</v>
      </c>
      <c r="AG548" s="107">
        <v>3.1E-2</v>
      </c>
      <c r="AH548" s="107">
        <v>3.1E-2</v>
      </c>
      <c r="AI548" s="107">
        <v>3.1E-2</v>
      </c>
      <c r="AJ548" s="107">
        <f t="shared" ref="AJ548:AX548" si="205">AI548</f>
        <v>3.1E-2</v>
      </c>
      <c r="AK548" s="107">
        <f t="shared" si="205"/>
        <v>3.1E-2</v>
      </c>
      <c r="AL548" s="107">
        <f t="shared" si="205"/>
        <v>3.1E-2</v>
      </c>
      <c r="AM548" s="107">
        <f t="shared" si="205"/>
        <v>3.1E-2</v>
      </c>
      <c r="AN548" s="107">
        <f t="shared" si="205"/>
        <v>3.1E-2</v>
      </c>
      <c r="AO548" s="107">
        <f t="shared" si="205"/>
        <v>3.1E-2</v>
      </c>
      <c r="AP548" s="107">
        <f t="shared" si="205"/>
        <v>3.1E-2</v>
      </c>
      <c r="AQ548" s="107">
        <f t="shared" si="205"/>
        <v>3.1E-2</v>
      </c>
      <c r="AR548" s="107">
        <f t="shared" si="205"/>
        <v>3.1E-2</v>
      </c>
      <c r="AS548" s="107">
        <f t="shared" si="205"/>
        <v>3.1E-2</v>
      </c>
      <c r="AT548" s="107">
        <f t="shared" si="205"/>
        <v>3.1E-2</v>
      </c>
      <c r="AU548" s="107">
        <f t="shared" si="205"/>
        <v>3.1E-2</v>
      </c>
      <c r="AV548" s="107">
        <f t="shared" si="205"/>
        <v>3.1E-2</v>
      </c>
      <c r="AW548" s="107">
        <f t="shared" si="205"/>
        <v>3.1E-2</v>
      </c>
      <c r="AX548" s="107">
        <f t="shared" si="205"/>
        <v>3.1E-2</v>
      </c>
      <c r="AY548" s="107">
        <f>AX548</f>
        <v>3.1E-2</v>
      </c>
      <c r="AZ548" s="107">
        <f>AY548</f>
        <v>3.1E-2</v>
      </c>
      <c r="BA548" s="107">
        <f>AZ548</f>
        <v>3.1E-2</v>
      </c>
      <c r="BB548" s="107">
        <f>BA548</f>
        <v>3.1E-2</v>
      </c>
      <c r="BC548" s="107">
        <f t="shared" ref="BC548:BG548" si="206">BB548</f>
        <v>3.1E-2</v>
      </c>
      <c r="BD548" s="107">
        <f t="shared" si="206"/>
        <v>3.1E-2</v>
      </c>
      <c r="BE548" s="107">
        <f t="shared" si="206"/>
        <v>3.1E-2</v>
      </c>
      <c r="BF548" s="107">
        <f t="shared" si="206"/>
        <v>3.1E-2</v>
      </c>
      <c r="BG548" s="107">
        <f t="shared" si="206"/>
        <v>3.1E-2</v>
      </c>
    </row>
    <row r="549" spans="1:59" ht="13.75" customHeight="1">
      <c r="A549" s="141" t="s">
        <v>166</v>
      </c>
      <c r="B549" s="142" t="s">
        <v>530</v>
      </c>
      <c r="C549" s="170" t="s">
        <v>537</v>
      </c>
      <c r="D549" s="165" t="s">
        <v>168</v>
      </c>
      <c r="E549" s="174">
        <v>42170</v>
      </c>
      <c r="F549" s="168" t="s">
        <v>538</v>
      </c>
      <c r="G549" s="109" t="s">
        <v>539</v>
      </c>
      <c r="I549" s="109" t="s">
        <v>540</v>
      </c>
      <c r="V549" s="128">
        <v>21251</v>
      </c>
      <c r="W549" s="128">
        <v>24096</v>
      </c>
      <c r="X549" s="128">
        <v>18657</v>
      </c>
      <c r="Y549" s="128">
        <v>34602</v>
      </c>
      <c r="Z549" s="128">
        <v>51298</v>
      </c>
      <c r="AA549" s="128">
        <v>77855</v>
      </c>
      <c r="AB549" s="128">
        <v>74937</v>
      </c>
      <c r="AC549" s="128">
        <v>79216.4677379481</v>
      </c>
      <c r="AD549" s="128">
        <v>102593.93310830084</v>
      </c>
      <c r="AE549" s="128">
        <v>86963.829162308641</v>
      </c>
      <c r="AF549" s="128">
        <v>106257.06676976765</v>
      </c>
      <c r="AG549" s="128">
        <v>91717.802551736429</v>
      </c>
      <c r="AH549" s="128">
        <v>93237.497882963376</v>
      </c>
      <c r="AI549" s="128">
        <v>96767.04816584877</v>
      </c>
      <c r="AJ549" s="128">
        <v>99360.391607698999</v>
      </c>
      <c r="AK549" s="128">
        <v>101779.0498255595</v>
      </c>
      <c r="AL549" s="128">
        <v>104147.12055514388</v>
      </c>
      <c r="AM549" s="128">
        <v>106463.22301037316</v>
      </c>
      <c r="AN549" s="128">
        <v>108726.16706232722</v>
      </c>
      <c r="AO549" s="128">
        <v>110934.95016906214</v>
      </c>
      <c r="AP549" s="128">
        <v>113088.75317806234</v>
      </c>
      <c r="AQ549" s="128">
        <v>115186.93511359957</v>
      </c>
      <c r="AR549" s="128">
        <v>117229.02706578511</v>
      </c>
      <c r="AS549" s="128">
        <v>119214.72530036117</v>
      </c>
      <c r="AT549" s="128">
        <v>121143.88370844907</v>
      </c>
      <c r="AU549" s="128">
        <v>123016.50571375845</v>
      </c>
      <c r="AV549" s="128">
        <v>124832.73575138516</v>
      </c>
      <c r="AW549" s="128">
        <v>126592.85042752489</v>
      </c>
      <c r="AX549" s="128">
        <v>128297.24946344947</v>
      </c>
      <c r="AY549" s="128">
        <v>129946.44652016771</v>
      </c>
      <c r="AZ549" s="128">
        <v>131616.84318126767</v>
      </c>
      <c r="BA549" s="128">
        <v>133308.71195707438</v>
      </c>
      <c r="BB549" s="128">
        <v>135022.32886089696</v>
      </c>
      <c r="BC549" s="128">
        <v>136517.24216682898</v>
      </c>
      <c r="BD549" s="128">
        <v>138228.17651740881</v>
      </c>
      <c r="BE549" s="128">
        <v>139960.55355394926</v>
      </c>
      <c r="BF549" s="128">
        <v>141714.64201194042</v>
      </c>
      <c r="BG549" s="128">
        <v>143490.71399486292</v>
      </c>
    </row>
    <row r="550" spans="1:59" ht="13.75" customHeight="1">
      <c r="A550" s="141" t="s">
        <v>166</v>
      </c>
      <c r="B550" s="142" t="s">
        <v>530</v>
      </c>
      <c r="C550" s="170" t="s">
        <v>537</v>
      </c>
      <c r="D550" s="165" t="s">
        <v>377</v>
      </c>
      <c r="E550" s="174">
        <v>42170</v>
      </c>
      <c r="F550" s="168" t="s">
        <v>541</v>
      </c>
      <c r="G550" s="109" t="s">
        <v>3</v>
      </c>
      <c r="I550" s="109" t="s">
        <v>542</v>
      </c>
      <c r="X550" s="107">
        <v>-0.1</v>
      </c>
      <c r="Y550" s="107">
        <v>-0.05</v>
      </c>
      <c r="Z550" s="107">
        <v>-1.2027357856432386E-2</v>
      </c>
      <c r="AA550" s="107">
        <v>5.8743262987340561E-2</v>
      </c>
      <c r="AB550" s="107">
        <v>0.16248794340150852</v>
      </c>
      <c r="AC550" s="107">
        <v>0.22457006049217587</v>
      </c>
      <c r="AD550" s="107">
        <v>0.26220347263749333</v>
      </c>
      <c r="AE550" s="107">
        <v>6.9578874458237072E-2</v>
      </c>
      <c r="AF550" s="107">
        <v>2.4543335073936579E-3</v>
      </c>
      <c r="AG550" s="107">
        <v>-2.2381709787562265E-3</v>
      </c>
      <c r="AH550" s="107">
        <v>9.6304088714938008E-3</v>
      </c>
      <c r="AI550" s="107">
        <v>3.4577427900722491E-2</v>
      </c>
      <c r="AJ550" s="107">
        <v>3.8084153587815583E-2</v>
      </c>
      <c r="AK550" s="107">
        <v>3.6522288528353375E-2</v>
      </c>
      <c r="AL550" s="107">
        <v>3.7069558569094774E-2</v>
      </c>
      <c r="AM550" s="107">
        <v>3.7605174170934674E-2</v>
      </c>
      <c r="AN550" s="107">
        <v>3.8128836436503555E-2</v>
      </c>
      <c r="AO550" s="107">
        <v>3.864028972267719E-2</v>
      </c>
      <c r="AP550" s="107">
        <v>3.9139320843250447E-2</v>
      </c>
      <c r="AQ550" s="107">
        <v>3.962575802369539E-2</v>
      </c>
      <c r="AR550" s="107">
        <v>4.0099469634055085E-2</v>
      </c>
      <c r="AS550" s="107">
        <v>4.0560362726864696E-2</v>
      </c>
      <c r="AT550" s="107">
        <v>4.1008381407330541E-2</v>
      </c>
      <c r="AU550" s="107">
        <v>4.1443505062860098E-2</v>
      </c>
      <c r="AV550" s="107">
        <v>4.186574647851482E-2</v>
      </c>
      <c r="AW550" s="107">
        <v>4.2275149864049899E-2</v>
      </c>
      <c r="AX550" s="107">
        <v>4.2671788817007394E-2</v>
      </c>
      <c r="AY550" s="107">
        <v>4.305576424488522E-2</v>
      </c>
      <c r="AZ550" s="107">
        <v>4.305576424488522E-2</v>
      </c>
      <c r="BA550" s="107">
        <v>4.305576424488522E-2</v>
      </c>
      <c r="BB550" s="107">
        <v>4.305576424488522E-2</v>
      </c>
      <c r="BC550" s="107">
        <v>4.3339044053402276E-2</v>
      </c>
      <c r="BD550" s="107">
        <v>4.3339044053402276E-2</v>
      </c>
      <c r="BE550" s="107">
        <v>4.3339044053402276E-2</v>
      </c>
      <c r="BF550" s="107">
        <v>4.3339044053402276E-2</v>
      </c>
      <c r="BG550" s="107">
        <v>4.3339044053402276E-2</v>
      </c>
    </row>
    <row r="551" spans="1:59" ht="13.75" customHeight="1">
      <c r="A551" s="141" t="s">
        <v>166</v>
      </c>
      <c r="B551" s="142" t="s">
        <v>530</v>
      </c>
      <c r="C551" s="170" t="s">
        <v>543</v>
      </c>
      <c r="D551" s="142" t="s">
        <v>168</v>
      </c>
      <c r="F551" s="168" t="s">
        <v>544</v>
      </c>
      <c r="G551" s="109" t="s">
        <v>3</v>
      </c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  <c r="AU551" s="116"/>
      <c r="AV551" s="116"/>
      <c r="AW551" s="116"/>
      <c r="AX551" s="116"/>
      <c r="AY551" s="116"/>
      <c r="AZ551" s="116"/>
      <c r="BA551" s="116"/>
      <c r="BB551" s="116"/>
      <c r="BC551" s="116"/>
      <c r="BD551" s="116"/>
      <c r="BE551" s="116"/>
      <c r="BF551" s="116"/>
      <c r="BG551" s="116"/>
    </row>
    <row r="552" spans="1:59" ht="13.75" customHeight="1">
      <c r="A552" s="141" t="s">
        <v>166</v>
      </c>
      <c r="B552" s="142" t="s">
        <v>530</v>
      </c>
      <c r="C552" s="170" t="s">
        <v>543</v>
      </c>
      <c r="D552" s="142" t="s">
        <v>377</v>
      </c>
      <c r="F552" s="168" t="s">
        <v>545</v>
      </c>
      <c r="G552" s="109" t="s">
        <v>3</v>
      </c>
      <c r="X552" s="110"/>
      <c r="Y552" s="110"/>
      <c r="Z552" s="110">
        <v>0.09</v>
      </c>
      <c r="AA552" s="110">
        <v>0.09</v>
      </c>
      <c r="AB552" s="110">
        <v>0.09</v>
      </c>
      <c r="AC552" s="110">
        <v>0.09</v>
      </c>
      <c r="AD552" s="110">
        <v>0.09</v>
      </c>
      <c r="AE552" s="110">
        <v>9.2499999999999999E-2</v>
      </c>
      <c r="AF552" s="110">
        <v>9.0000000000000011E-2</v>
      </c>
      <c r="AG552" s="110">
        <v>8.5000000000000006E-2</v>
      </c>
      <c r="AH552" s="110">
        <v>8.0000000000000016E-2</v>
      </c>
      <c r="AI552" s="110">
        <v>8.0000000000000016E-2</v>
      </c>
      <c r="AJ552" s="110">
        <v>8.0000000000000016E-2</v>
      </c>
      <c r="AK552" s="110">
        <v>8.0000000000000016E-2</v>
      </c>
      <c r="AL552" s="110">
        <v>8.0000000000000016E-2</v>
      </c>
      <c r="AM552" s="110">
        <v>8.0000000000000016E-2</v>
      </c>
      <c r="AN552" s="110">
        <v>8.0000000000000016E-2</v>
      </c>
      <c r="AO552" s="110">
        <v>8.0000000000000016E-2</v>
      </c>
      <c r="AP552" s="110">
        <v>8.0000000000000016E-2</v>
      </c>
      <c r="AQ552" s="110">
        <v>8.0000000000000016E-2</v>
      </c>
      <c r="AR552" s="110">
        <v>8.0000000000000016E-2</v>
      </c>
      <c r="AS552" s="110">
        <v>8.0000000000000016E-2</v>
      </c>
      <c r="AT552" s="110">
        <v>8.0000000000000016E-2</v>
      </c>
      <c r="AU552" s="110">
        <v>8.0000000000000016E-2</v>
      </c>
      <c r="AV552" s="110">
        <v>8.0000000000000016E-2</v>
      </c>
      <c r="AW552" s="110">
        <v>8.0000000000000016E-2</v>
      </c>
      <c r="AX552" s="110">
        <v>8.0000000000000016E-2</v>
      </c>
      <c r="AY552" s="110">
        <v>8.0000000000000016E-2</v>
      </c>
      <c r="AZ552" s="110">
        <v>8.0000000000000016E-2</v>
      </c>
      <c r="BA552" s="110">
        <v>8.0000000000000016E-2</v>
      </c>
      <c r="BB552" s="110">
        <v>8.0000000000000016E-2</v>
      </c>
      <c r="BC552" s="110">
        <f t="shared" ref="BC552:BG599" si="207">BB552*(1+((BB552-BA552)/BA552))</f>
        <v>8.0000000000000016E-2</v>
      </c>
      <c r="BD552" s="110">
        <f t="shared" si="207"/>
        <v>8.0000000000000016E-2</v>
      </c>
      <c r="BE552" s="110">
        <f t="shared" si="207"/>
        <v>8.0000000000000016E-2</v>
      </c>
      <c r="BF552" s="110">
        <f t="shared" si="207"/>
        <v>8.0000000000000016E-2</v>
      </c>
      <c r="BG552" s="110">
        <f t="shared" si="207"/>
        <v>8.0000000000000016E-2</v>
      </c>
    </row>
    <row r="553" spans="1:59" ht="13.75" customHeight="1">
      <c r="A553" s="141" t="s">
        <v>166</v>
      </c>
      <c r="B553" s="142" t="s">
        <v>530</v>
      </c>
      <c r="C553" s="170" t="s">
        <v>543</v>
      </c>
      <c r="D553" s="142" t="s">
        <v>377</v>
      </c>
      <c r="F553" s="168" t="s">
        <v>546</v>
      </c>
      <c r="G553" s="109" t="s">
        <v>3</v>
      </c>
      <c r="X553" s="110"/>
      <c r="Y553" s="110"/>
      <c r="Z553" s="110">
        <v>0.12</v>
      </c>
      <c r="AA553" s="110">
        <v>0.12</v>
      </c>
      <c r="AB553" s="110">
        <v>0.10249999999999999</v>
      </c>
      <c r="AC553" s="110">
        <v>0.1075</v>
      </c>
      <c r="AD553" s="110">
        <v>0.1075</v>
      </c>
      <c r="AE553" s="110">
        <v>0.10750000000000001</v>
      </c>
      <c r="AF553" s="110">
        <v>0.10750000000000001</v>
      </c>
      <c r="AG553" s="110">
        <v>0.10250000000000001</v>
      </c>
      <c r="AH553" s="110">
        <v>9.7500000000000003E-2</v>
      </c>
      <c r="AI553" s="110">
        <v>9.7500000000000003E-2</v>
      </c>
      <c r="AJ553" s="110">
        <v>9.7500000000000003E-2</v>
      </c>
      <c r="AK553" s="110">
        <v>9.7500000000000003E-2</v>
      </c>
      <c r="AL553" s="110">
        <v>9.7500000000000003E-2</v>
      </c>
      <c r="AM553" s="110">
        <v>9.7500000000000003E-2</v>
      </c>
      <c r="AN553" s="110">
        <v>9.7500000000000003E-2</v>
      </c>
      <c r="AO553" s="110">
        <v>9.7500000000000003E-2</v>
      </c>
      <c r="AP553" s="110">
        <v>9.7500000000000003E-2</v>
      </c>
      <c r="AQ553" s="110">
        <v>9.7500000000000003E-2</v>
      </c>
      <c r="AR553" s="110">
        <v>9.7500000000000003E-2</v>
      </c>
      <c r="AS553" s="110">
        <v>9.7500000000000003E-2</v>
      </c>
      <c r="AT553" s="110">
        <v>9.7500000000000003E-2</v>
      </c>
      <c r="AU553" s="110">
        <v>9.7500000000000003E-2</v>
      </c>
      <c r="AV553" s="110">
        <v>9.7500000000000003E-2</v>
      </c>
      <c r="AW553" s="110">
        <v>9.7500000000000003E-2</v>
      </c>
      <c r="AX553" s="110">
        <v>9.7500000000000003E-2</v>
      </c>
      <c r="AY553" s="110">
        <v>9.7500000000000003E-2</v>
      </c>
      <c r="AZ553" s="110">
        <v>9.7500000000000003E-2</v>
      </c>
      <c r="BA553" s="110">
        <v>9.7500000000000003E-2</v>
      </c>
      <c r="BB553" s="110">
        <v>9.7500000000000003E-2</v>
      </c>
      <c r="BC553" s="110">
        <f t="shared" si="207"/>
        <v>9.7500000000000003E-2</v>
      </c>
      <c r="BD553" s="110">
        <f t="shared" si="207"/>
        <v>9.7500000000000003E-2</v>
      </c>
      <c r="BE553" s="110">
        <f t="shared" si="207"/>
        <v>9.7500000000000003E-2</v>
      </c>
      <c r="BF553" s="110">
        <f t="shared" si="207"/>
        <v>9.7500000000000003E-2</v>
      </c>
      <c r="BG553" s="110">
        <f t="shared" si="207"/>
        <v>9.7500000000000003E-2</v>
      </c>
    </row>
    <row r="554" spans="1:59" ht="13.75" customHeight="1">
      <c r="A554" s="141" t="s">
        <v>166</v>
      </c>
      <c r="B554" s="142" t="s">
        <v>530</v>
      </c>
      <c r="C554" s="142" t="s">
        <v>547</v>
      </c>
      <c r="D554" s="142" t="s">
        <v>377</v>
      </c>
      <c r="F554" s="168" t="s">
        <v>548</v>
      </c>
      <c r="G554" s="142" t="s">
        <v>3</v>
      </c>
      <c r="H554" s="142"/>
      <c r="I554" s="142" t="s">
        <v>549</v>
      </c>
      <c r="X554" s="110"/>
      <c r="Y554" s="110"/>
      <c r="Z554" s="110">
        <v>9.5000000000000001E-2</v>
      </c>
      <c r="AA554" s="110">
        <v>9.5000000000000001E-2</v>
      </c>
      <c r="AB554" s="110">
        <v>0.09</v>
      </c>
      <c r="AC554" s="110">
        <v>8.7499999999999994E-2</v>
      </c>
      <c r="AD554" s="110">
        <v>8.7499999999999994E-2</v>
      </c>
      <c r="AE554" s="110">
        <v>9.5000000000000001E-2</v>
      </c>
      <c r="AF554" s="110">
        <v>9.5000000000000001E-2</v>
      </c>
      <c r="AG554" s="110">
        <v>0.09</v>
      </c>
      <c r="AH554" s="110">
        <v>8.5000000000000006E-2</v>
      </c>
      <c r="AI554" s="110">
        <v>8.5000000000000006E-2</v>
      </c>
      <c r="AJ554" s="110">
        <v>8.5000000000000006E-2</v>
      </c>
      <c r="AK554" s="110">
        <v>8.5000000000000006E-2</v>
      </c>
      <c r="AL554" s="110">
        <v>8.5000000000000006E-2</v>
      </c>
      <c r="AM554" s="110">
        <v>8.5000000000000006E-2</v>
      </c>
      <c r="AN554" s="110">
        <v>8.5000000000000006E-2</v>
      </c>
      <c r="AO554" s="110">
        <v>8.5000000000000006E-2</v>
      </c>
      <c r="AP554" s="110">
        <v>8.5000000000000006E-2</v>
      </c>
      <c r="AQ554" s="110">
        <v>8.5000000000000006E-2</v>
      </c>
      <c r="AR554" s="110">
        <v>8.5000000000000006E-2</v>
      </c>
      <c r="AS554" s="110">
        <v>8.5000000000000006E-2</v>
      </c>
      <c r="AT554" s="110">
        <v>8.5000000000000006E-2</v>
      </c>
      <c r="AU554" s="110">
        <v>8.5000000000000006E-2</v>
      </c>
      <c r="AV554" s="110">
        <v>8.5000000000000006E-2</v>
      </c>
      <c r="AW554" s="110">
        <v>8.5000000000000006E-2</v>
      </c>
      <c r="AX554" s="110">
        <v>8.5000000000000006E-2</v>
      </c>
      <c r="AY554" s="110">
        <v>8.5000000000000006E-2</v>
      </c>
      <c r="AZ554" s="110">
        <v>8.5000000000000006E-2</v>
      </c>
      <c r="BA554" s="110">
        <v>8.5000000000000006E-2</v>
      </c>
      <c r="BB554" s="110">
        <v>8.5000000000000006E-2</v>
      </c>
      <c r="BC554" s="110">
        <f t="shared" si="207"/>
        <v>8.5000000000000006E-2</v>
      </c>
      <c r="BD554" s="110">
        <f t="shared" si="207"/>
        <v>8.5000000000000006E-2</v>
      </c>
      <c r="BE554" s="110">
        <f t="shared" si="207"/>
        <v>8.5000000000000006E-2</v>
      </c>
      <c r="BF554" s="110">
        <f t="shared" si="207"/>
        <v>8.5000000000000006E-2</v>
      </c>
      <c r="BG554" s="110">
        <f t="shared" si="207"/>
        <v>8.5000000000000006E-2</v>
      </c>
    </row>
    <row r="555" spans="1:59" ht="13.75" customHeight="1">
      <c r="A555" s="141" t="s">
        <v>166</v>
      </c>
      <c r="B555" s="142" t="s">
        <v>530</v>
      </c>
      <c r="C555" s="142" t="s">
        <v>547</v>
      </c>
      <c r="D555" s="142" t="s">
        <v>377</v>
      </c>
      <c r="F555" s="168" t="s">
        <v>550</v>
      </c>
      <c r="G555" s="142" t="s">
        <v>3</v>
      </c>
      <c r="H555" s="142"/>
      <c r="I555" s="142" t="s">
        <v>549</v>
      </c>
      <c r="X555" s="110"/>
      <c r="Y555" s="110"/>
      <c r="Z555" s="110">
        <v>0.11749999999999999</v>
      </c>
      <c r="AA555" s="110">
        <v>0.11749999999999999</v>
      </c>
      <c r="AB555" s="110">
        <v>0.115</v>
      </c>
      <c r="AC555" s="110">
        <v>0.1125</v>
      </c>
      <c r="AD555" s="110">
        <v>0.1125</v>
      </c>
      <c r="AE555" s="110">
        <v>0.11750000000000001</v>
      </c>
      <c r="AF555" s="110">
        <v>0.11750000000000001</v>
      </c>
      <c r="AG555" s="110">
        <v>0.1125</v>
      </c>
      <c r="AH555" s="110">
        <v>0.10750000000000001</v>
      </c>
      <c r="AI555" s="110">
        <v>0.10750000000000001</v>
      </c>
      <c r="AJ555" s="110">
        <v>0.10750000000000001</v>
      </c>
      <c r="AK555" s="110">
        <v>0.10750000000000001</v>
      </c>
      <c r="AL555" s="110">
        <v>0.10750000000000001</v>
      </c>
      <c r="AM555" s="110">
        <v>0.10750000000000001</v>
      </c>
      <c r="AN555" s="110">
        <v>0.10750000000000001</v>
      </c>
      <c r="AO555" s="110">
        <v>0.10750000000000001</v>
      </c>
      <c r="AP555" s="110">
        <v>0.10750000000000001</v>
      </c>
      <c r="AQ555" s="110">
        <v>0.10750000000000001</v>
      </c>
      <c r="AR555" s="110">
        <v>0.10750000000000001</v>
      </c>
      <c r="AS555" s="110">
        <v>0.10750000000000001</v>
      </c>
      <c r="AT555" s="110">
        <v>0.10750000000000001</v>
      </c>
      <c r="AU555" s="110">
        <v>0.10750000000000001</v>
      </c>
      <c r="AV555" s="110">
        <v>0.10750000000000001</v>
      </c>
      <c r="AW555" s="110">
        <v>0.10750000000000001</v>
      </c>
      <c r="AX555" s="110">
        <v>0.10750000000000001</v>
      </c>
      <c r="AY555" s="110">
        <v>0.10750000000000001</v>
      </c>
      <c r="AZ555" s="110">
        <v>0.10750000000000001</v>
      </c>
      <c r="BA555" s="110">
        <v>0.10750000000000001</v>
      </c>
      <c r="BB555" s="110">
        <v>0.10750000000000001</v>
      </c>
      <c r="BC555" s="110">
        <f t="shared" si="207"/>
        <v>0.10750000000000001</v>
      </c>
      <c r="BD555" s="110">
        <f t="shared" si="207"/>
        <v>0.10750000000000001</v>
      </c>
      <c r="BE555" s="110">
        <f t="shared" si="207"/>
        <v>0.10750000000000001</v>
      </c>
      <c r="BF555" s="110">
        <f t="shared" si="207"/>
        <v>0.10750000000000001</v>
      </c>
      <c r="BG555" s="110">
        <f t="shared" si="207"/>
        <v>0.10750000000000001</v>
      </c>
    </row>
    <row r="556" spans="1:59" ht="13.75" customHeight="1">
      <c r="A556" s="141" t="s">
        <v>166</v>
      </c>
      <c r="B556" s="142" t="s">
        <v>530</v>
      </c>
      <c r="C556" s="142" t="s">
        <v>551</v>
      </c>
      <c r="D556" s="142" t="s">
        <v>377</v>
      </c>
      <c r="F556" s="168" t="s">
        <v>552</v>
      </c>
      <c r="G556" s="142" t="s">
        <v>3</v>
      </c>
      <c r="H556" s="142"/>
      <c r="I556" s="142" t="s">
        <v>549</v>
      </c>
      <c r="X556" s="110"/>
      <c r="Y556" s="110"/>
      <c r="Z556" s="110">
        <v>0.11499999999999999</v>
      </c>
      <c r="AA556" s="110">
        <v>0.11499999999999999</v>
      </c>
      <c r="AB556" s="110">
        <v>0.11</v>
      </c>
      <c r="AC556" s="110">
        <v>0.105</v>
      </c>
      <c r="AD556" s="110">
        <v>0.10249999999999999</v>
      </c>
      <c r="AE556" s="110">
        <v>0.1075</v>
      </c>
      <c r="AF556" s="110">
        <v>0.1075</v>
      </c>
      <c r="AG556" s="110">
        <v>0.10249999999999999</v>
      </c>
      <c r="AH556" s="110">
        <v>9.7500000000000003E-2</v>
      </c>
      <c r="AI556" s="110">
        <v>9.7500000000000003E-2</v>
      </c>
      <c r="AJ556" s="110">
        <v>9.7500000000000003E-2</v>
      </c>
      <c r="AK556" s="110">
        <v>9.7500000000000003E-2</v>
      </c>
      <c r="AL556" s="110">
        <v>9.7500000000000003E-2</v>
      </c>
      <c r="AM556" s="110">
        <v>9.7500000000000003E-2</v>
      </c>
      <c r="AN556" s="110">
        <v>9.7500000000000003E-2</v>
      </c>
      <c r="AO556" s="110">
        <v>9.7500000000000003E-2</v>
      </c>
      <c r="AP556" s="110">
        <v>9.7500000000000003E-2</v>
      </c>
      <c r="AQ556" s="110">
        <v>9.7500000000000003E-2</v>
      </c>
      <c r="AR556" s="110">
        <v>9.7500000000000003E-2</v>
      </c>
      <c r="AS556" s="110">
        <v>9.7500000000000003E-2</v>
      </c>
      <c r="AT556" s="110">
        <v>9.7500000000000003E-2</v>
      </c>
      <c r="AU556" s="110">
        <v>9.7500000000000003E-2</v>
      </c>
      <c r="AV556" s="110">
        <v>9.7500000000000003E-2</v>
      </c>
      <c r="AW556" s="110">
        <v>9.7500000000000003E-2</v>
      </c>
      <c r="AX556" s="110">
        <v>9.7500000000000003E-2</v>
      </c>
      <c r="AY556" s="110">
        <v>9.7500000000000003E-2</v>
      </c>
      <c r="AZ556" s="110">
        <v>9.7500000000000003E-2</v>
      </c>
      <c r="BA556" s="110">
        <v>9.7500000000000003E-2</v>
      </c>
      <c r="BB556" s="110">
        <v>9.7500000000000003E-2</v>
      </c>
      <c r="BC556" s="110">
        <f t="shared" si="207"/>
        <v>9.7500000000000003E-2</v>
      </c>
      <c r="BD556" s="110">
        <f t="shared" si="207"/>
        <v>9.7500000000000003E-2</v>
      </c>
      <c r="BE556" s="110">
        <f t="shared" si="207"/>
        <v>9.7500000000000003E-2</v>
      </c>
      <c r="BF556" s="110">
        <f t="shared" si="207"/>
        <v>9.7500000000000003E-2</v>
      </c>
      <c r="BG556" s="110">
        <f t="shared" si="207"/>
        <v>9.7500000000000003E-2</v>
      </c>
    </row>
    <row r="557" spans="1:59" ht="13.75" customHeight="1">
      <c r="A557" s="141" t="s">
        <v>166</v>
      </c>
      <c r="B557" s="142" t="s">
        <v>530</v>
      </c>
      <c r="C557" s="142" t="s">
        <v>551</v>
      </c>
      <c r="D557" s="142" t="s">
        <v>377</v>
      </c>
      <c r="F557" s="168" t="s">
        <v>553</v>
      </c>
      <c r="G557" s="142" t="s">
        <v>3</v>
      </c>
      <c r="H557" s="142"/>
      <c r="I557" s="142" t="s">
        <v>549</v>
      </c>
      <c r="X557" s="110"/>
      <c r="Y557" s="110"/>
      <c r="Z557" s="110">
        <v>0.13500000000000001</v>
      </c>
      <c r="AA557" s="110">
        <v>0.13500000000000001</v>
      </c>
      <c r="AB557" s="110">
        <v>0.13250000000000001</v>
      </c>
      <c r="AC557" s="110">
        <v>0.1275</v>
      </c>
      <c r="AD557" s="110">
        <v>0.125</v>
      </c>
      <c r="AE557" s="110">
        <v>0.13</v>
      </c>
      <c r="AF557" s="110">
        <v>0.13</v>
      </c>
      <c r="AG557" s="110">
        <v>0.125</v>
      </c>
      <c r="AH557" s="110">
        <v>0.12000000000000001</v>
      </c>
      <c r="AI557" s="110">
        <v>0.12000000000000001</v>
      </c>
      <c r="AJ557" s="110">
        <v>0.12000000000000001</v>
      </c>
      <c r="AK557" s="110">
        <v>0.12000000000000001</v>
      </c>
      <c r="AL557" s="110">
        <v>0.12000000000000001</v>
      </c>
      <c r="AM557" s="110">
        <v>0.12000000000000001</v>
      </c>
      <c r="AN557" s="110">
        <v>0.12000000000000001</v>
      </c>
      <c r="AO557" s="110">
        <v>0.12000000000000001</v>
      </c>
      <c r="AP557" s="110">
        <v>0.12000000000000001</v>
      </c>
      <c r="AQ557" s="110">
        <v>0.12000000000000001</v>
      </c>
      <c r="AR557" s="110">
        <v>0.12000000000000001</v>
      </c>
      <c r="AS557" s="110">
        <v>0.12000000000000001</v>
      </c>
      <c r="AT557" s="110">
        <v>0.12000000000000001</v>
      </c>
      <c r="AU557" s="110">
        <v>0.12000000000000001</v>
      </c>
      <c r="AV557" s="110">
        <v>0.12000000000000001</v>
      </c>
      <c r="AW557" s="110">
        <v>0.12000000000000001</v>
      </c>
      <c r="AX557" s="110">
        <v>0.12000000000000001</v>
      </c>
      <c r="AY557" s="110">
        <v>0.12000000000000001</v>
      </c>
      <c r="AZ557" s="110">
        <v>0.12000000000000001</v>
      </c>
      <c r="BA557" s="110">
        <v>0.12000000000000001</v>
      </c>
      <c r="BB557" s="110">
        <v>0.12000000000000001</v>
      </c>
      <c r="BC557" s="110">
        <f t="shared" si="207"/>
        <v>0.12000000000000001</v>
      </c>
      <c r="BD557" s="110">
        <f t="shared" si="207"/>
        <v>0.12000000000000001</v>
      </c>
      <c r="BE557" s="110">
        <f t="shared" si="207"/>
        <v>0.12000000000000001</v>
      </c>
      <c r="BF557" s="110">
        <f t="shared" si="207"/>
        <v>0.12000000000000001</v>
      </c>
      <c r="BG557" s="110">
        <f t="shared" si="207"/>
        <v>0.12000000000000001</v>
      </c>
    </row>
    <row r="558" spans="1:59" ht="13.75" customHeight="1">
      <c r="A558" s="141" t="s">
        <v>166</v>
      </c>
      <c r="B558" s="142" t="s">
        <v>530</v>
      </c>
      <c r="C558" s="170" t="s">
        <v>554</v>
      </c>
      <c r="D558" s="142" t="s">
        <v>377</v>
      </c>
      <c r="F558" s="168" t="s">
        <v>555</v>
      </c>
      <c r="G558" s="109" t="s">
        <v>3</v>
      </c>
      <c r="X558" s="110"/>
      <c r="Y558" s="110">
        <v>0.1</v>
      </c>
      <c r="Z558" s="110">
        <v>9.5000000000000001E-2</v>
      </c>
      <c r="AA558" s="110">
        <v>9.5000000000000001E-2</v>
      </c>
      <c r="AB558" s="110">
        <v>9.2499999999999999E-2</v>
      </c>
      <c r="AC558" s="110">
        <v>0.09</v>
      </c>
      <c r="AD558" s="110">
        <v>0.09</v>
      </c>
      <c r="AE558" s="110">
        <v>9.5000000000000001E-2</v>
      </c>
      <c r="AF558" s="110">
        <v>9.5000000000000001E-2</v>
      </c>
      <c r="AG558" s="110">
        <v>0.09</v>
      </c>
      <c r="AH558" s="110">
        <v>8.5000000000000006E-2</v>
      </c>
      <c r="AI558" s="110">
        <v>8.5000000000000006E-2</v>
      </c>
      <c r="AJ558" s="110">
        <v>8.5000000000000006E-2</v>
      </c>
      <c r="AK558" s="110">
        <v>8.5000000000000006E-2</v>
      </c>
      <c r="AL558" s="110">
        <v>8.5000000000000006E-2</v>
      </c>
      <c r="AM558" s="110">
        <v>8.5000000000000006E-2</v>
      </c>
      <c r="AN558" s="110">
        <v>8.5000000000000006E-2</v>
      </c>
      <c r="AO558" s="110">
        <v>8.5000000000000006E-2</v>
      </c>
      <c r="AP558" s="110">
        <v>8.5000000000000006E-2</v>
      </c>
      <c r="AQ558" s="110">
        <v>8.5000000000000006E-2</v>
      </c>
      <c r="AR558" s="110">
        <v>8.5000000000000006E-2</v>
      </c>
      <c r="AS558" s="110">
        <v>8.5000000000000006E-2</v>
      </c>
      <c r="AT558" s="110">
        <v>8.5000000000000006E-2</v>
      </c>
      <c r="AU558" s="110">
        <v>8.5000000000000006E-2</v>
      </c>
      <c r="AV558" s="110">
        <v>8.5000000000000006E-2</v>
      </c>
      <c r="AW558" s="110">
        <v>8.5000000000000006E-2</v>
      </c>
      <c r="AX558" s="110">
        <v>8.5000000000000006E-2</v>
      </c>
      <c r="AY558" s="110">
        <v>8.5000000000000006E-2</v>
      </c>
      <c r="AZ558" s="110">
        <v>8.5000000000000006E-2</v>
      </c>
      <c r="BA558" s="110">
        <v>8.5000000000000006E-2</v>
      </c>
      <c r="BB558" s="110">
        <v>8.5000000000000006E-2</v>
      </c>
      <c r="BC558" s="110">
        <f t="shared" si="207"/>
        <v>8.5000000000000006E-2</v>
      </c>
      <c r="BD558" s="110">
        <f t="shared" si="207"/>
        <v>8.5000000000000006E-2</v>
      </c>
      <c r="BE558" s="110">
        <f t="shared" si="207"/>
        <v>8.5000000000000006E-2</v>
      </c>
      <c r="BF558" s="110">
        <f t="shared" si="207"/>
        <v>8.5000000000000006E-2</v>
      </c>
      <c r="BG558" s="110">
        <f t="shared" si="207"/>
        <v>8.5000000000000006E-2</v>
      </c>
    </row>
    <row r="559" spans="1:59" ht="13.75" customHeight="1">
      <c r="A559" s="141" t="s">
        <v>166</v>
      </c>
      <c r="B559" s="142" t="s">
        <v>530</v>
      </c>
      <c r="C559" s="170" t="s">
        <v>554</v>
      </c>
      <c r="D559" s="142" t="s">
        <v>377</v>
      </c>
      <c r="F559" s="168" t="s">
        <v>556</v>
      </c>
      <c r="G559" s="109" t="s">
        <v>3</v>
      </c>
      <c r="X559" s="110"/>
      <c r="Y559" s="110">
        <v>0.125</v>
      </c>
      <c r="Z559" s="110">
        <v>0.11</v>
      </c>
      <c r="AA559" s="110">
        <v>0.11</v>
      </c>
      <c r="AB559" s="110">
        <v>0.1075</v>
      </c>
      <c r="AC559" s="110">
        <v>0.105</v>
      </c>
      <c r="AD559" s="110">
        <v>0.105</v>
      </c>
      <c r="AE559" s="110">
        <v>0.11</v>
      </c>
      <c r="AF559" s="110">
        <v>0.11</v>
      </c>
      <c r="AG559" s="110">
        <v>0.105</v>
      </c>
      <c r="AH559" s="110">
        <v>0.1</v>
      </c>
      <c r="AI559" s="110">
        <v>0.1</v>
      </c>
      <c r="AJ559" s="110">
        <v>0.1</v>
      </c>
      <c r="AK559" s="110">
        <v>0.1</v>
      </c>
      <c r="AL559" s="110">
        <v>0.1</v>
      </c>
      <c r="AM559" s="110">
        <v>0.1</v>
      </c>
      <c r="AN559" s="110">
        <v>0.1</v>
      </c>
      <c r="AO559" s="110">
        <v>0.1</v>
      </c>
      <c r="AP559" s="110">
        <v>0.1</v>
      </c>
      <c r="AQ559" s="110">
        <v>0.1</v>
      </c>
      <c r="AR559" s="110">
        <v>0.1</v>
      </c>
      <c r="AS559" s="110">
        <v>0.1</v>
      </c>
      <c r="AT559" s="110">
        <v>0.1</v>
      </c>
      <c r="AU559" s="110">
        <v>0.1</v>
      </c>
      <c r="AV559" s="110">
        <v>0.1</v>
      </c>
      <c r="AW559" s="110">
        <v>0.1</v>
      </c>
      <c r="AX559" s="110">
        <v>0.1</v>
      </c>
      <c r="AY559" s="110">
        <v>0.1</v>
      </c>
      <c r="AZ559" s="110">
        <v>0.1</v>
      </c>
      <c r="BA559" s="110">
        <v>0.1</v>
      </c>
      <c r="BB559" s="110">
        <v>0.1</v>
      </c>
      <c r="BC559" s="110">
        <f t="shared" si="207"/>
        <v>0.1</v>
      </c>
      <c r="BD559" s="110">
        <f t="shared" si="207"/>
        <v>0.1</v>
      </c>
      <c r="BE559" s="110">
        <f t="shared" si="207"/>
        <v>0.1</v>
      </c>
      <c r="BF559" s="110">
        <f t="shared" si="207"/>
        <v>0.1</v>
      </c>
      <c r="BG559" s="110">
        <f t="shared" si="207"/>
        <v>0.1</v>
      </c>
    </row>
    <row r="560" spans="1:59" ht="13.75" customHeight="1">
      <c r="A560" s="141" t="s">
        <v>166</v>
      </c>
      <c r="B560" s="142" t="s">
        <v>530</v>
      </c>
      <c r="C560" s="170" t="s">
        <v>543</v>
      </c>
      <c r="D560" s="142" t="s">
        <v>377</v>
      </c>
      <c r="F560" s="168" t="s">
        <v>557</v>
      </c>
      <c r="G560" s="109" t="s">
        <v>3</v>
      </c>
      <c r="X560" s="107"/>
      <c r="Y560" s="107"/>
      <c r="Z560" s="107">
        <v>0.29166666666666663</v>
      </c>
      <c r="AA560" s="107">
        <v>0.2340000000000001</v>
      </c>
      <c r="AB560" s="107">
        <v>0.21799999999999997</v>
      </c>
      <c r="AC560" s="107">
        <v>0.61499999999999999</v>
      </c>
      <c r="AD560" s="107">
        <v>0.39500000000000002</v>
      </c>
      <c r="AE560" s="107">
        <v>0.43299999999999994</v>
      </c>
      <c r="AF560" s="107">
        <v>0.42299999999999993</v>
      </c>
      <c r="AG560" s="107">
        <v>0.34299999999999992</v>
      </c>
      <c r="AH560" s="107">
        <v>0.2629999999999999</v>
      </c>
      <c r="AI560" s="107">
        <v>0.2629999999999999</v>
      </c>
      <c r="AJ560" s="107">
        <v>0.2629999999999999</v>
      </c>
      <c r="AK560" s="107">
        <v>0.2629999999999999</v>
      </c>
      <c r="AL560" s="107">
        <v>0.2629999999999999</v>
      </c>
      <c r="AM560" s="107">
        <v>0.2629999999999999</v>
      </c>
      <c r="AN560" s="107">
        <v>0.2629999999999999</v>
      </c>
      <c r="AO560" s="107">
        <v>0.2629999999999999</v>
      </c>
      <c r="AP560" s="107">
        <v>0.2629999999999999</v>
      </c>
      <c r="AQ560" s="107">
        <v>0.2629999999999999</v>
      </c>
      <c r="AR560" s="107">
        <v>0.2629999999999999</v>
      </c>
      <c r="AS560" s="107">
        <v>0.2629999999999999</v>
      </c>
      <c r="AT560" s="107">
        <v>0.2629999999999999</v>
      </c>
      <c r="AU560" s="107">
        <v>0.2629999999999999</v>
      </c>
      <c r="AV560" s="107">
        <v>0.2629999999999999</v>
      </c>
      <c r="AW560" s="107">
        <v>0.2629999999999999</v>
      </c>
      <c r="AX560" s="107">
        <v>0.2629999999999999</v>
      </c>
      <c r="AY560" s="107">
        <v>0.2629999999999999</v>
      </c>
      <c r="AZ560" s="107">
        <v>0.2629999999999999</v>
      </c>
      <c r="BA560" s="107">
        <v>0.2629999999999999</v>
      </c>
      <c r="BB560" s="107">
        <v>0.2629999999999999</v>
      </c>
      <c r="BC560" s="107">
        <f t="shared" si="207"/>
        <v>0.2629999999999999</v>
      </c>
      <c r="BD560" s="107">
        <f t="shared" si="207"/>
        <v>0.2629999999999999</v>
      </c>
      <c r="BE560" s="107">
        <f t="shared" si="207"/>
        <v>0.2629999999999999</v>
      </c>
      <c r="BF560" s="107">
        <f t="shared" si="207"/>
        <v>0.2629999999999999</v>
      </c>
      <c r="BG560" s="107">
        <f t="shared" si="207"/>
        <v>0.2629999999999999</v>
      </c>
    </row>
    <row r="561" spans="1:59" ht="13.75" customHeight="1">
      <c r="A561" s="141" t="s">
        <v>166</v>
      </c>
      <c r="B561" s="142" t="s">
        <v>530</v>
      </c>
      <c r="C561" s="142" t="s">
        <v>547</v>
      </c>
      <c r="D561" s="142" t="s">
        <v>377</v>
      </c>
      <c r="F561" s="168" t="s">
        <v>558</v>
      </c>
      <c r="G561" s="142" t="s">
        <v>3</v>
      </c>
      <c r="H561" s="142"/>
      <c r="I561" s="142" t="s">
        <v>549</v>
      </c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10">
        <v>0.105045</v>
      </c>
      <c r="AA561" s="110">
        <v>8.7044999999999997E-2</v>
      </c>
      <c r="AB561" s="110">
        <v>8.1192500000000001E-2</v>
      </c>
      <c r="AC561" s="110">
        <v>0.11863294520547944</v>
      </c>
      <c r="AD561" s="110">
        <v>0.11444731598029825</v>
      </c>
      <c r="AE561" s="110">
        <v>0.1082</v>
      </c>
      <c r="AF561" s="110">
        <v>0.1039787118816598</v>
      </c>
      <c r="AG561" s="110">
        <v>0.10217105880345681</v>
      </c>
      <c r="AH561" s="110">
        <v>9.3152117215962171E-2</v>
      </c>
      <c r="AI561" s="110">
        <v>8.5896264166686859E-2</v>
      </c>
      <c r="AJ561" s="110">
        <v>8.1481067956620842E-2</v>
      </c>
      <c r="AK561" s="110">
        <v>8.0927140896523267E-2</v>
      </c>
      <c r="AL561" s="110">
        <v>8.1135195925419734E-2</v>
      </c>
      <c r="AM561" s="110">
        <v>8.1112463695690334E-2</v>
      </c>
      <c r="AN561" s="110">
        <v>8.1112463695690334E-2</v>
      </c>
      <c r="AO561" s="110">
        <v>8.1112463695690334E-2</v>
      </c>
      <c r="AP561" s="110">
        <v>8.1112463695690334E-2</v>
      </c>
      <c r="AQ561" s="110">
        <v>8.1112463695690334E-2</v>
      </c>
      <c r="AR561" s="110">
        <v>8.1112463695690334E-2</v>
      </c>
      <c r="AS561" s="110">
        <v>8.1112463695690334E-2</v>
      </c>
      <c r="AT561" s="110">
        <v>8.1112463695690334E-2</v>
      </c>
      <c r="AU561" s="110">
        <v>8.1112463695690334E-2</v>
      </c>
      <c r="AV561" s="110">
        <v>8.1112463695690334E-2</v>
      </c>
      <c r="AW561" s="110">
        <v>8.1112463695690334E-2</v>
      </c>
      <c r="AX561" s="110">
        <v>8.1112463695690334E-2</v>
      </c>
      <c r="AY561" s="110">
        <v>8.1112463695690334E-2</v>
      </c>
      <c r="AZ561" s="110">
        <v>8.1112463695690334E-2</v>
      </c>
      <c r="BA561" s="110">
        <v>8.1112463695690334E-2</v>
      </c>
      <c r="BB561" s="110">
        <v>8.1112463695690334E-2</v>
      </c>
      <c r="BC561" s="110">
        <f t="shared" si="207"/>
        <v>8.1112463695690334E-2</v>
      </c>
      <c r="BD561" s="110">
        <f t="shared" si="207"/>
        <v>8.1112463695690334E-2</v>
      </c>
      <c r="BE561" s="110">
        <f t="shared" si="207"/>
        <v>8.1112463695690334E-2</v>
      </c>
      <c r="BF561" s="110">
        <f t="shared" si="207"/>
        <v>8.1112463695690334E-2</v>
      </c>
      <c r="BG561" s="110">
        <f t="shared" si="207"/>
        <v>8.1112463695690334E-2</v>
      </c>
    </row>
    <row r="562" spans="1:59" ht="13.75" customHeight="1">
      <c r="A562" s="141" t="s">
        <v>166</v>
      </c>
      <c r="B562" s="142" t="s">
        <v>530</v>
      </c>
      <c r="C562" s="142" t="s">
        <v>551</v>
      </c>
      <c r="D562" s="142" t="s">
        <v>377</v>
      </c>
      <c r="F562" s="168" t="s">
        <v>559</v>
      </c>
      <c r="G562" s="142" t="s">
        <v>3</v>
      </c>
      <c r="H562" s="142"/>
      <c r="I562" s="142" t="s">
        <v>549</v>
      </c>
      <c r="X562" s="107"/>
      <c r="Y562" s="107"/>
      <c r="Z562" s="110">
        <v>7.9000000000000001E-2</v>
      </c>
      <c r="AA562" s="110">
        <v>6.2E-2</v>
      </c>
      <c r="AB562" s="110">
        <v>3.6999999999999998E-2</v>
      </c>
      <c r="AC562" s="110">
        <v>3.4999999999999996E-2</v>
      </c>
      <c r="AD562" s="110">
        <v>0.01</v>
      </c>
      <c r="AE562" s="110">
        <v>1.7999999999999999E-2</v>
      </c>
      <c r="AF562" s="110">
        <v>3.0264701918325171E-2</v>
      </c>
      <c r="AG562" s="110">
        <v>4.3636216377509689E-2</v>
      </c>
      <c r="AH562" s="110">
        <v>4.5940635348951306E-2</v>
      </c>
      <c r="AI562" s="110">
        <v>4.5996363492628159E-2</v>
      </c>
      <c r="AJ562" s="110">
        <v>4.6048509889437234E-2</v>
      </c>
      <c r="AK562" s="110">
        <v>4.6048509889437234E-2</v>
      </c>
      <c r="AL562" s="110">
        <v>4.6048509889437234E-2</v>
      </c>
      <c r="AM562" s="110">
        <v>4.6048509889437234E-2</v>
      </c>
      <c r="AN562" s="110">
        <v>4.6048509889437234E-2</v>
      </c>
      <c r="AO562" s="110">
        <v>4.6048509889437234E-2</v>
      </c>
      <c r="AP562" s="110">
        <v>4.6048509889437234E-2</v>
      </c>
      <c r="AQ562" s="110">
        <v>4.6048509889437234E-2</v>
      </c>
      <c r="AR562" s="110">
        <v>4.6048509889437234E-2</v>
      </c>
      <c r="AS562" s="110">
        <v>4.6048509889437234E-2</v>
      </c>
      <c r="AT562" s="110">
        <v>4.6048509889437234E-2</v>
      </c>
      <c r="AU562" s="110">
        <v>4.6048509889437234E-2</v>
      </c>
      <c r="AV562" s="110">
        <v>4.6048509889437234E-2</v>
      </c>
      <c r="AW562" s="110">
        <v>4.6048509889437234E-2</v>
      </c>
      <c r="AX562" s="110">
        <v>4.6048509889437234E-2</v>
      </c>
      <c r="AY562" s="110">
        <v>4.6048509889437234E-2</v>
      </c>
      <c r="AZ562" s="110">
        <v>4.6048509889437234E-2</v>
      </c>
      <c r="BA562" s="110">
        <v>4.6048509889437234E-2</v>
      </c>
      <c r="BB562" s="110">
        <v>4.6048509889437234E-2</v>
      </c>
      <c r="BC562" s="110">
        <f t="shared" si="207"/>
        <v>4.6048509889437234E-2</v>
      </c>
      <c r="BD562" s="110">
        <f t="shared" si="207"/>
        <v>4.6048509889437234E-2</v>
      </c>
      <c r="BE562" s="110">
        <f t="shared" si="207"/>
        <v>4.6048509889437234E-2</v>
      </c>
      <c r="BF562" s="110">
        <f t="shared" si="207"/>
        <v>4.6048509889437234E-2</v>
      </c>
      <c r="BG562" s="110">
        <f t="shared" si="207"/>
        <v>4.6048509889437234E-2</v>
      </c>
    </row>
    <row r="563" spans="1:59" ht="13.75" customHeight="1">
      <c r="A563" s="141" t="s">
        <v>166</v>
      </c>
      <c r="B563" s="142" t="s">
        <v>530</v>
      </c>
      <c r="C563" s="170" t="s">
        <v>554</v>
      </c>
      <c r="D563" s="142" t="s">
        <v>377</v>
      </c>
      <c r="F563" s="168" t="s">
        <v>560</v>
      </c>
      <c r="G563" s="109" t="s">
        <v>3</v>
      </c>
      <c r="L563" s="107">
        <v>1.6E-2</v>
      </c>
      <c r="M563" s="107">
        <v>1.2999999999999999E-2</v>
      </c>
      <c r="N563" s="107">
        <v>7.0000000000000001E-3</v>
      </c>
      <c r="O563" s="107">
        <v>7.0000000000000001E-3</v>
      </c>
      <c r="P563" s="107">
        <v>0.01</v>
      </c>
      <c r="Q563" s="107">
        <v>0.03</v>
      </c>
      <c r="R563" s="107">
        <v>0.06</v>
      </c>
      <c r="S563" s="107">
        <v>0.05</v>
      </c>
      <c r="T563" s="107">
        <v>0.03</v>
      </c>
      <c r="U563" s="107">
        <v>0.02</v>
      </c>
      <c r="V563" s="107">
        <v>2.8000000000000001E-2</v>
      </c>
      <c r="W563" s="107">
        <v>0.06</v>
      </c>
      <c r="X563" s="107">
        <v>0.08</v>
      </c>
      <c r="Y563" s="107">
        <v>0.11</v>
      </c>
      <c r="Z563" s="107">
        <v>0.10100000000000001</v>
      </c>
      <c r="AA563" s="107">
        <v>8.5999999999999993E-2</v>
      </c>
      <c r="AB563" s="107">
        <v>9.0999999999999998E-2</v>
      </c>
      <c r="AC563" s="107">
        <v>0.107</v>
      </c>
      <c r="AD563" s="107">
        <v>0.115</v>
      </c>
      <c r="AE563" s="107">
        <v>0.14899999999999999</v>
      </c>
      <c r="AF563" s="107">
        <v>0.1349251546518038</v>
      </c>
      <c r="AG563" s="107">
        <v>0.1151402553397471</v>
      </c>
      <c r="AH563" s="107">
        <v>0.10120181850597257</v>
      </c>
      <c r="AI563" s="107">
        <v>8.7751678636071723E-2</v>
      </c>
      <c r="AJ563" s="107">
        <v>8.5262551767175371E-2</v>
      </c>
      <c r="AK563" s="107">
        <v>8.3416386392457423E-2</v>
      </c>
      <c r="AL563" s="107">
        <v>8.3146276168549568E-2</v>
      </c>
      <c r="AM563" s="107">
        <v>8.3368336193894013E-2</v>
      </c>
      <c r="AN563" s="107">
        <v>8.3368336193894013E-2</v>
      </c>
      <c r="AO563" s="107">
        <v>8.3368336193894013E-2</v>
      </c>
      <c r="AP563" s="107">
        <v>8.3368336193894013E-2</v>
      </c>
      <c r="AQ563" s="107">
        <v>8.3368336193894013E-2</v>
      </c>
      <c r="AR563" s="107">
        <v>8.3368336193894013E-2</v>
      </c>
      <c r="AS563" s="107">
        <v>8.3368336193894013E-2</v>
      </c>
      <c r="AT563" s="107">
        <v>8.3368336193894013E-2</v>
      </c>
      <c r="AU563" s="107">
        <v>8.3368336193894013E-2</v>
      </c>
      <c r="AV563" s="107">
        <v>8.3368336193894013E-2</v>
      </c>
      <c r="AW563" s="107">
        <v>8.3368336193894013E-2</v>
      </c>
      <c r="AX563" s="107">
        <v>8.3368336193894013E-2</v>
      </c>
      <c r="AY563" s="107">
        <v>8.3368336193894013E-2</v>
      </c>
      <c r="AZ563" s="107">
        <v>8.3368336193894013E-2</v>
      </c>
      <c r="BA563" s="107">
        <v>8.3368336193894013E-2</v>
      </c>
      <c r="BB563" s="107">
        <v>8.3368336193894013E-2</v>
      </c>
      <c r="BC563" s="107">
        <f t="shared" si="207"/>
        <v>8.3368336193894013E-2</v>
      </c>
      <c r="BD563" s="107">
        <f t="shared" si="207"/>
        <v>8.3368336193894013E-2</v>
      </c>
      <c r="BE563" s="107">
        <f t="shared" si="207"/>
        <v>8.3368336193894013E-2</v>
      </c>
      <c r="BF563" s="107">
        <f t="shared" si="207"/>
        <v>8.3368336193894013E-2</v>
      </c>
      <c r="BG563" s="107">
        <f t="shared" si="207"/>
        <v>8.3368336193894013E-2</v>
      </c>
    </row>
    <row r="564" spans="1:59" ht="13.75" customHeight="1">
      <c r="A564" s="141" t="s">
        <v>166</v>
      </c>
      <c r="B564" s="142" t="s">
        <v>530</v>
      </c>
      <c r="C564" s="170" t="s">
        <v>547</v>
      </c>
      <c r="D564" s="142" t="s">
        <v>377</v>
      </c>
      <c r="F564" s="168" t="s">
        <v>561</v>
      </c>
      <c r="G564" s="109" t="s">
        <v>3</v>
      </c>
      <c r="K564" s="107">
        <v>3.9912762829645843E-3</v>
      </c>
      <c r="L564" s="107">
        <v>-1.6236345590277201E-2</v>
      </c>
      <c r="M564" s="107">
        <v>7.9434971955183453E-2</v>
      </c>
      <c r="N564" s="107">
        <v>3.3884496513613804E-2</v>
      </c>
      <c r="O564" s="107">
        <v>9.3034814507108043E-2</v>
      </c>
      <c r="P564" s="107">
        <v>0.1357363168061263</v>
      </c>
      <c r="Q564" s="107">
        <v>0.22483711565783127</v>
      </c>
      <c r="R564" s="107">
        <v>-0.36156967974364462</v>
      </c>
      <c r="S564" s="107">
        <v>-3.2156469509323493E-3</v>
      </c>
      <c r="T564" s="107">
        <v>2.5428474290161152E-2</v>
      </c>
      <c r="U564" s="107">
        <v>0.14825567168483622</v>
      </c>
      <c r="V564" s="107">
        <v>0.10912804589846958</v>
      </c>
      <c r="W564" s="107">
        <v>-6.226708243569079E-2</v>
      </c>
      <c r="X564" s="107">
        <v>9.1848319743374374E-2</v>
      </c>
      <c r="Y564" s="107">
        <v>-9.3389758904701581E-2</v>
      </c>
      <c r="Z564" s="107">
        <v>-1.8338295531031057E-2</v>
      </c>
      <c r="AA564" s="107">
        <v>7.9562799246192473E-2</v>
      </c>
      <c r="AB564" s="107">
        <v>4.3439390574297992E-2</v>
      </c>
      <c r="AC564" s="107">
        <v>1.2999999999999999E-2</v>
      </c>
      <c r="AD564" s="107">
        <v>3.3212445123115053E-2</v>
      </c>
      <c r="AE564" s="107">
        <v>-0.05</v>
      </c>
      <c r="AF564" s="107">
        <v>0</v>
      </c>
      <c r="AG564" s="107">
        <v>1.6175610918050216E-2</v>
      </c>
      <c r="AH564" s="107">
        <v>5.0120479833897454E-2</v>
      </c>
      <c r="AI564" s="107">
        <v>5.9850707845984015E-2</v>
      </c>
      <c r="AJ564" s="107">
        <v>5.6375705297608825E-2</v>
      </c>
      <c r="AK564" s="107">
        <v>3.9488565225437533E-2</v>
      </c>
      <c r="AL564" s="107">
        <v>3.9529623831911609E-2</v>
      </c>
      <c r="AM564" s="107">
        <v>4.0518953178002803E-2</v>
      </c>
      <c r="AN564" s="107">
        <v>4.0518953178002803E-2</v>
      </c>
      <c r="AO564" s="107">
        <v>4.0518953178002803E-2</v>
      </c>
      <c r="AP564" s="107">
        <v>4.0518953178002803E-2</v>
      </c>
      <c r="AQ564" s="107">
        <v>4.0518953178002803E-2</v>
      </c>
      <c r="AR564" s="107">
        <v>4.0518953178002803E-2</v>
      </c>
      <c r="AS564" s="107">
        <v>4.0518953178002803E-2</v>
      </c>
      <c r="AT564" s="107">
        <v>4.0518953178002803E-2</v>
      </c>
      <c r="AU564" s="107">
        <v>4.0518953178002803E-2</v>
      </c>
      <c r="AV564" s="107">
        <v>4.0518953178002803E-2</v>
      </c>
      <c r="AW564" s="107">
        <v>4.0518953178002803E-2</v>
      </c>
      <c r="AX564" s="107">
        <v>4.0518953178002803E-2</v>
      </c>
      <c r="AY564" s="107">
        <v>4.0518953178002803E-2</v>
      </c>
      <c r="AZ564" s="107">
        <v>4.0518953178002803E-2</v>
      </c>
      <c r="BA564" s="107">
        <v>4.0518953178002803E-2</v>
      </c>
      <c r="BB564" s="107">
        <v>4.0518953178002803E-2</v>
      </c>
      <c r="BC564" s="107">
        <f t="shared" si="207"/>
        <v>4.0518953178002803E-2</v>
      </c>
      <c r="BD564" s="107">
        <f t="shared" si="207"/>
        <v>4.0518953178002803E-2</v>
      </c>
      <c r="BE564" s="107">
        <f t="shared" si="207"/>
        <v>4.0518953178002803E-2</v>
      </c>
      <c r="BF564" s="107">
        <f t="shared" si="207"/>
        <v>4.0518953178002803E-2</v>
      </c>
      <c r="BG564" s="107">
        <f t="shared" si="207"/>
        <v>4.0518953178002803E-2</v>
      </c>
    </row>
    <row r="565" spans="1:59" ht="13.75" customHeight="1">
      <c r="A565" s="141" t="s">
        <v>166</v>
      </c>
      <c r="B565" s="142" t="s">
        <v>530</v>
      </c>
      <c r="C565" s="170" t="s">
        <v>551</v>
      </c>
      <c r="D565" s="142" t="s">
        <v>377</v>
      </c>
      <c r="F565" s="168" t="s">
        <v>562</v>
      </c>
      <c r="G565" s="109" t="s">
        <v>3</v>
      </c>
      <c r="K565" s="107">
        <v>0.18436140886486641</v>
      </c>
      <c r="L565" s="107">
        <v>0.15875134903481358</v>
      </c>
      <c r="M565" s="107">
        <v>3.7879122856574243E-2</v>
      </c>
      <c r="N565" s="107">
        <v>-4.6577196215583427E-2</v>
      </c>
      <c r="O565" s="107">
        <v>-9.3842391275719139E-3</v>
      </c>
      <c r="P565" s="107">
        <v>-8.723978634740337E-2</v>
      </c>
      <c r="Q565" s="107">
        <v>7.2181893334628544E-2</v>
      </c>
      <c r="R565" s="107">
        <v>-0.10451875792389653</v>
      </c>
      <c r="S565" s="107">
        <v>6.1520691116587756E-2</v>
      </c>
      <c r="T565" s="107">
        <v>0.17531098096333575</v>
      </c>
      <c r="U565" s="107">
        <v>7.2582762430523085E-2</v>
      </c>
      <c r="V565" s="107">
        <v>2.6669640717010612E-2</v>
      </c>
      <c r="W565" s="107">
        <v>1.3155296347179268E-2</v>
      </c>
      <c r="X565" s="107">
        <v>-6.6761320365148813E-2</v>
      </c>
      <c r="Y565" s="107">
        <v>-4.148350807071044E-2</v>
      </c>
      <c r="Z565" s="107">
        <v>-6.2559708389305579E-2</v>
      </c>
      <c r="AA565" s="107">
        <v>2.7804678561840657E-2</v>
      </c>
      <c r="AB565" s="107">
        <v>7.1428571428571397E-2</v>
      </c>
      <c r="AC565" s="107">
        <v>5.3333333333333233E-2</v>
      </c>
      <c r="AD565" s="107">
        <v>0.31645569620253156</v>
      </c>
      <c r="AE565" s="107">
        <v>0</v>
      </c>
      <c r="AF565" s="107">
        <v>0.05</v>
      </c>
      <c r="AG565" s="107">
        <v>1.0345857480878698E-2</v>
      </c>
      <c r="AH565" s="107">
        <v>4.7949047881981281E-2</v>
      </c>
      <c r="AI565" s="107">
        <v>4.0330619888631736E-2</v>
      </c>
      <c r="AJ565" s="107">
        <v>3.9943152991659403E-2</v>
      </c>
      <c r="AK565" s="107">
        <v>4.0000000000000036E-2</v>
      </c>
      <c r="AL565" s="107">
        <v>4.0000000000000036E-2</v>
      </c>
      <c r="AM565" s="107">
        <v>4.0000000000000036E-2</v>
      </c>
      <c r="AN565" s="107">
        <v>4.0000000000000036E-2</v>
      </c>
      <c r="AO565" s="107">
        <v>4.0000000000000036E-2</v>
      </c>
      <c r="AP565" s="107">
        <v>4.0000000000000036E-2</v>
      </c>
      <c r="AQ565" s="107">
        <v>4.0000000000000036E-2</v>
      </c>
      <c r="AR565" s="107">
        <v>4.0000000000000036E-2</v>
      </c>
      <c r="AS565" s="107">
        <v>4.0000000000000036E-2</v>
      </c>
      <c r="AT565" s="107">
        <v>4.0000000000000036E-2</v>
      </c>
      <c r="AU565" s="107">
        <v>4.0000000000000036E-2</v>
      </c>
      <c r="AV565" s="107">
        <v>4.0000000000000036E-2</v>
      </c>
      <c r="AW565" s="107">
        <v>4.0000000000000036E-2</v>
      </c>
      <c r="AX565" s="107">
        <v>4.0000000000000036E-2</v>
      </c>
      <c r="AY565" s="107">
        <v>4.0000000000000036E-2</v>
      </c>
      <c r="AZ565" s="107">
        <v>4.0000000000000036E-2</v>
      </c>
      <c r="BA565" s="107">
        <v>4.0000000000000036E-2</v>
      </c>
      <c r="BB565" s="107">
        <v>4.0000000000000036E-2</v>
      </c>
      <c r="BC565" s="107">
        <f t="shared" si="207"/>
        <v>4.0000000000000036E-2</v>
      </c>
      <c r="BD565" s="107">
        <f t="shared" si="207"/>
        <v>4.0000000000000036E-2</v>
      </c>
      <c r="BE565" s="107">
        <f t="shared" si="207"/>
        <v>4.0000000000000036E-2</v>
      </c>
      <c r="BF565" s="107">
        <f t="shared" si="207"/>
        <v>4.0000000000000036E-2</v>
      </c>
      <c r="BG565" s="107">
        <f t="shared" si="207"/>
        <v>4.0000000000000036E-2</v>
      </c>
    </row>
    <row r="566" spans="1:59" ht="13.75" customHeight="1">
      <c r="A566" s="141" t="s">
        <v>166</v>
      </c>
      <c r="B566" s="142" t="s">
        <v>530</v>
      </c>
      <c r="C566" s="170" t="s">
        <v>554</v>
      </c>
      <c r="D566" s="142" t="s">
        <v>377</v>
      </c>
      <c r="F566" s="168" t="s">
        <v>563</v>
      </c>
      <c r="G566" s="109" t="s">
        <v>3</v>
      </c>
      <c r="P566" s="107">
        <v>-3.1687546057479699E-2</v>
      </c>
      <c r="Q566" s="107">
        <v>8.1539465101108988E-2</v>
      </c>
      <c r="R566" s="107">
        <v>-0.12175311620426221</v>
      </c>
      <c r="S566" s="107">
        <v>8.4012453072062065E-3</v>
      </c>
      <c r="T566" s="107">
        <v>0.20092619917822518</v>
      </c>
      <c r="U566" s="107">
        <v>8.6527919549355348E-2</v>
      </c>
      <c r="V566" s="107">
        <v>5.4793448098887421E-2</v>
      </c>
      <c r="W566" s="107">
        <v>5.0487390522687248E-2</v>
      </c>
      <c r="X566" s="107">
        <v>0.25162505887894482</v>
      </c>
      <c r="Y566" s="107">
        <v>-9.0521350795323419E-2</v>
      </c>
      <c r="Z566" s="107">
        <v>3.4482758620689724E-2</v>
      </c>
      <c r="AA566" s="107">
        <v>3.3333333333333437E-2</v>
      </c>
      <c r="AB566" s="107">
        <v>6.0606060606060552E-2</v>
      </c>
      <c r="AC566" s="107">
        <v>0</v>
      </c>
      <c r="AD566" s="107">
        <v>0</v>
      </c>
      <c r="AE566" s="107">
        <v>-0.05</v>
      </c>
      <c r="AF566" s="107">
        <v>0</v>
      </c>
      <c r="AG566" s="107">
        <v>3.339314758037748E-2</v>
      </c>
      <c r="AH566" s="107">
        <v>5.2023224597123052E-2</v>
      </c>
      <c r="AI566" s="107">
        <v>5.3006578762177403E-2</v>
      </c>
      <c r="AJ566" s="107">
        <v>5.0911569328657258E-2</v>
      </c>
      <c r="AK566" s="107">
        <v>4.9423199278603391E-2</v>
      </c>
      <c r="AL566" s="107">
        <v>4.3214583133382778E-2</v>
      </c>
      <c r="AM566" s="107">
        <v>4.2095030145796741E-2</v>
      </c>
      <c r="AN566" s="107">
        <v>4.2095030145796741E-2</v>
      </c>
      <c r="AO566" s="107">
        <v>4.2095030145796741E-2</v>
      </c>
      <c r="AP566" s="107">
        <v>4.2095030145796741E-2</v>
      </c>
      <c r="AQ566" s="107">
        <v>4.2095030145796741E-2</v>
      </c>
      <c r="AR566" s="107">
        <v>4.2095030145796741E-2</v>
      </c>
      <c r="AS566" s="107">
        <v>4.2095030145796741E-2</v>
      </c>
      <c r="AT566" s="107">
        <v>4.2095030145796741E-2</v>
      </c>
      <c r="AU566" s="107">
        <v>4.2095030145796741E-2</v>
      </c>
      <c r="AV566" s="107">
        <v>4.2095030145796741E-2</v>
      </c>
      <c r="AW566" s="107">
        <v>4.2095030145796741E-2</v>
      </c>
      <c r="AX566" s="107">
        <v>4.2095030145796741E-2</v>
      </c>
      <c r="AY566" s="107">
        <v>4.2095030145796741E-2</v>
      </c>
      <c r="AZ566" s="107">
        <v>4.2095030145796741E-2</v>
      </c>
      <c r="BA566" s="107">
        <v>4.2095030145796741E-2</v>
      </c>
      <c r="BB566" s="107">
        <v>4.2095030145796741E-2</v>
      </c>
      <c r="BC566" s="107">
        <f t="shared" si="207"/>
        <v>4.2095030145796741E-2</v>
      </c>
      <c r="BD566" s="107">
        <f t="shared" si="207"/>
        <v>4.2095030145796741E-2</v>
      </c>
      <c r="BE566" s="107">
        <f t="shared" si="207"/>
        <v>4.2095030145796741E-2</v>
      </c>
      <c r="BF566" s="107">
        <f t="shared" si="207"/>
        <v>4.2095030145796741E-2</v>
      </c>
      <c r="BG566" s="107">
        <f t="shared" si="207"/>
        <v>4.2095030145796741E-2</v>
      </c>
    </row>
    <row r="567" spans="1:59" ht="13.75" customHeight="1">
      <c r="A567" s="141" t="s">
        <v>166</v>
      </c>
      <c r="B567" s="142" t="s">
        <v>530</v>
      </c>
      <c r="C567" s="170" t="s">
        <v>543</v>
      </c>
      <c r="D567" s="142" t="s">
        <v>377</v>
      </c>
      <c r="E567" s="176"/>
      <c r="F567" s="168" t="s">
        <v>564</v>
      </c>
      <c r="G567" s="109" t="s">
        <v>3</v>
      </c>
      <c r="X567" s="107">
        <v>0</v>
      </c>
      <c r="Y567" s="107">
        <v>6.8000000000000005E-2</v>
      </c>
      <c r="Z567" s="107">
        <v>6.8000000000000005E-2</v>
      </c>
      <c r="AA567" s="107">
        <v>0.54800000000000004</v>
      </c>
      <c r="AB567" s="107">
        <v>-0.19658530800816298</v>
      </c>
      <c r="AC567" s="107">
        <v>-0.23</v>
      </c>
      <c r="AD567" s="107">
        <v>0.22</v>
      </c>
      <c r="AE567" s="107">
        <v>0.03</v>
      </c>
      <c r="AF567" s="107">
        <v>6.785009571876488E-2</v>
      </c>
      <c r="AG567" s="107">
        <v>6.4710248509577961E-2</v>
      </c>
      <c r="AH567" s="107">
        <v>6.0979805626794503E-2</v>
      </c>
      <c r="AI567" s="107">
        <v>4.0391390824965789E-2</v>
      </c>
      <c r="AJ567" s="107">
        <v>4.0000000000000036E-2</v>
      </c>
      <c r="AK567" s="107">
        <v>4.0000000000000036E-2</v>
      </c>
      <c r="AL567" s="107">
        <v>4.0000000000000036E-2</v>
      </c>
      <c r="AM567" s="107">
        <v>4.0000000000000036E-2</v>
      </c>
      <c r="AN567" s="107">
        <v>4.0000000000000036E-2</v>
      </c>
      <c r="AO567" s="107">
        <v>4.0000000000000036E-2</v>
      </c>
      <c r="AP567" s="107">
        <v>4.0000000000000036E-2</v>
      </c>
      <c r="AQ567" s="107">
        <v>4.0000000000000036E-2</v>
      </c>
      <c r="AR567" s="107">
        <v>4.0000000000000036E-2</v>
      </c>
      <c r="AS567" s="107">
        <v>4.0000000000000036E-2</v>
      </c>
      <c r="AT567" s="107">
        <v>4.0000000000000036E-2</v>
      </c>
      <c r="AU567" s="107">
        <v>4.0000000000000036E-2</v>
      </c>
      <c r="AV567" s="107">
        <v>4.0000000000000036E-2</v>
      </c>
      <c r="AW567" s="107">
        <v>4.0000000000000036E-2</v>
      </c>
      <c r="AX567" s="107">
        <v>4.0000000000000036E-2</v>
      </c>
      <c r="AY567" s="107">
        <v>4.0000000000000036E-2</v>
      </c>
      <c r="AZ567" s="107">
        <v>4.0000000000000036E-2</v>
      </c>
      <c r="BA567" s="107">
        <v>4.0000000000000036E-2</v>
      </c>
      <c r="BB567" s="107">
        <v>4.0000000000000036E-2</v>
      </c>
      <c r="BC567" s="107">
        <f t="shared" si="207"/>
        <v>4.0000000000000036E-2</v>
      </c>
      <c r="BD567" s="107">
        <f t="shared" si="207"/>
        <v>4.0000000000000036E-2</v>
      </c>
      <c r="BE567" s="107">
        <f t="shared" si="207"/>
        <v>4.0000000000000036E-2</v>
      </c>
      <c r="BF567" s="107">
        <f t="shared" si="207"/>
        <v>4.0000000000000036E-2</v>
      </c>
      <c r="BG567" s="107">
        <f t="shared" si="207"/>
        <v>4.0000000000000036E-2</v>
      </c>
    </row>
    <row r="568" spans="1:59" ht="13.75" customHeight="1">
      <c r="A568" s="141" t="s">
        <v>166</v>
      </c>
      <c r="B568" s="142" t="s">
        <v>530</v>
      </c>
      <c r="C568" s="170" t="s">
        <v>547</v>
      </c>
      <c r="D568" s="142" t="s">
        <v>377</v>
      </c>
      <c r="E568" s="176"/>
      <c r="F568" s="168" t="s">
        <v>565</v>
      </c>
      <c r="G568" s="109" t="s">
        <v>3</v>
      </c>
      <c r="X568" s="107">
        <v>0.05</v>
      </c>
      <c r="Y568" s="107">
        <v>0.05</v>
      </c>
      <c r="Z568" s="107">
        <v>0.05</v>
      </c>
      <c r="AA568" s="107">
        <v>0.05</v>
      </c>
      <c r="AB568" s="107">
        <v>5.3439390574297994E-2</v>
      </c>
      <c r="AC568" s="107">
        <v>2.3E-2</v>
      </c>
      <c r="AD568" s="107">
        <v>4.3212445123115055E-2</v>
      </c>
      <c r="AE568" s="107">
        <v>-0.04</v>
      </c>
      <c r="AF568" s="107">
        <v>0.01</v>
      </c>
      <c r="AG568" s="107">
        <v>2.6175610918050214E-2</v>
      </c>
      <c r="AH568" s="107">
        <v>6.0120479833897456E-2</v>
      </c>
      <c r="AI568" s="107">
        <v>6.9850707845984017E-2</v>
      </c>
      <c r="AJ568" s="107">
        <v>6.637570529760882E-2</v>
      </c>
      <c r="AK568" s="107">
        <v>4.9488565225437535E-2</v>
      </c>
      <c r="AL568" s="107">
        <v>4.9529623831911611E-2</v>
      </c>
      <c r="AM568" s="107">
        <v>5.0518953178002805E-2</v>
      </c>
      <c r="AN568" s="107">
        <v>5.0518953178002805E-2</v>
      </c>
      <c r="AO568" s="107">
        <v>5.0518953178002805E-2</v>
      </c>
      <c r="AP568" s="107">
        <v>5.0518953178002805E-2</v>
      </c>
      <c r="AQ568" s="107">
        <v>5.0518953178002805E-2</v>
      </c>
      <c r="AR568" s="107">
        <v>5.0518953178002805E-2</v>
      </c>
      <c r="AS568" s="107">
        <v>5.0518953178002805E-2</v>
      </c>
      <c r="AT568" s="107">
        <v>5.0518953178002805E-2</v>
      </c>
      <c r="AU568" s="107">
        <v>5.0518953178002805E-2</v>
      </c>
      <c r="AV568" s="107">
        <v>5.0518953178002805E-2</v>
      </c>
      <c r="AW568" s="107">
        <v>5.0518953178002805E-2</v>
      </c>
      <c r="AX568" s="107">
        <v>5.0518953178002805E-2</v>
      </c>
      <c r="AY568" s="107">
        <v>5.0518953178002805E-2</v>
      </c>
      <c r="AZ568" s="107">
        <v>5.0518953178002805E-2</v>
      </c>
      <c r="BA568" s="107">
        <v>5.0518953178002805E-2</v>
      </c>
      <c r="BB568" s="107">
        <v>5.0518953178002805E-2</v>
      </c>
      <c r="BC568" s="107">
        <f t="shared" si="207"/>
        <v>5.0518953178002805E-2</v>
      </c>
      <c r="BD568" s="107">
        <f t="shared" si="207"/>
        <v>5.0518953178002805E-2</v>
      </c>
      <c r="BE568" s="107">
        <f t="shared" si="207"/>
        <v>5.0518953178002805E-2</v>
      </c>
      <c r="BF568" s="107">
        <f t="shared" si="207"/>
        <v>5.0518953178002805E-2</v>
      </c>
      <c r="BG568" s="107">
        <f t="shared" si="207"/>
        <v>5.0518953178002805E-2</v>
      </c>
    </row>
    <row r="569" spans="1:59" ht="13.75" customHeight="1">
      <c r="A569" s="141" t="s">
        <v>166</v>
      </c>
      <c r="B569" s="142" t="s">
        <v>530</v>
      </c>
      <c r="C569" s="170" t="s">
        <v>551</v>
      </c>
      <c r="D569" s="142" t="s">
        <v>377</v>
      </c>
      <c r="E569" s="176"/>
      <c r="F569" s="168" t="s">
        <v>566</v>
      </c>
      <c r="G569" s="109" t="s">
        <v>3</v>
      </c>
      <c r="X569" s="107">
        <v>-1.676132036514881E-2</v>
      </c>
      <c r="Y569" s="107">
        <v>0</v>
      </c>
      <c r="Z569" s="107">
        <v>0.04</v>
      </c>
      <c r="AA569" s="107">
        <v>0.05</v>
      </c>
      <c r="AB569" s="107">
        <v>8.1428571428571392E-2</v>
      </c>
      <c r="AC569" s="107">
        <v>6.3333333333333228E-2</v>
      </c>
      <c r="AD569" s="107">
        <v>0.32645569620253156</v>
      </c>
      <c r="AE569" s="107">
        <v>0</v>
      </c>
      <c r="AF569" s="107">
        <v>6.0000000000000005E-2</v>
      </c>
      <c r="AG569" s="107">
        <v>2.03458574808787E-2</v>
      </c>
      <c r="AH569" s="107">
        <v>5.7949047881981283E-2</v>
      </c>
      <c r="AI569" s="107">
        <v>5.0330619888631738E-2</v>
      </c>
      <c r="AJ569" s="107">
        <v>4.9943152991659405E-2</v>
      </c>
      <c r="AK569" s="107">
        <v>5.0000000000000037E-2</v>
      </c>
      <c r="AL569" s="107">
        <v>5.0000000000000037E-2</v>
      </c>
      <c r="AM569" s="107">
        <v>5.0000000000000037E-2</v>
      </c>
      <c r="AN569" s="107">
        <v>5.0000000000000037E-2</v>
      </c>
      <c r="AO569" s="107">
        <v>5.0000000000000037E-2</v>
      </c>
      <c r="AP569" s="107">
        <v>5.0000000000000037E-2</v>
      </c>
      <c r="AQ569" s="107">
        <v>5.0000000000000037E-2</v>
      </c>
      <c r="AR569" s="107">
        <v>5.0000000000000037E-2</v>
      </c>
      <c r="AS569" s="107">
        <v>5.0000000000000037E-2</v>
      </c>
      <c r="AT569" s="107">
        <v>5.0000000000000037E-2</v>
      </c>
      <c r="AU569" s="107">
        <v>5.0000000000000037E-2</v>
      </c>
      <c r="AV569" s="107">
        <v>5.0000000000000037E-2</v>
      </c>
      <c r="AW569" s="107">
        <v>5.0000000000000037E-2</v>
      </c>
      <c r="AX569" s="107">
        <v>5.0000000000000037E-2</v>
      </c>
      <c r="AY569" s="107">
        <v>5.0000000000000037E-2</v>
      </c>
      <c r="AZ569" s="107">
        <v>5.0000000000000037E-2</v>
      </c>
      <c r="BA569" s="107">
        <v>5.0000000000000037E-2</v>
      </c>
      <c r="BB569" s="107">
        <v>5.0000000000000037E-2</v>
      </c>
      <c r="BC569" s="107">
        <f t="shared" si="207"/>
        <v>5.0000000000000037E-2</v>
      </c>
      <c r="BD569" s="107">
        <f t="shared" si="207"/>
        <v>5.0000000000000037E-2</v>
      </c>
      <c r="BE569" s="107">
        <f t="shared" si="207"/>
        <v>5.0000000000000037E-2</v>
      </c>
      <c r="BF569" s="107">
        <f t="shared" si="207"/>
        <v>5.0000000000000037E-2</v>
      </c>
      <c r="BG569" s="107">
        <f t="shared" si="207"/>
        <v>5.0000000000000037E-2</v>
      </c>
    </row>
    <row r="570" spans="1:59" ht="13.75" customHeight="1">
      <c r="A570" s="141" t="s">
        <v>166</v>
      </c>
      <c r="B570" s="142" t="s">
        <v>530</v>
      </c>
      <c r="C570" s="170" t="s">
        <v>554</v>
      </c>
      <c r="D570" s="142" t="s">
        <v>377</v>
      </c>
      <c r="E570" s="176"/>
      <c r="F570" s="168" t="s">
        <v>567</v>
      </c>
      <c r="G570" s="109" t="s">
        <v>3</v>
      </c>
      <c r="X570" s="107">
        <v>0</v>
      </c>
      <c r="Y570" s="107">
        <v>0</v>
      </c>
      <c r="Z570" s="107">
        <v>0.04</v>
      </c>
      <c r="AA570" s="107">
        <v>0.05</v>
      </c>
      <c r="AB570" s="107">
        <v>7.0606060606060547E-2</v>
      </c>
      <c r="AC570" s="107">
        <v>-3.846105287452229E-2</v>
      </c>
      <c r="AD570" s="107">
        <v>0.01</v>
      </c>
      <c r="AE570" s="107">
        <v>-0.04</v>
      </c>
      <c r="AF570" s="107">
        <v>0.01</v>
      </c>
      <c r="AG570" s="107">
        <v>4.3393147580377482E-2</v>
      </c>
      <c r="AH570" s="107">
        <v>6.2023224597123054E-2</v>
      </c>
      <c r="AI570" s="107">
        <v>6.3006578762177398E-2</v>
      </c>
      <c r="AJ570" s="107">
        <v>6.091156932865726E-2</v>
      </c>
      <c r="AK570" s="107">
        <v>5.9423199278603393E-2</v>
      </c>
      <c r="AL570" s="107">
        <v>5.321458313338278E-2</v>
      </c>
      <c r="AM570" s="107">
        <v>5.2095030145796743E-2</v>
      </c>
      <c r="AN570" s="107">
        <v>5.2095030145796743E-2</v>
      </c>
      <c r="AO570" s="107">
        <v>5.2095030145796743E-2</v>
      </c>
      <c r="AP570" s="107">
        <v>5.2095030145796743E-2</v>
      </c>
      <c r="AQ570" s="107">
        <v>5.2095030145796743E-2</v>
      </c>
      <c r="AR570" s="107">
        <v>5.2095030145796743E-2</v>
      </c>
      <c r="AS570" s="107">
        <v>5.2095030145796743E-2</v>
      </c>
      <c r="AT570" s="107">
        <v>5.2095030145796743E-2</v>
      </c>
      <c r="AU570" s="107">
        <v>5.2095030145796743E-2</v>
      </c>
      <c r="AV570" s="107">
        <v>5.2095030145796743E-2</v>
      </c>
      <c r="AW570" s="107">
        <v>5.2095030145796743E-2</v>
      </c>
      <c r="AX570" s="107">
        <v>5.2095030145796743E-2</v>
      </c>
      <c r="AY570" s="107">
        <v>5.2095030145796743E-2</v>
      </c>
      <c r="AZ570" s="107">
        <v>5.2095030145796743E-2</v>
      </c>
      <c r="BA570" s="107">
        <v>5.2095030145796743E-2</v>
      </c>
      <c r="BB570" s="107">
        <v>5.2095030145796743E-2</v>
      </c>
      <c r="BC570" s="107">
        <f t="shared" si="207"/>
        <v>5.2095030145796743E-2</v>
      </c>
      <c r="BD570" s="107">
        <f t="shared" si="207"/>
        <v>5.2095030145796743E-2</v>
      </c>
      <c r="BE570" s="107">
        <f t="shared" si="207"/>
        <v>5.2095030145796743E-2</v>
      </c>
      <c r="BF570" s="107">
        <f t="shared" si="207"/>
        <v>5.2095030145796743E-2</v>
      </c>
      <c r="BG570" s="107">
        <f t="shared" si="207"/>
        <v>5.2095030145796743E-2</v>
      </c>
    </row>
    <row r="571" spans="1:59" ht="13.75" customHeight="1" outlineLevel="1">
      <c r="A571" s="141" t="s">
        <v>166</v>
      </c>
      <c r="B571" s="142" t="s">
        <v>530</v>
      </c>
      <c r="C571" s="170" t="s">
        <v>547</v>
      </c>
      <c r="D571" s="142" t="s">
        <v>377</v>
      </c>
      <c r="F571" s="168" t="s">
        <v>568</v>
      </c>
      <c r="G571" s="109" t="s">
        <v>3</v>
      </c>
      <c r="Z571" s="110">
        <v>9.5000000000000001E-2</v>
      </c>
      <c r="AA571" s="110">
        <v>9.5000000000000001E-2</v>
      </c>
      <c r="AB571" s="110">
        <v>0.09</v>
      </c>
      <c r="AC571" s="110">
        <v>8.7499999999999994E-2</v>
      </c>
      <c r="AD571" s="110">
        <v>8.7499999999999994E-2</v>
      </c>
      <c r="AE571" s="110">
        <v>9.5000000000000001E-2</v>
      </c>
      <c r="AF571" s="110">
        <v>9.5000000000000001E-2</v>
      </c>
      <c r="AG571" s="110">
        <v>0.09</v>
      </c>
      <c r="AH571" s="110">
        <v>8.5000000000000006E-2</v>
      </c>
      <c r="AI571" s="110">
        <v>8.5000000000000006E-2</v>
      </c>
      <c r="AJ571" s="110">
        <v>8.5000000000000006E-2</v>
      </c>
      <c r="AK571" s="110">
        <v>8.5000000000000006E-2</v>
      </c>
      <c r="AL571" s="110">
        <v>8.5000000000000006E-2</v>
      </c>
      <c r="AM571" s="110">
        <v>8.5000000000000006E-2</v>
      </c>
      <c r="AN571" s="110">
        <v>8.5000000000000006E-2</v>
      </c>
      <c r="AO571" s="110">
        <v>8.5000000000000006E-2</v>
      </c>
      <c r="AP571" s="110">
        <v>8.5000000000000006E-2</v>
      </c>
      <c r="AQ571" s="110">
        <v>8.5000000000000006E-2</v>
      </c>
      <c r="AR571" s="110">
        <v>8.5000000000000006E-2</v>
      </c>
      <c r="AS571" s="110">
        <v>8.5000000000000006E-2</v>
      </c>
      <c r="AT571" s="110">
        <v>8.5000000000000006E-2</v>
      </c>
      <c r="AU571" s="110">
        <v>8.5000000000000006E-2</v>
      </c>
      <c r="AV571" s="110">
        <v>8.5000000000000006E-2</v>
      </c>
      <c r="AW571" s="110">
        <v>8.5000000000000006E-2</v>
      </c>
      <c r="AX571" s="110">
        <v>8.5000000000000006E-2</v>
      </c>
      <c r="AY571" s="110">
        <v>8.5000000000000006E-2</v>
      </c>
      <c r="AZ571" s="110">
        <v>8.5000000000000006E-2</v>
      </c>
      <c r="BA571" s="110">
        <v>8.5000000000000006E-2</v>
      </c>
      <c r="BB571" s="110">
        <v>8.5000000000000006E-2</v>
      </c>
      <c r="BC571" s="110">
        <f t="shared" si="207"/>
        <v>8.5000000000000006E-2</v>
      </c>
      <c r="BD571" s="110">
        <f t="shared" si="207"/>
        <v>8.5000000000000006E-2</v>
      </c>
      <c r="BE571" s="110">
        <f t="shared" si="207"/>
        <v>8.5000000000000006E-2</v>
      </c>
      <c r="BF571" s="110">
        <f t="shared" si="207"/>
        <v>8.5000000000000006E-2</v>
      </c>
      <c r="BG571" s="110">
        <f t="shared" si="207"/>
        <v>8.5000000000000006E-2</v>
      </c>
    </row>
    <row r="572" spans="1:59" ht="13.75" customHeight="1" outlineLevel="1">
      <c r="A572" s="141" t="s">
        <v>166</v>
      </c>
      <c r="B572" s="142" t="s">
        <v>530</v>
      </c>
      <c r="C572" s="170" t="s">
        <v>547</v>
      </c>
      <c r="D572" s="142" t="s">
        <v>377</v>
      </c>
      <c r="F572" s="168" t="s">
        <v>569</v>
      </c>
      <c r="G572" s="109" t="s">
        <v>3</v>
      </c>
      <c r="Z572" s="110">
        <v>0.105</v>
      </c>
      <c r="AA572" s="110">
        <v>0.105</v>
      </c>
      <c r="AB572" s="110">
        <v>0.10249999999999999</v>
      </c>
      <c r="AC572" s="110">
        <v>9.9999999999999992E-2</v>
      </c>
      <c r="AD572" s="110">
        <v>9.9999999999999992E-2</v>
      </c>
      <c r="AE572" s="110">
        <v>0.105</v>
      </c>
      <c r="AF572" s="110">
        <v>0.105</v>
      </c>
      <c r="AG572" s="110">
        <v>9.9999999999999992E-2</v>
      </c>
      <c r="AH572" s="110">
        <v>9.5000000000000001E-2</v>
      </c>
      <c r="AI572" s="110">
        <v>9.5000000000000001E-2</v>
      </c>
      <c r="AJ572" s="110">
        <v>9.5000000000000001E-2</v>
      </c>
      <c r="AK572" s="110">
        <v>9.5000000000000001E-2</v>
      </c>
      <c r="AL572" s="110">
        <v>9.5000000000000001E-2</v>
      </c>
      <c r="AM572" s="110">
        <v>9.5000000000000001E-2</v>
      </c>
      <c r="AN572" s="110">
        <v>9.5000000000000001E-2</v>
      </c>
      <c r="AO572" s="110">
        <v>9.5000000000000001E-2</v>
      </c>
      <c r="AP572" s="110">
        <v>9.5000000000000001E-2</v>
      </c>
      <c r="AQ572" s="110">
        <v>9.5000000000000001E-2</v>
      </c>
      <c r="AR572" s="110">
        <v>9.5000000000000001E-2</v>
      </c>
      <c r="AS572" s="110">
        <v>9.5000000000000001E-2</v>
      </c>
      <c r="AT572" s="110">
        <v>9.5000000000000001E-2</v>
      </c>
      <c r="AU572" s="110">
        <v>9.5000000000000001E-2</v>
      </c>
      <c r="AV572" s="110">
        <v>9.5000000000000001E-2</v>
      </c>
      <c r="AW572" s="110">
        <v>9.5000000000000001E-2</v>
      </c>
      <c r="AX572" s="110">
        <v>9.5000000000000001E-2</v>
      </c>
      <c r="AY572" s="110">
        <v>9.5000000000000001E-2</v>
      </c>
      <c r="AZ572" s="110">
        <v>9.5000000000000001E-2</v>
      </c>
      <c r="BA572" s="110">
        <v>9.5000000000000001E-2</v>
      </c>
      <c r="BB572" s="110">
        <v>9.5000000000000001E-2</v>
      </c>
      <c r="BC572" s="110">
        <f t="shared" si="207"/>
        <v>9.5000000000000001E-2</v>
      </c>
      <c r="BD572" s="110">
        <f t="shared" si="207"/>
        <v>9.5000000000000001E-2</v>
      </c>
      <c r="BE572" s="110">
        <f t="shared" si="207"/>
        <v>9.5000000000000001E-2</v>
      </c>
      <c r="BF572" s="110">
        <f t="shared" si="207"/>
        <v>9.5000000000000001E-2</v>
      </c>
      <c r="BG572" s="110">
        <f t="shared" si="207"/>
        <v>9.5000000000000001E-2</v>
      </c>
    </row>
    <row r="573" spans="1:59" ht="13.75" customHeight="1" outlineLevel="1">
      <c r="A573" s="141" t="s">
        <v>166</v>
      </c>
      <c r="B573" s="142" t="s">
        <v>530</v>
      </c>
      <c r="C573" s="170" t="s">
        <v>547</v>
      </c>
      <c r="D573" s="142" t="s">
        <v>377</v>
      </c>
      <c r="F573" s="168" t="s">
        <v>570</v>
      </c>
      <c r="G573" s="109" t="s">
        <v>3</v>
      </c>
      <c r="Z573" s="110">
        <v>0.10249999999999999</v>
      </c>
      <c r="AA573" s="110">
        <v>0.10249999999999999</v>
      </c>
      <c r="AB573" s="110">
        <v>0.1</v>
      </c>
      <c r="AC573" s="110">
        <v>9.7500000000000003E-2</v>
      </c>
      <c r="AD573" s="110">
        <v>9.7500000000000003E-2</v>
      </c>
      <c r="AE573" s="110">
        <v>0.10250000000000001</v>
      </c>
      <c r="AF573" s="110">
        <v>0.10250000000000001</v>
      </c>
      <c r="AG573" s="110">
        <v>9.7500000000000003E-2</v>
      </c>
      <c r="AH573" s="110">
        <v>9.2500000000000013E-2</v>
      </c>
      <c r="AI573" s="110">
        <v>9.2500000000000013E-2</v>
      </c>
      <c r="AJ573" s="110">
        <v>9.2500000000000013E-2</v>
      </c>
      <c r="AK573" s="110">
        <v>9.2500000000000013E-2</v>
      </c>
      <c r="AL573" s="110">
        <v>9.2500000000000013E-2</v>
      </c>
      <c r="AM573" s="110">
        <v>9.2500000000000013E-2</v>
      </c>
      <c r="AN573" s="110">
        <v>9.2500000000000013E-2</v>
      </c>
      <c r="AO573" s="110">
        <v>9.2500000000000013E-2</v>
      </c>
      <c r="AP573" s="110">
        <v>9.2500000000000013E-2</v>
      </c>
      <c r="AQ573" s="110">
        <v>9.2500000000000013E-2</v>
      </c>
      <c r="AR573" s="110">
        <v>9.2500000000000013E-2</v>
      </c>
      <c r="AS573" s="110">
        <v>9.2500000000000013E-2</v>
      </c>
      <c r="AT573" s="110">
        <v>9.2500000000000013E-2</v>
      </c>
      <c r="AU573" s="110">
        <v>9.2500000000000013E-2</v>
      </c>
      <c r="AV573" s="110">
        <v>9.2500000000000013E-2</v>
      </c>
      <c r="AW573" s="110">
        <v>9.2500000000000013E-2</v>
      </c>
      <c r="AX573" s="110">
        <v>9.2500000000000013E-2</v>
      </c>
      <c r="AY573" s="110">
        <v>9.2500000000000013E-2</v>
      </c>
      <c r="AZ573" s="110">
        <v>9.2500000000000013E-2</v>
      </c>
      <c r="BA573" s="110">
        <v>9.2500000000000013E-2</v>
      </c>
      <c r="BB573" s="110">
        <v>9.2500000000000013E-2</v>
      </c>
      <c r="BC573" s="110">
        <f t="shared" si="207"/>
        <v>9.2500000000000013E-2</v>
      </c>
      <c r="BD573" s="110">
        <f t="shared" si="207"/>
        <v>9.2500000000000013E-2</v>
      </c>
      <c r="BE573" s="110">
        <f t="shared" si="207"/>
        <v>9.2500000000000013E-2</v>
      </c>
      <c r="BF573" s="110">
        <f t="shared" si="207"/>
        <v>9.2500000000000013E-2</v>
      </c>
      <c r="BG573" s="110">
        <f t="shared" si="207"/>
        <v>9.2500000000000013E-2</v>
      </c>
    </row>
    <row r="574" spans="1:59" ht="13.75" customHeight="1" outlineLevel="1">
      <c r="A574" s="141" t="s">
        <v>166</v>
      </c>
      <c r="B574" s="142" t="s">
        <v>530</v>
      </c>
      <c r="C574" s="170" t="s">
        <v>547</v>
      </c>
      <c r="D574" s="142" t="s">
        <v>377</v>
      </c>
      <c r="F574" s="168" t="s">
        <v>571</v>
      </c>
      <c r="G574" s="109" t="s">
        <v>3</v>
      </c>
      <c r="Z574" s="110">
        <v>0.11749999999999999</v>
      </c>
      <c r="AA574" s="110">
        <v>0.11749999999999999</v>
      </c>
      <c r="AB574" s="110">
        <v>0.115</v>
      </c>
      <c r="AC574" s="110">
        <v>0.1125</v>
      </c>
      <c r="AD574" s="110">
        <v>0.1125</v>
      </c>
      <c r="AE574" s="110">
        <v>0.11750000000000001</v>
      </c>
      <c r="AF574" s="110">
        <v>0.11750000000000001</v>
      </c>
      <c r="AG574" s="110">
        <v>0.1125</v>
      </c>
      <c r="AH574" s="110">
        <v>0.10750000000000001</v>
      </c>
      <c r="AI574" s="110">
        <v>0.10750000000000001</v>
      </c>
      <c r="AJ574" s="110">
        <v>0.10750000000000001</v>
      </c>
      <c r="AK574" s="110">
        <v>0.10750000000000001</v>
      </c>
      <c r="AL574" s="110">
        <v>0.10750000000000001</v>
      </c>
      <c r="AM574" s="110">
        <v>0.10750000000000001</v>
      </c>
      <c r="AN574" s="110">
        <v>0.10750000000000001</v>
      </c>
      <c r="AO574" s="110">
        <v>0.10750000000000001</v>
      </c>
      <c r="AP574" s="110">
        <v>0.10750000000000001</v>
      </c>
      <c r="AQ574" s="110">
        <v>0.10750000000000001</v>
      </c>
      <c r="AR574" s="110">
        <v>0.10750000000000001</v>
      </c>
      <c r="AS574" s="110">
        <v>0.10750000000000001</v>
      </c>
      <c r="AT574" s="110">
        <v>0.10750000000000001</v>
      </c>
      <c r="AU574" s="110">
        <v>0.10750000000000001</v>
      </c>
      <c r="AV574" s="110">
        <v>0.10750000000000001</v>
      </c>
      <c r="AW574" s="110">
        <v>0.10750000000000001</v>
      </c>
      <c r="AX574" s="110">
        <v>0.10750000000000001</v>
      </c>
      <c r="AY574" s="110">
        <v>0.10750000000000001</v>
      </c>
      <c r="AZ574" s="110">
        <v>0.10750000000000001</v>
      </c>
      <c r="BA574" s="110">
        <v>0.10750000000000001</v>
      </c>
      <c r="BB574" s="110">
        <v>0.10750000000000001</v>
      </c>
      <c r="BC574" s="110">
        <f t="shared" si="207"/>
        <v>0.10750000000000001</v>
      </c>
      <c r="BD574" s="110">
        <f t="shared" si="207"/>
        <v>0.10750000000000001</v>
      </c>
      <c r="BE574" s="110">
        <f t="shared" si="207"/>
        <v>0.10750000000000001</v>
      </c>
      <c r="BF574" s="110">
        <f t="shared" si="207"/>
        <v>0.10750000000000001</v>
      </c>
      <c r="BG574" s="110">
        <f t="shared" si="207"/>
        <v>0.10750000000000001</v>
      </c>
    </row>
    <row r="575" spans="1:59" ht="13.75" customHeight="1" outlineLevel="1">
      <c r="A575" s="141" t="s">
        <v>166</v>
      </c>
      <c r="B575" s="142" t="s">
        <v>530</v>
      </c>
      <c r="C575" s="170" t="s">
        <v>551</v>
      </c>
      <c r="D575" s="142" t="s">
        <v>377</v>
      </c>
      <c r="F575" s="168" t="s">
        <v>572</v>
      </c>
      <c r="G575" s="109" t="s">
        <v>3</v>
      </c>
      <c r="Z575" s="110">
        <v>0.11499999999999999</v>
      </c>
      <c r="AA575" s="110">
        <v>0.11499999999999999</v>
      </c>
      <c r="AB575" s="110">
        <v>0.11</v>
      </c>
      <c r="AC575" s="110">
        <v>0.105</v>
      </c>
      <c r="AD575" s="110">
        <v>0.10249999999999999</v>
      </c>
      <c r="AE575" s="110">
        <v>0.1075</v>
      </c>
      <c r="AF575" s="110">
        <v>0.1075</v>
      </c>
      <c r="AG575" s="110">
        <v>0.10249999999999999</v>
      </c>
      <c r="AH575" s="110">
        <v>9.7500000000000003E-2</v>
      </c>
      <c r="AI575" s="110">
        <v>9.7500000000000003E-2</v>
      </c>
      <c r="AJ575" s="110">
        <v>9.7500000000000003E-2</v>
      </c>
      <c r="AK575" s="110">
        <v>9.7500000000000003E-2</v>
      </c>
      <c r="AL575" s="110">
        <v>9.7500000000000003E-2</v>
      </c>
      <c r="AM575" s="110">
        <v>9.7500000000000003E-2</v>
      </c>
      <c r="AN575" s="110">
        <v>9.7500000000000003E-2</v>
      </c>
      <c r="AO575" s="110">
        <v>9.7500000000000003E-2</v>
      </c>
      <c r="AP575" s="110">
        <v>9.7500000000000003E-2</v>
      </c>
      <c r="AQ575" s="110">
        <v>9.7500000000000003E-2</v>
      </c>
      <c r="AR575" s="110">
        <v>9.7500000000000003E-2</v>
      </c>
      <c r="AS575" s="110">
        <v>9.7500000000000003E-2</v>
      </c>
      <c r="AT575" s="110">
        <v>9.7500000000000003E-2</v>
      </c>
      <c r="AU575" s="110">
        <v>9.7500000000000003E-2</v>
      </c>
      <c r="AV575" s="110">
        <v>9.7500000000000003E-2</v>
      </c>
      <c r="AW575" s="110">
        <v>9.7500000000000003E-2</v>
      </c>
      <c r="AX575" s="110">
        <v>9.7500000000000003E-2</v>
      </c>
      <c r="AY575" s="110">
        <v>9.7500000000000003E-2</v>
      </c>
      <c r="AZ575" s="110">
        <v>9.7500000000000003E-2</v>
      </c>
      <c r="BA575" s="110">
        <v>9.7500000000000003E-2</v>
      </c>
      <c r="BB575" s="110">
        <v>9.7500000000000003E-2</v>
      </c>
      <c r="BC575" s="110">
        <f t="shared" si="207"/>
        <v>9.7500000000000003E-2</v>
      </c>
      <c r="BD575" s="110">
        <f t="shared" si="207"/>
        <v>9.7500000000000003E-2</v>
      </c>
      <c r="BE575" s="110">
        <f t="shared" si="207"/>
        <v>9.7500000000000003E-2</v>
      </c>
      <c r="BF575" s="110">
        <f t="shared" si="207"/>
        <v>9.7500000000000003E-2</v>
      </c>
      <c r="BG575" s="110">
        <f t="shared" si="207"/>
        <v>9.7500000000000003E-2</v>
      </c>
    </row>
    <row r="576" spans="1:59" ht="13.75" customHeight="1" outlineLevel="1">
      <c r="A576" s="141" t="s">
        <v>166</v>
      </c>
      <c r="B576" s="142" t="s">
        <v>530</v>
      </c>
      <c r="C576" s="170" t="s">
        <v>551</v>
      </c>
      <c r="D576" s="142" t="s">
        <v>377</v>
      </c>
      <c r="F576" s="168" t="s">
        <v>573</v>
      </c>
      <c r="G576" s="109" t="s">
        <v>3</v>
      </c>
      <c r="Z576" s="110">
        <v>0.13</v>
      </c>
      <c r="AA576" s="110">
        <v>0.13</v>
      </c>
      <c r="AB576" s="110">
        <v>0.1225</v>
      </c>
      <c r="AC576" s="110">
        <v>0.11749999999999999</v>
      </c>
      <c r="AD576" s="110">
        <v>0.11499999999999999</v>
      </c>
      <c r="AE576" s="110">
        <v>0.12</v>
      </c>
      <c r="AF576" s="110">
        <v>0.12</v>
      </c>
      <c r="AG576" s="110">
        <v>0.11499999999999999</v>
      </c>
      <c r="AH576" s="110">
        <v>0.11</v>
      </c>
      <c r="AI576" s="110">
        <v>0.11</v>
      </c>
      <c r="AJ576" s="110">
        <v>0.11</v>
      </c>
      <c r="AK576" s="110">
        <v>0.11</v>
      </c>
      <c r="AL576" s="110">
        <v>0.11</v>
      </c>
      <c r="AM576" s="110">
        <v>0.11</v>
      </c>
      <c r="AN576" s="110">
        <v>0.11</v>
      </c>
      <c r="AO576" s="110">
        <v>0.11</v>
      </c>
      <c r="AP576" s="110">
        <v>0.11</v>
      </c>
      <c r="AQ576" s="110">
        <v>0.11</v>
      </c>
      <c r="AR576" s="110">
        <v>0.11</v>
      </c>
      <c r="AS576" s="110">
        <v>0.11</v>
      </c>
      <c r="AT576" s="110">
        <v>0.11</v>
      </c>
      <c r="AU576" s="110">
        <v>0.11</v>
      </c>
      <c r="AV576" s="110">
        <v>0.11</v>
      </c>
      <c r="AW576" s="110">
        <v>0.11</v>
      </c>
      <c r="AX576" s="110">
        <v>0.11</v>
      </c>
      <c r="AY576" s="110">
        <v>0.11</v>
      </c>
      <c r="AZ576" s="110">
        <v>0.11</v>
      </c>
      <c r="BA576" s="110">
        <v>0.11</v>
      </c>
      <c r="BB576" s="110">
        <v>0.11</v>
      </c>
      <c r="BC576" s="110">
        <f t="shared" si="207"/>
        <v>0.11</v>
      </c>
      <c r="BD576" s="110">
        <f t="shared" si="207"/>
        <v>0.11</v>
      </c>
      <c r="BE576" s="110">
        <f t="shared" si="207"/>
        <v>0.11</v>
      </c>
      <c r="BF576" s="110">
        <f t="shared" si="207"/>
        <v>0.11</v>
      </c>
      <c r="BG576" s="110">
        <f t="shared" si="207"/>
        <v>0.11</v>
      </c>
    </row>
    <row r="577" spans="1:59" ht="13.75" customHeight="1" outlineLevel="1">
      <c r="A577" s="141" t="s">
        <v>166</v>
      </c>
      <c r="B577" s="142" t="s">
        <v>530</v>
      </c>
      <c r="C577" s="170" t="s">
        <v>551</v>
      </c>
      <c r="D577" s="142" t="s">
        <v>377</v>
      </c>
      <c r="F577" s="168" t="s">
        <v>574</v>
      </c>
      <c r="G577" s="109" t="s">
        <v>3</v>
      </c>
      <c r="Z577" s="110">
        <v>0.12</v>
      </c>
      <c r="AA577" s="110">
        <v>0.12</v>
      </c>
      <c r="AB577" s="110">
        <v>0.11749999999999999</v>
      </c>
      <c r="AC577" s="110">
        <v>0.11249999999999999</v>
      </c>
      <c r="AD577" s="110">
        <v>0.10999999999999999</v>
      </c>
      <c r="AE577" s="110">
        <v>0.11499999999999999</v>
      </c>
      <c r="AF577" s="110">
        <v>0.11499999999999999</v>
      </c>
      <c r="AG577" s="110">
        <v>0.10999999999999999</v>
      </c>
      <c r="AH577" s="110">
        <v>0.105</v>
      </c>
      <c r="AI577" s="110">
        <v>0.105</v>
      </c>
      <c r="AJ577" s="110">
        <v>0.105</v>
      </c>
      <c r="AK577" s="110">
        <v>0.105</v>
      </c>
      <c r="AL577" s="110">
        <v>0.105</v>
      </c>
      <c r="AM577" s="110">
        <v>0.105</v>
      </c>
      <c r="AN577" s="110">
        <v>0.105</v>
      </c>
      <c r="AO577" s="110">
        <v>0.105</v>
      </c>
      <c r="AP577" s="110">
        <v>0.105</v>
      </c>
      <c r="AQ577" s="110">
        <v>0.105</v>
      </c>
      <c r="AR577" s="110">
        <v>0.105</v>
      </c>
      <c r="AS577" s="110">
        <v>0.105</v>
      </c>
      <c r="AT577" s="110">
        <v>0.105</v>
      </c>
      <c r="AU577" s="110">
        <v>0.105</v>
      </c>
      <c r="AV577" s="110">
        <v>0.105</v>
      </c>
      <c r="AW577" s="110">
        <v>0.105</v>
      </c>
      <c r="AX577" s="110">
        <v>0.105</v>
      </c>
      <c r="AY577" s="110">
        <v>0.105</v>
      </c>
      <c r="AZ577" s="110">
        <v>0.105</v>
      </c>
      <c r="BA577" s="110">
        <v>0.105</v>
      </c>
      <c r="BB577" s="110">
        <v>0.105</v>
      </c>
      <c r="BC577" s="110">
        <f t="shared" si="207"/>
        <v>0.105</v>
      </c>
      <c r="BD577" s="110">
        <f t="shared" si="207"/>
        <v>0.105</v>
      </c>
      <c r="BE577" s="110">
        <f t="shared" si="207"/>
        <v>0.105</v>
      </c>
      <c r="BF577" s="110">
        <f t="shared" si="207"/>
        <v>0.105</v>
      </c>
      <c r="BG577" s="110">
        <f t="shared" si="207"/>
        <v>0.105</v>
      </c>
    </row>
    <row r="578" spans="1:59" ht="13.75" customHeight="1" outlineLevel="1">
      <c r="A578" s="141" t="s">
        <v>166</v>
      </c>
      <c r="B578" s="142" t="s">
        <v>530</v>
      </c>
      <c r="C578" s="170" t="s">
        <v>551</v>
      </c>
      <c r="D578" s="142" t="s">
        <v>377</v>
      </c>
      <c r="F578" s="168" t="s">
        <v>575</v>
      </c>
      <c r="G578" s="109" t="s">
        <v>3</v>
      </c>
      <c r="Z578" s="110">
        <v>0.13500000000000001</v>
      </c>
      <c r="AA578" s="110">
        <v>0.13500000000000001</v>
      </c>
      <c r="AB578" s="110">
        <v>0.13250000000000001</v>
      </c>
      <c r="AC578" s="110">
        <v>0.1275</v>
      </c>
      <c r="AD578" s="110">
        <v>0.125</v>
      </c>
      <c r="AE578" s="110">
        <v>0.13</v>
      </c>
      <c r="AF578" s="110">
        <v>0.13</v>
      </c>
      <c r="AG578" s="110">
        <v>0.125</v>
      </c>
      <c r="AH578" s="110">
        <v>0.12000000000000001</v>
      </c>
      <c r="AI578" s="110">
        <v>0.12000000000000001</v>
      </c>
      <c r="AJ578" s="110">
        <v>0.12000000000000001</v>
      </c>
      <c r="AK578" s="110">
        <v>0.12000000000000001</v>
      </c>
      <c r="AL578" s="110">
        <v>0.12000000000000001</v>
      </c>
      <c r="AM578" s="110">
        <v>0.12000000000000001</v>
      </c>
      <c r="AN578" s="110">
        <v>0.12000000000000001</v>
      </c>
      <c r="AO578" s="110">
        <v>0.12000000000000001</v>
      </c>
      <c r="AP578" s="110">
        <v>0.12000000000000001</v>
      </c>
      <c r="AQ578" s="110">
        <v>0.12000000000000001</v>
      </c>
      <c r="AR578" s="110">
        <v>0.12000000000000001</v>
      </c>
      <c r="AS578" s="110">
        <v>0.12000000000000001</v>
      </c>
      <c r="AT578" s="110">
        <v>0.12000000000000001</v>
      </c>
      <c r="AU578" s="110">
        <v>0.12000000000000001</v>
      </c>
      <c r="AV578" s="110">
        <v>0.12000000000000001</v>
      </c>
      <c r="AW578" s="110">
        <v>0.12000000000000001</v>
      </c>
      <c r="AX578" s="110">
        <v>0.12000000000000001</v>
      </c>
      <c r="AY578" s="110">
        <v>0.12000000000000001</v>
      </c>
      <c r="AZ578" s="110">
        <v>0.12000000000000001</v>
      </c>
      <c r="BA578" s="110">
        <v>0.12000000000000001</v>
      </c>
      <c r="BB578" s="110">
        <v>0.12000000000000001</v>
      </c>
      <c r="BC578" s="110">
        <f t="shared" si="207"/>
        <v>0.12000000000000001</v>
      </c>
      <c r="BD578" s="110">
        <f t="shared" si="207"/>
        <v>0.12000000000000001</v>
      </c>
      <c r="BE578" s="110">
        <f t="shared" si="207"/>
        <v>0.12000000000000001</v>
      </c>
      <c r="BF578" s="110">
        <f t="shared" si="207"/>
        <v>0.12000000000000001</v>
      </c>
      <c r="BG578" s="110">
        <f t="shared" si="207"/>
        <v>0.12000000000000001</v>
      </c>
    </row>
    <row r="579" spans="1:59" ht="13.75" customHeight="1" outlineLevel="1">
      <c r="A579" s="141" t="s">
        <v>166</v>
      </c>
      <c r="B579" s="142" t="s">
        <v>530</v>
      </c>
      <c r="C579" s="170" t="s">
        <v>547</v>
      </c>
      <c r="D579" s="142" t="s">
        <v>377</v>
      </c>
      <c r="F579" s="168" t="s">
        <v>576</v>
      </c>
      <c r="G579" s="109" t="s">
        <v>3</v>
      </c>
      <c r="Z579" s="110">
        <v>0.16700000000000001</v>
      </c>
      <c r="AA579" s="110">
        <v>0.11</v>
      </c>
      <c r="AB579" s="110">
        <v>8.1000000000000003E-2</v>
      </c>
      <c r="AC579" s="110">
        <v>0.126</v>
      </c>
      <c r="AD579" s="110">
        <v>0.10299999999999999</v>
      </c>
      <c r="AE579" s="110">
        <v>0.128</v>
      </c>
      <c r="AF579" s="110">
        <v>0.12327762405460246</v>
      </c>
      <c r="AG579" s="110">
        <v>0.12555287537143855</v>
      </c>
      <c r="AH579" s="110">
        <v>0.1128674210437426</v>
      </c>
      <c r="AI579" s="110">
        <v>9.3606984022401571E-2</v>
      </c>
      <c r="AJ579" s="136">
        <v>8.2648381438367086E-2</v>
      </c>
      <c r="AK579" s="137">
        <v>8.2995417048579281E-2</v>
      </c>
      <c r="AL579" s="137">
        <v>8.3314470019058784E-2</v>
      </c>
      <c r="AM579" s="137">
        <v>8.2962628684247641E-2</v>
      </c>
      <c r="AN579" s="137">
        <v>8.2962628684247641E-2</v>
      </c>
      <c r="AO579" s="137">
        <v>8.2962628684247641E-2</v>
      </c>
      <c r="AP579" s="137">
        <v>8.2962628684247641E-2</v>
      </c>
      <c r="AQ579" s="137">
        <v>8.2962628684247641E-2</v>
      </c>
      <c r="AR579" s="137">
        <v>8.2962628684247641E-2</v>
      </c>
      <c r="AS579" s="137">
        <v>8.2962628684247641E-2</v>
      </c>
      <c r="AT579" s="137">
        <v>8.2962628684247641E-2</v>
      </c>
      <c r="AU579" s="137">
        <v>8.2962628684247641E-2</v>
      </c>
      <c r="AV579" s="137">
        <v>8.2962628684247641E-2</v>
      </c>
      <c r="AW579" s="137">
        <v>8.2962628684247641E-2</v>
      </c>
      <c r="AX579" s="137">
        <v>8.2962628684247641E-2</v>
      </c>
      <c r="AY579" s="137">
        <v>8.2962628684247641E-2</v>
      </c>
      <c r="AZ579" s="137">
        <v>8.2962628684247641E-2</v>
      </c>
      <c r="BA579" s="137">
        <v>8.2962628684247641E-2</v>
      </c>
      <c r="BB579" s="137">
        <v>8.2962628684247641E-2</v>
      </c>
      <c r="BC579" s="137">
        <f t="shared" si="207"/>
        <v>8.2962628684247641E-2</v>
      </c>
      <c r="BD579" s="137">
        <f t="shared" si="207"/>
        <v>8.2962628684247641E-2</v>
      </c>
      <c r="BE579" s="137">
        <f t="shared" si="207"/>
        <v>8.2962628684247641E-2</v>
      </c>
      <c r="BF579" s="137">
        <f t="shared" si="207"/>
        <v>8.2962628684247641E-2</v>
      </c>
      <c r="BG579" s="137">
        <f t="shared" si="207"/>
        <v>8.2962628684247641E-2</v>
      </c>
    </row>
    <row r="580" spans="1:59" ht="13.75" customHeight="1" outlineLevel="1">
      <c r="A580" s="141" t="s">
        <v>166</v>
      </c>
      <c r="B580" s="142" t="s">
        <v>530</v>
      </c>
      <c r="C580" s="170" t="s">
        <v>547</v>
      </c>
      <c r="D580" s="142" t="s">
        <v>377</v>
      </c>
      <c r="F580" s="168" t="s">
        <v>577</v>
      </c>
      <c r="G580" s="109" t="s">
        <v>3</v>
      </c>
      <c r="Z580" s="107">
        <v>0.12619874407392062</v>
      </c>
      <c r="AA580" s="107">
        <v>9.4974148880558482E-2</v>
      </c>
      <c r="AB580" s="107">
        <v>0.10065583890437556</v>
      </c>
      <c r="AC580" s="107">
        <v>0.11636986301369862</v>
      </c>
      <c r="AD580" s="107">
        <v>0.11796381173895197</v>
      </c>
      <c r="AE580" s="107">
        <v>9.8000000000000004E-2</v>
      </c>
      <c r="AF580" s="107">
        <v>9.403684803499239E-2</v>
      </c>
      <c r="AG580" s="107">
        <v>9.0125880571466213E-2</v>
      </c>
      <c r="AH580" s="107">
        <v>8.2995748577408629E-2</v>
      </c>
      <c r="AI580" s="107">
        <v>8.1924075150106565E-2</v>
      </c>
      <c r="AJ580" s="138">
        <v>8.0879724647842488E-2</v>
      </c>
      <c r="AK580" s="139">
        <v>7.9861665303039883E-2</v>
      </c>
      <c r="AL580" s="139">
        <v>8.0012539574151137E-2</v>
      </c>
      <c r="AM580" s="139">
        <v>8.0159348398554764E-2</v>
      </c>
      <c r="AN580" s="139">
        <v>8.0159348398554764E-2</v>
      </c>
      <c r="AO580" s="139">
        <v>8.0159348398554764E-2</v>
      </c>
      <c r="AP580" s="139">
        <v>8.0159348398554764E-2</v>
      </c>
      <c r="AQ580" s="139">
        <v>8.0159348398554764E-2</v>
      </c>
      <c r="AR580" s="139">
        <v>8.0159348398554764E-2</v>
      </c>
      <c r="AS580" s="139">
        <v>8.0159348398554764E-2</v>
      </c>
      <c r="AT580" s="139">
        <v>8.0159348398554764E-2</v>
      </c>
      <c r="AU580" s="139">
        <v>8.0159348398554764E-2</v>
      </c>
      <c r="AV580" s="139">
        <v>8.0159348398554764E-2</v>
      </c>
      <c r="AW580" s="139">
        <v>8.0159348398554764E-2</v>
      </c>
      <c r="AX580" s="139">
        <v>8.0159348398554764E-2</v>
      </c>
      <c r="AY580" s="139">
        <v>8.0159348398554764E-2</v>
      </c>
      <c r="AZ580" s="139">
        <v>8.0159348398554764E-2</v>
      </c>
      <c r="BA580" s="139">
        <v>8.0159348398554764E-2</v>
      </c>
      <c r="BB580" s="139">
        <v>8.0159348398554764E-2</v>
      </c>
      <c r="BC580" s="139">
        <f t="shared" si="207"/>
        <v>8.0159348398554764E-2</v>
      </c>
      <c r="BD580" s="139">
        <f t="shared" si="207"/>
        <v>8.0159348398554764E-2</v>
      </c>
      <c r="BE580" s="139">
        <f t="shared" si="207"/>
        <v>8.0159348398554764E-2</v>
      </c>
      <c r="BF580" s="139">
        <f t="shared" si="207"/>
        <v>8.0159348398554764E-2</v>
      </c>
      <c r="BG580" s="139">
        <f t="shared" si="207"/>
        <v>8.0159348398554764E-2</v>
      </c>
    </row>
    <row r="581" spans="1:59" ht="13.75" customHeight="1" outlineLevel="1">
      <c r="A581" s="141" t="s">
        <v>166</v>
      </c>
      <c r="B581" s="142" t="s">
        <v>530</v>
      </c>
      <c r="C581" s="170" t="s">
        <v>551</v>
      </c>
      <c r="D581" s="142" t="s">
        <v>377</v>
      </c>
      <c r="F581" s="168" t="s">
        <v>578</v>
      </c>
      <c r="G581" s="109" t="s">
        <v>3</v>
      </c>
      <c r="Z581" s="107">
        <v>7.9000000000000001E-2</v>
      </c>
      <c r="AA581" s="107">
        <v>6.2E-2</v>
      </c>
      <c r="AB581" s="107">
        <v>3.6999999999999998E-2</v>
      </c>
      <c r="AC581" s="107">
        <v>3.4999999999999996E-2</v>
      </c>
      <c r="AD581" s="107">
        <v>0.01</v>
      </c>
      <c r="AE581" s="107">
        <v>1.7999999999999999E-2</v>
      </c>
      <c r="AF581" s="107">
        <v>3.0264701918325171E-2</v>
      </c>
      <c r="AG581" s="107">
        <v>4.3636216377509689E-2</v>
      </c>
      <c r="AH581" s="107">
        <v>4.5940635348951306E-2</v>
      </c>
      <c r="AI581" s="107">
        <v>4.5996363492628159E-2</v>
      </c>
      <c r="AJ581" s="107">
        <v>4.6048509889437234E-2</v>
      </c>
      <c r="AK581" s="107">
        <v>4.6048509889437234E-2</v>
      </c>
      <c r="AL581" s="107">
        <v>4.6048509889437234E-2</v>
      </c>
      <c r="AM581" s="107">
        <v>4.6048509889437234E-2</v>
      </c>
      <c r="AN581" s="107">
        <v>4.6048509889437234E-2</v>
      </c>
      <c r="AO581" s="107">
        <v>4.6048509889437234E-2</v>
      </c>
      <c r="AP581" s="107">
        <v>4.6048509889437234E-2</v>
      </c>
      <c r="AQ581" s="107">
        <v>4.6048509889437234E-2</v>
      </c>
      <c r="AR581" s="107">
        <v>4.6048509889437234E-2</v>
      </c>
      <c r="AS581" s="107">
        <v>4.6048509889437234E-2</v>
      </c>
      <c r="AT581" s="107">
        <v>4.6048509889437234E-2</v>
      </c>
      <c r="AU581" s="107">
        <v>4.6048509889437234E-2</v>
      </c>
      <c r="AV581" s="107">
        <v>4.6048509889437234E-2</v>
      </c>
      <c r="AW581" s="107">
        <v>4.6048509889437234E-2</v>
      </c>
      <c r="AX581" s="107">
        <v>4.6048509889437234E-2</v>
      </c>
      <c r="AY581" s="107">
        <v>4.6048509889437234E-2</v>
      </c>
      <c r="AZ581" s="107">
        <v>4.6048509889437234E-2</v>
      </c>
      <c r="BA581" s="107">
        <v>4.6048509889437234E-2</v>
      </c>
      <c r="BB581" s="107">
        <v>4.6048509889437234E-2</v>
      </c>
      <c r="BC581" s="107">
        <f t="shared" si="207"/>
        <v>4.6048509889437234E-2</v>
      </c>
      <c r="BD581" s="107">
        <f t="shared" si="207"/>
        <v>4.6048509889437234E-2</v>
      </c>
      <c r="BE581" s="107">
        <f t="shared" si="207"/>
        <v>4.6048509889437234E-2</v>
      </c>
      <c r="BF581" s="107">
        <f t="shared" si="207"/>
        <v>4.6048509889437234E-2</v>
      </c>
      <c r="BG581" s="107">
        <f t="shared" si="207"/>
        <v>4.6048509889437234E-2</v>
      </c>
    </row>
    <row r="582" spans="1:59" ht="13.75" customHeight="1" outlineLevel="1">
      <c r="A582" s="141" t="s">
        <v>166</v>
      </c>
      <c r="B582" s="142" t="s">
        <v>530</v>
      </c>
      <c r="C582" s="170" t="s">
        <v>551</v>
      </c>
      <c r="D582" s="142" t="s">
        <v>377</v>
      </c>
      <c r="F582" s="168" t="s">
        <v>579</v>
      </c>
      <c r="G582" s="109" t="s">
        <v>3</v>
      </c>
      <c r="Z582" s="107">
        <v>7.9000000000000001E-2</v>
      </c>
      <c r="AA582" s="107">
        <v>6.2E-2</v>
      </c>
      <c r="AB582" s="107">
        <v>3.6999999999999998E-2</v>
      </c>
      <c r="AC582" s="107">
        <v>3.4999999999999996E-2</v>
      </c>
      <c r="AD582" s="107">
        <v>0.01</v>
      </c>
      <c r="AE582" s="107">
        <v>1.7999999999999999E-2</v>
      </c>
      <c r="AF582" s="107">
        <v>3.0264701918325171E-2</v>
      </c>
      <c r="AG582" s="107">
        <v>4.3636216377509689E-2</v>
      </c>
      <c r="AH582" s="107">
        <v>4.5940635348951306E-2</v>
      </c>
      <c r="AI582" s="107">
        <v>4.5996363492628159E-2</v>
      </c>
      <c r="AJ582" s="107">
        <v>4.6048509889437234E-2</v>
      </c>
      <c r="AK582" s="107">
        <v>4.6048509889437234E-2</v>
      </c>
      <c r="AL582" s="107">
        <v>4.6048509889437234E-2</v>
      </c>
      <c r="AM582" s="107">
        <v>4.6048509889437234E-2</v>
      </c>
      <c r="AN582" s="107">
        <v>4.6048509889437234E-2</v>
      </c>
      <c r="AO582" s="107">
        <v>4.6048509889437234E-2</v>
      </c>
      <c r="AP582" s="107">
        <v>4.6048509889437234E-2</v>
      </c>
      <c r="AQ582" s="107">
        <v>4.6048509889437234E-2</v>
      </c>
      <c r="AR582" s="107">
        <v>4.6048509889437234E-2</v>
      </c>
      <c r="AS582" s="107">
        <v>4.6048509889437234E-2</v>
      </c>
      <c r="AT582" s="107">
        <v>4.6048509889437234E-2</v>
      </c>
      <c r="AU582" s="107">
        <v>4.6048509889437234E-2</v>
      </c>
      <c r="AV582" s="107">
        <v>4.6048509889437234E-2</v>
      </c>
      <c r="AW582" s="107">
        <v>4.6048509889437234E-2</v>
      </c>
      <c r="AX582" s="107">
        <v>4.6048509889437234E-2</v>
      </c>
      <c r="AY582" s="107">
        <v>4.6048509889437234E-2</v>
      </c>
      <c r="AZ582" s="107">
        <v>4.6048509889437234E-2</v>
      </c>
      <c r="BA582" s="107">
        <v>4.6048509889437234E-2</v>
      </c>
      <c r="BB582" s="107">
        <v>4.6048509889437234E-2</v>
      </c>
      <c r="BC582" s="107">
        <f t="shared" si="207"/>
        <v>4.6048509889437234E-2</v>
      </c>
      <c r="BD582" s="107">
        <f t="shared" si="207"/>
        <v>4.6048509889437234E-2</v>
      </c>
      <c r="BE582" s="107">
        <f t="shared" si="207"/>
        <v>4.6048509889437234E-2</v>
      </c>
      <c r="BF582" s="107">
        <f t="shared" si="207"/>
        <v>4.6048509889437234E-2</v>
      </c>
      <c r="BG582" s="107">
        <f t="shared" si="207"/>
        <v>4.6048509889437234E-2</v>
      </c>
    </row>
    <row r="583" spans="1:59" ht="13.75" customHeight="1" outlineLevel="1">
      <c r="A583" s="141" t="s">
        <v>166</v>
      </c>
      <c r="B583" s="142" t="s">
        <v>530</v>
      </c>
      <c r="C583" s="142" t="s">
        <v>537</v>
      </c>
      <c r="D583" s="142" t="s">
        <v>168</v>
      </c>
      <c r="F583" s="168" t="s">
        <v>580</v>
      </c>
      <c r="G583" s="109" t="s">
        <v>3</v>
      </c>
      <c r="Z583" s="123">
        <v>-3.3299611005828123E-3</v>
      </c>
      <c r="AA583" s="123">
        <v>0.13792240729806582</v>
      </c>
      <c r="AB583" s="123">
        <v>-1.6097825731896331E-2</v>
      </c>
      <c r="AC583" s="123">
        <v>-2.4732708237298118E-2</v>
      </c>
      <c r="AD583" s="123">
        <v>0.17651656794507198</v>
      </c>
      <c r="AE583" s="123">
        <v>-0.21723584184397404</v>
      </c>
      <c r="AF583" s="123">
        <v>0.15261871704146968</v>
      </c>
      <c r="AG583" s="123">
        <v>-0.10586241308989996</v>
      </c>
      <c r="AH583" s="123">
        <v>3.150350937989943E-2</v>
      </c>
      <c r="AI583" s="123">
        <v>6.3405205685649779E-2</v>
      </c>
      <c r="AJ583" s="123">
        <v>4.1759020366418431E-2</v>
      </c>
      <c r="AK583" s="123">
        <v>5.577069131379897E-3</v>
      </c>
      <c r="AL583" s="123">
        <v>5.4242930187644589E-3</v>
      </c>
      <c r="AM583" s="123">
        <v>5.2710778979092598E-3</v>
      </c>
      <c r="AN583" s="123">
        <v>5.1178241902911648E-3</v>
      </c>
      <c r="AO583" s="123">
        <v>4.9649102738142936E-3</v>
      </c>
      <c r="AP583" s="123">
        <v>4.8126915763315736E-3</v>
      </c>
      <c r="AQ583" s="123">
        <v>4.6614999364027465E-3</v>
      </c>
      <c r="AR583" s="123">
        <v>4.5116432151219854E-3</v>
      </c>
      <c r="AS583" s="123">
        <v>4.3634051408305563E-3</v>
      </c>
      <c r="AT583" s="123">
        <v>4.2170453670919983E-3</v>
      </c>
      <c r="AU583" s="123">
        <v>4.072799723313425E-3</v>
      </c>
      <c r="AV583" s="123">
        <v>3.930880636928924E-3</v>
      </c>
      <c r="AW583" s="123">
        <v>3.7914777059715465E-3</v>
      </c>
      <c r="AX583" s="123">
        <v>3.654758401140823E-3</v>
      </c>
      <c r="AY583" s="123">
        <v>3.5208688770778096E-3</v>
      </c>
      <c r="AZ583" s="123">
        <v>3.5208688770778096E-3</v>
      </c>
      <c r="BA583" s="123">
        <v>3.5208688770778096E-3</v>
      </c>
      <c r="BB583" s="123">
        <v>3.5208688770778096E-3</v>
      </c>
      <c r="BC583" s="123">
        <f t="shared" si="207"/>
        <v>3.5208688770778096E-3</v>
      </c>
      <c r="BD583" s="123">
        <f t="shared" si="207"/>
        <v>3.5208688770778096E-3</v>
      </c>
      <c r="BE583" s="123">
        <f t="shared" si="207"/>
        <v>3.5208688770778096E-3</v>
      </c>
      <c r="BF583" s="123">
        <f t="shared" si="207"/>
        <v>3.5208688770778096E-3</v>
      </c>
      <c r="BG583" s="123">
        <f t="shared" si="207"/>
        <v>3.5208688770778096E-3</v>
      </c>
    </row>
    <row r="584" spans="1:59" ht="13.75" customHeight="1" outlineLevel="1">
      <c r="A584" s="141" t="s">
        <v>166</v>
      </c>
      <c r="B584" s="142" t="s">
        <v>530</v>
      </c>
      <c r="C584" s="142" t="s">
        <v>537</v>
      </c>
      <c r="D584" s="142" t="s">
        <v>377</v>
      </c>
      <c r="F584" s="168" t="s">
        <v>581</v>
      </c>
      <c r="G584" s="109" t="s">
        <v>3</v>
      </c>
      <c r="Z584" s="123">
        <v>-2.9793464113103907E-2</v>
      </c>
      <c r="AA584" s="123">
        <v>7.2205955206304573E-2</v>
      </c>
      <c r="AB584" s="123">
        <v>9.0944429488471368E-2</v>
      </c>
      <c r="AC584" s="123">
        <v>0.17263326754274377</v>
      </c>
      <c r="AD584" s="123">
        <v>0.29269173529089887</v>
      </c>
      <c r="AE584" s="123">
        <v>0.24596081103355538</v>
      </c>
      <c r="AF584" s="123">
        <v>6.8460103266909655E-4</v>
      </c>
      <c r="AG584" s="123">
        <v>-1.802741615485437E-3</v>
      </c>
      <c r="AH584" s="123">
        <v>1.1016023601913005E-2</v>
      </c>
      <c r="AI584" s="123">
        <v>3.7934517218586317E-2</v>
      </c>
      <c r="AJ584" s="123">
        <v>3.6530164742176074E-2</v>
      </c>
      <c r="AK584" s="123">
        <v>3.7077271065663053E-2</v>
      </c>
      <c r="AL584" s="123">
        <v>3.7612718385951149E-2</v>
      </c>
      <c r="AM584" s="123">
        <v>3.8136208426191587E-2</v>
      </c>
      <c r="AN584" s="123">
        <v>3.864748615427982E-2</v>
      </c>
      <c r="AO584" s="123">
        <v>3.9146338981823403E-2</v>
      </c>
      <c r="AP584" s="123">
        <v>3.9632595715547891E-2</v>
      </c>
      <c r="AQ584" s="123">
        <v>4.0106125287229677E-2</v>
      </c>
      <c r="AR584" s="123">
        <v>4.0566835289033154E-2</v>
      </c>
      <c r="AS584" s="123">
        <v>4.1014670341494863E-2</v>
      </c>
      <c r="AT584" s="123">
        <v>4.1449610321248054E-2</v>
      </c>
      <c r="AU584" s="123">
        <v>4.1871668475035317E-2</v>
      </c>
      <c r="AV584" s="123">
        <v>4.2280889445668102E-2</v>
      </c>
      <c r="AW584" s="123">
        <v>4.2677347234382212E-2</v>
      </c>
      <c r="AX584" s="123">
        <v>4.3061143122579137E-2</v>
      </c>
      <c r="AY584" s="123">
        <v>4.3432403574302558E-2</v>
      </c>
      <c r="AZ584" s="123">
        <v>4.3432403574302558E-2</v>
      </c>
      <c r="BA584" s="123">
        <v>4.3432403574302558E-2</v>
      </c>
      <c r="BB584" s="123">
        <v>4.3432403574302558E-2</v>
      </c>
      <c r="BC584" s="123">
        <f t="shared" si="207"/>
        <v>4.3432403574302558E-2</v>
      </c>
      <c r="BD584" s="123">
        <f t="shared" si="207"/>
        <v>4.3432403574302558E-2</v>
      </c>
      <c r="BE584" s="123">
        <f t="shared" si="207"/>
        <v>4.3432403574302558E-2</v>
      </c>
      <c r="BF584" s="123">
        <f t="shared" si="207"/>
        <v>4.3432403574302558E-2</v>
      </c>
      <c r="BG584" s="123">
        <f t="shared" si="207"/>
        <v>4.3432403574302558E-2</v>
      </c>
    </row>
    <row r="585" spans="1:59" ht="13.75" customHeight="1" outlineLevel="1">
      <c r="A585" s="141" t="s">
        <v>166</v>
      </c>
      <c r="B585" s="142" t="s">
        <v>530</v>
      </c>
      <c r="C585" s="142" t="s">
        <v>537</v>
      </c>
      <c r="D585" s="142" t="s">
        <v>168</v>
      </c>
      <c r="F585" s="168" t="s">
        <v>582</v>
      </c>
      <c r="Z585" s="123">
        <v>0.48251546153401548</v>
      </c>
      <c r="AA585" s="123">
        <v>0.44908693090970297</v>
      </c>
      <c r="AB585" s="123">
        <v>1.7935092966307575E-2</v>
      </c>
      <c r="AC585" s="123">
        <v>5.7107540173053195E-2</v>
      </c>
      <c r="AD585" s="123">
        <v>0.29510865654457796</v>
      </c>
      <c r="AE585" s="123">
        <v>-0.15234920304198352</v>
      </c>
      <c r="AF585" s="123">
        <v>0.22185358893811191</v>
      </c>
      <c r="AG585" s="123">
        <v>-0.13679041041373496</v>
      </c>
      <c r="AH585" s="123">
        <v>1.6842994782897192E-2</v>
      </c>
      <c r="AI585" s="123">
        <v>3.9927409712223083E-2</v>
      </c>
      <c r="AJ585" s="123">
        <v>2.5901288779932363E-2</v>
      </c>
      <c r="AK585" s="123">
        <v>2.4278074363749846E-2</v>
      </c>
      <c r="AL585" s="123">
        <v>2.3205426129778051E-2</v>
      </c>
      <c r="AM585" s="123">
        <v>2.2180095346201023E-2</v>
      </c>
      <c r="AN585" s="123">
        <v>2.1199529878058065E-2</v>
      </c>
      <c r="AO585" s="123">
        <v>2.0261410521587475E-2</v>
      </c>
      <c r="AP585" s="123">
        <v>1.9363619283667033E-2</v>
      </c>
      <c r="AQ585" s="123">
        <v>1.8504212454972135E-2</v>
      </c>
      <c r="AR585" s="123">
        <v>1.7681397722057568E-2</v>
      </c>
      <c r="AS585" s="123">
        <v>1.6893514692939648E-2</v>
      </c>
      <c r="AT585" s="123">
        <v>1.6139018315103115E-2</v>
      </c>
      <c r="AU585" s="123">
        <v>1.5416464749596681E-2</v>
      </c>
      <c r="AV585" s="123">
        <v>1.4724499334172192E-2</v>
      </c>
      <c r="AW585" s="123">
        <v>1.4061846325366556E-2</v>
      </c>
      <c r="AX585" s="123">
        <v>1.3427300156628963E-2</v>
      </c>
      <c r="AY585" s="123">
        <v>1.2819717988823198E-2</v>
      </c>
      <c r="AZ585" s="123">
        <v>1.2819717988823198E-2</v>
      </c>
      <c r="BA585" s="123">
        <v>1.2819717988823198E-2</v>
      </c>
      <c r="BB585" s="123">
        <v>1.2819717988823198E-2</v>
      </c>
      <c r="BC585" s="123">
        <f t="shared" si="207"/>
        <v>1.2819717988823198E-2</v>
      </c>
      <c r="BD585" s="123">
        <f t="shared" si="207"/>
        <v>1.2819717988823198E-2</v>
      </c>
      <c r="BE585" s="123">
        <f t="shared" si="207"/>
        <v>1.2819717988823198E-2</v>
      </c>
      <c r="BF585" s="123">
        <f t="shared" si="207"/>
        <v>1.2819717988823198E-2</v>
      </c>
      <c r="BG585" s="123">
        <f t="shared" si="207"/>
        <v>1.2819717988823198E-2</v>
      </c>
    </row>
    <row r="586" spans="1:59" ht="13.75" customHeight="1" outlineLevel="1">
      <c r="A586" s="141" t="s">
        <v>166</v>
      </c>
      <c r="B586" s="142" t="s">
        <v>530</v>
      </c>
      <c r="C586" s="142" t="s">
        <v>537</v>
      </c>
      <c r="D586" s="142" t="s">
        <v>377</v>
      </c>
      <c r="F586" s="168" t="s">
        <v>583</v>
      </c>
      <c r="Z586" s="123">
        <v>-1.2027357856432386E-2</v>
      </c>
      <c r="AA586" s="123">
        <v>5.8743262987340561E-2</v>
      </c>
      <c r="AB586" s="123">
        <v>0.16248794340150852</v>
      </c>
      <c r="AC586" s="123">
        <v>0.22457006049217587</v>
      </c>
      <c r="AD586" s="123">
        <v>0.26220347263749333</v>
      </c>
      <c r="AE586" s="123">
        <v>6.9578874458237072E-2</v>
      </c>
      <c r="AF586" s="123">
        <v>2.4543335073936579E-3</v>
      </c>
      <c r="AG586" s="123">
        <v>-2.0345604016831498E-3</v>
      </c>
      <c r="AH586" s="123">
        <v>1.0847316820223218E-2</v>
      </c>
      <c r="AI586" s="123">
        <v>3.7359796727597816E-2</v>
      </c>
      <c r="AJ586" s="123">
        <v>3.5996652562582554E-2</v>
      </c>
      <c r="AK586" s="123">
        <v>3.6554583561593246E-2</v>
      </c>
      <c r="AL586" s="123">
        <v>3.7101181563468755E-2</v>
      </c>
      <c r="AM586" s="123">
        <v>3.763610645941351E-2</v>
      </c>
      <c r="AN586" s="123">
        <v>3.8159061896858359E-2</v>
      </c>
      <c r="AO586" s="123">
        <v>3.8669794738154684E-2</v>
      </c>
      <c r="AP586" s="123">
        <v>3.9168094248067442E-2</v>
      </c>
      <c r="AQ586" s="123">
        <v>3.9653791034837349E-2</v>
      </c>
      <c r="AR586" s="123">
        <v>4.0126755770939271E-2</v>
      </c>
      <c r="AS586" s="123">
        <v>4.0586897720451098E-2</v>
      </c>
      <c r="AT586" s="123">
        <v>4.1034163100269083E-2</v>
      </c>
      <c r="AU586" s="123">
        <v>4.1468533302250199E-2</v>
      </c>
      <c r="AV586" s="123">
        <v>4.1890023002802312E-2</v>
      </c>
      <c r="AW586" s="123">
        <v>4.2298678185526128E-2</v>
      </c>
      <c r="AX586" s="123">
        <v>4.2694574101299843E-2</v>
      </c>
      <c r="AY586" s="123">
        <v>4.307781318873305E-2</v>
      </c>
      <c r="AZ586" s="123">
        <v>4.307781318873305E-2</v>
      </c>
      <c r="BA586" s="123">
        <v>4.307781318873305E-2</v>
      </c>
      <c r="BB586" s="123">
        <v>4.307781318873305E-2</v>
      </c>
      <c r="BC586" s="123">
        <f t="shared" si="207"/>
        <v>4.307781318873305E-2</v>
      </c>
      <c r="BD586" s="123">
        <f t="shared" si="207"/>
        <v>4.307781318873305E-2</v>
      </c>
      <c r="BE586" s="123">
        <f t="shared" si="207"/>
        <v>4.307781318873305E-2</v>
      </c>
      <c r="BF586" s="123">
        <f t="shared" si="207"/>
        <v>4.307781318873305E-2</v>
      </c>
      <c r="BG586" s="123">
        <f t="shared" si="207"/>
        <v>4.307781318873305E-2</v>
      </c>
    </row>
    <row r="587" spans="1:59" ht="13.75" customHeight="1" outlineLevel="1">
      <c r="A587" s="141" t="s">
        <v>166</v>
      </c>
      <c r="B587" s="142" t="s">
        <v>530</v>
      </c>
      <c r="C587" s="142" t="s">
        <v>537</v>
      </c>
      <c r="D587" s="142" t="s">
        <v>168</v>
      </c>
      <c r="F587" s="168" t="s">
        <v>584</v>
      </c>
      <c r="Z587" s="123">
        <v>2.5700579565434367E-2</v>
      </c>
      <c r="AA587" s="123">
        <v>-9.7009713668973374E-2</v>
      </c>
      <c r="AB587" s="123">
        <v>-4.1751622958119516E-2</v>
      </c>
      <c r="AC587" s="123">
        <v>-7.4350351574442586E-3</v>
      </c>
      <c r="AD587" s="123">
        <v>0.43297152783766801</v>
      </c>
      <c r="AE587" s="123">
        <v>-0.30334451036024412</v>
      </c>
      <c r="AF587" s="123">
        <v>-0.1420308962039295</v>
      </c>
      <c r="AG587" s="123">
        <v>-4.9849109019436844E-2</v>
      </c>
      <c r="AH587" s="123">
        <v>6.9237294810661432E-2</v>
      </c>
      <c r="AI587" s="123">
        <v>6.8994955145691428E-2</v>
      </c>
      <c r="AJ587" s="123">
        <v>0</v>
      </c>
      <c r="AK587" s="123">
        <v>0</v>
      </c>
      <c r="AL587" s="123">
        <v>0</v>
      </c>
      <c r="AM587" s="123">
        <v>0</v>
      </c>
      <c r="AN587" s="123">
        <v>0</v>
      </c>
      <c r="AO587" s="123">
        <v>0</v>
      </c>
      <c r="AP587" s="123">
        <v>0</v>
      </c>
      <c r="AQ587" s="123">
        <v>0</v>
      </c>
      <c r="AR587" s="123">
        <v>0</v>
      </c>
      <c r="AS587" s="123">
        <v>0</v>
      </c>
      <c r="AT587" s="123">
        <v>0</v>
      </c>
      <c r="AU587" s="123">
        <v>0</v>
      </c>
      <c r="AV587" s="123">
        <v>0</v>
      </c>
      <c r="AW587" s="123">
        <v>0</v>
      </c>
      <c r="AX587" s="123">
        <v>0</v>
      </c>
      <c r="AY587" s="123">
        <v>0</v>
      </c>
      <c r="AZ587" s="123">
        <v>0</v>
      </c>
      <c r="BA587" s="123">
        <v>0</v>
      </c>
      <c r="BB587" s="123">
        <v>0</v>
      </c>
      <c r="BC587" s="123">
        <v>0</v>
      </c>
      <c r="BD587" s="123">
        <v>0</v>
      </c>
      <c r="BE587" s="123">
        <v>0</v>
      </c>
      <c r="BF587" s="123">
        <v>0</v>
      </c>
      <c r="BG587" s="123">
        <v>0</v>
      </c>
    </row>
    <row r="588" spans="1:59" ht="13.75" customHeight="1" outlineLevel="1">
      <c r="A588" s="141" t="s">
        <v>166</v>
      </c>
      <c r="B588" s="142" t="s">
        <v>530</v>
      </c>
      <c r="C588" s="142" t="s">
        <v>537</v>
      </c>
      <c r="D588" s="142" t="s">
        <v>377</v>
      </c>
      <c r="F588" s="168" t="s">
        <v>585</v>
      </c>
      <c r="Z588" s="123">
        <v>8.3000000000000001E-3</v>
      </c>
      <c r="AA588" s="123">
        <v>5.315383809287999E-2</v>
      </c>
      <c r="AB588" s="123">
        <v>0.11207899456446047</v>
      </c>
      <c r="AC588" s="123">
        <v>0.19952814736283075</v>
      </c>
      <c r="AD588" s="123">
        <v>0.27883746730684811</v>
      </c>
      <c r="AE588" s="123">
        <v>0.16698338562776094</v>
      </c>
      <c r="AF588" s="123">
        <v>-5.7162384374570219E-2</v>
      </c>
      <c r="AG588" s="123">
        <v>-3.4753153739249809E-3</v>
      </c>
      <c r="AH588" s="123">
        <v>1.2213899730816324E-2</v>
      </c>
      <c r="AI588" s="123">
        <v>4.2009720874808698E-2</v>
      </c>
      <c r="AJ588" s="123">
        <v>4.0296288752055487E-2</v>
      </c>
      <c r="AK588" s="123">
        <v>4.0751732540422303E-2</v>
      </c>
      <c r="AL588" s="123">
        <v>4.1194288983712468E-2</v>
      </c>
      <c r="AM588" s="123">
        <v>4.162395185349399E-2</v>
      </c>
      <c r="AN588" s="123">
        <v>4.2040747492519959E-2</v>
      </c>
      <c r="AO588" s="123">
        <v>4.2444732811774522E-2</v>
      </c>
      <c r="AP588" s="123">
        <v>4.2835993233504732E-2</v>
      </c>
      <c r="AQ588" s="123">
        <v>4.3214640602597054E-2</v>
      </c>
      <c r="AR588" s="123">
        <v>4.3580811086915805E-2</v>
      </c>
      <c r="AS588" s="123">
        <v>4.3934663085399395E-2</v>
      </c>
      <c r="AT588" s="123">
        <v>4.4276375160816173E-2</v>
      </c>
      <c r="AU588" s="123">
        <v>4.4606144012114379E-2</v>
      </c>
      <c r="AV588" s="123">
        <v>4.4924182499402887E-2</v>
      </c>
      <c r="AW588" s="123">
        <v>4.5230717732675396E-2</v>
      </c>
      <c r="AX588" s="123">
        <v>4.5525989233587749E-2</v>
      </c>
      <c r="AY588" s="123">
        <v>4.5810247177841656E-2</v>
      </c>
      <c r="AZ588" s="123">
        <v>4.5810247177841656E-2</v>
      </c>
      <c r="BA588" s="123">
        <v>4.5810247177841656E-2</v>
      </c>
      <c r="BB588" s="123">
        <v>4.5810247177841656E-2</v>
      </c>
      <c r="BC588" s="123">
        <f t="shared" si="207"/>
        <v>4.5810247177841656E-2</v>
      </c>
      <c r="BD588" s="123">
        <f t="shared" si="207"/>
        <v>4.5810247177841656E-2</v>
      </c>
      <c r="BE588" s="123">
        <f t="shared" si="207"/>
        <v>4.5810247177841656E-2</v>
      </c>
      <c r="BF588" s="123">
        <f t="shared" si="207"/>
        <v>4.5810247177841656E-2</v>
      </c>
      <c r="BG588" s="123">
        <f t="shared" si="207"/>
        <v>4.5810247177841656E-2</v>
      </c>
    </row>
    <row r="589" spans="1:59" ht="13.75" customHeight="1" outlineLevel="1">
      <c r="A589" s="141" t="s">
        <v>166</v>
      </c>
      <c r="B589" s="142" t="s">
        <v>530</v>
      </c>
      <c r="C589" s="142" t="s">
        <v>537</v>
      </c>
      <c r="D589" s="142" t="s">
        <v>168</v>
      </c>
      <c r="F589" s="168" t="s">
        <v>586</v>
      </c>
      <c r="Z589" s="123">
        <v>9.4596474147223386E-2</v>
      </c>
      <c r="AA589" s="123">
        <v>0.41870105941962232</v>
      </c>
      <c r="AB589" s="123">
        <v>0.11496865203761764</v>
      </c>
      <c r="AC589" s="123">
        <v>-0.18614505618090349</v>
      </c>
      <c r="AD589" s="123">
        <v>-6.5279885504188728E-2</v>
      </c>
      <c r="AE589" s="123">
        <v>-0.18249736008447726</v>
      </c>
      <c r="AF589" s="123">
        <v>-0.11559580121197421</v>
      </c>
      <c r="AG589" s="123">
        <v>-8.6733451243717785E-2</v>
      </c>
      <c r="AH589" s="123">
        <v>3.2176626925756624E-2</v>
      </c>
      <c r="AI589" s="123">
        <v>5.5172125300110952E-2</v>
      </c>
      <c r="AJ589" s="123">
        <v>2.2471898213664465E-2</v>
      </c>
      <c r="AK589" s="123">
        <v>2.0961091916283925E-2</v>
      </c>
      <c r="AL589" s="123">
        <v>1.9943334399885604E-2</v>
      </c>
      <c r="AM589" s="123">
        <v>1.8977725591212247E-2</v>
      </c>
      <c r="AN589" s="123">
        <v>1.8061016381823336E-2</v>
      </c>
      <c r="AO589" s="123">
        <v>1.7190252074227308E-2</v>
      </c>
      <c r="AP589" s="123">
        <v>1.6362734719713057E-2</v>
      </c>
      <c r="AQ589" s="123">
        <v>1.5575991199896944E-2</v>
      </c>
      <c r="AR589" s="123">
        <v>1.482774609241555E-2</v>
      </c>
      <c r="AS589" s="123">
        <v>1.4115898535444815E-2</v>
      </c>
      <c r="AT589" s="123">
        <v>1.3438502445332512E-2</v>
      </c>
      <c r="AU589" s="123">
        <v>1.2793749553993816E-2</v>
      </c>
      <c r="AV589" s="123">
        <v>1.2179954823795081E-2</v>
      </c>
      <c r="AW589" s="123">
        <v>1.1595543871787406E-2</v>
      </c>
      <c r="AX589" s="123">
        <v>1.1039042095826623E-2</v>
      </c>
      <c r="AY589" s="123">
        <v>1.0509065245031701E-2</v>
      </c>
      <c r="AZ589" s="123">
        <v>1.0509065245031701E-2</v>
      </c>
      <c r="BA589" s="123">
        <v>1.0509065245031701E-2</v>
      </c>
      <c r="BB589" s="123">
        <v>1.0509065245031701E-2</v>
      </c>
      <c r="BC589" s="123">
        <f t="shared" si="207"/>
        <v>1.0509065245031701E-2</v>
      </c>
      <c r="BD589" s="123">
        <f t="shared" si="207"/>
        <v>1.0509065245031701E-2</v>
      </c>
      <c r="BE589" s="123">
        <f t="shared" si="207"/>
        <v>1.0509065245031701E-2</v>
      </c>
      <c r="BF589" s="123">
        <f t="shared" si="207"/>
        <v>1.0509065245031701E-2</v>
      </c>
      <c r="BG589" s="123">
        <f t="shared" si="207"/>
        <v>1.0509065245031701E-2</v>
      </c>
    </row>
    <row r="590" spans="1:59" ht="13.75" customHeight="1" outlineLevel="1">
      <c r="A590" s="141" t="s">
        <v>166</v>
      </c>
      <c r="B590" s="142" t="s">
        <v>530</v>
      </c>
      <c r="C590" s="142" t="s">
        <v>537</v>
      </c>
      <c r="D590" s="142" t="s">
        <v>377</v>
      </c>
      <c r="F590" s="168" t="s">
        <v>587</v>
      </c>
      <c r="Z590" s="123">
        <v>7.3363502287884241E-3</v>
      </c>
      <c r="AA590" s="123">
        <v>7.7996094415240469E-2</v>
      </c>
      <c r="AB590" s="123">
        <v>0.11273666302990182</v>
      </c>
      <c r="AC590" s="123">
        <v>0.18754164492381009</v>
      </c>
      <c r="AD590" s="123">
        <v>0.33081671194165563</v>
      </c>
      <c r="AE590" s="123">
        <v>0.21794652266472547</v>
      </c>
      <c r="AF590" s="123">
        <v>-6.7368013667747917E-2</v>
      </c>
      <c r="AG590" s="123">
        <v>-3.5514494251328577E-3</v>
      </c>
      <c r="AH590" s="123">
        <v>1.217494735138458E-2</v>
      </c>
      <c r="AI590" s="123">
        <v>4.1877355664554194E-2</v>
      </c>
      <c r="AJ590" s="123">
        <v>4.0174425571527506E-2</v>
      </c>
      <c r="AK590" s="123">
        <v>4.0633251907819634E-2</v>
      </c>
      <c r="AL590" s="123">
        <v>4.1079198186239507E-2</v>
      </c>
      <c r="AM590" s="123">
        <v>4.1512249292656955E-2</v>
      </c>
      <c r="AN590" s="123">
        <v>4.1932423198750346E-2</v>
      </c>
      <c r="AO590" s="123">
        <v>4.2339768977149417E-2</v>
      </c>
      <c r="AP590" s="123">
        <v>4.273436475643777E-2</v>
      </c>
      <c r="AQ590" s="123">
        <v>4.31163156387806E-2</v>
      </c>
      <c r="AR590" s="123">
        <v>4.3485751601266553E-2</v>
      </c>
      <c r="AS590" s="123">
        <v>4.3842825400249641E-2</v>
      </c>
      <c r="AT590" s="123">
        <v>4.4187710496093491E-2</v>
      </c>
      <c r="AU590" s="123">
        <v>4.4520599013775586E-2</v>
      </c>
      <c r="AV590" s="123">
        <v>4.4841699752875774E-2</v>
      </c>
      <c r="AW590" s="123">
        <v>4.515123625856976E-2</v>
      </c>
      <c r="AX590" s="123">
        <v>4.5449444963400643E-2</v>
      </c>
      <c r="AY590" s="123">
        <v>4.5736573407832992E-2</v>
      </c>
      <c r="AZ590" s="123">
        <v>4.5736573407832992E-2</v>
      </c>
      <c r="BA590" s="123">
        <v>4.5736573407832992E-2</v>
      </c>
      <c r="BB590" s="123">
        <v>4.5736573407832992E-2</v>
      </c>
      <c r="BC590" s="123">
        <f t="shared" si="207"/>
        <v>4.5736573407832992E-2</v>
      </c>
      <c r="BD590" s="123">
        <f t="shared" si="207"/>
        <v>4.5736573407832992E-2</v>
      </c>
      <c r="BE590" s="123">
        <f t="shared" si="207"/>
        <v>4.5736573407832992E-2</v>
      </c>
      <c r="BF590" s="123">
        <f t="shared" si="207"/>
        <v>4.5736573407832992E-2</v>
      </c>
      <c r="BG590" s="123">
        <f t="shared" si="207"/>
        <v>4.5736573407832992E-2</v>
      </c>
    </row>
    <row r="591" spans="1:59" ht="13.75" customHeight="1" outlineLevel="1">
      <c r="A591" s="141" t="s">
        <v>166</v>
      </c>
      <c r="B591" s="142" t="s">
        <v>530</v>
      </c>
      <c r="C591" s="142" t="s">
        <v>537</v>
      </c>
      <c r="D591" s="142" t="s">
        <v>377</v>
      </c>
      <c r="F591" s="168" t="s">
        <v>588</v>
      </c>
      <c r="AA591" s="123">
        <v>7.5681639297942027E-4</v>
      </c>
      <c r="AB591" s="123">
        <v>0.11429368485797742</v>
      </c>
      <c r="AC591" s="123">
        <v>0.19437875533891558</v>
      </c>
      <c r="AD591" s="123">
        <v>9.6226986892946398E-2</v>
      </c>
      <c r="AE591" s="123">
        <v>0.17027093891131173</v>
      </c>
      <c r="AF591" s="123">
        <v>2.2675403157631724E-2</v>
      </c>
      <c r="AG591" s="123">
        <v>2.4284636747028854E-2</v>
      </c>
      <c r="AH591" s="123">
        <v>4.2528326609100553E-2</v>
      </c>
      <c r="AI591" s="123">
        <v>4.0232354561074768E-2</v>
      </c>
      <c r="AJ591" s="123">
        <v>4.1579758181692794E-2</v>
      </c>
      <c r="AK591" s="123">
        <v>4.1997893166078715E-2</v>
      </c>
      <c r="AL591" s="123">
        <v>4.2403210530366886E-2</v>
      </c>
      <c r="AM591" s="123">
        <v>4.2795792821473055E-2</v>
      </c>
      <c r="AN591" s="123">
        <v>4.3175749227559512E-2</v>
      </c>
      <c r="AO591" s="123">
        <v>4.3543213478614451E-2</v>
      </c>
      <c r="AP591" s="123">
        <v>4.3898341752919734E-2</v>
      </c>
      <c r="AQ591" s="123">
        <v>4.4241310606501383E-2</v>
      </c>
      <c r="AR591" s="123">
        <v>4.4572314940714675E-2</v>
      </c>
      <c r="AS591" s="123">
        <v>4.4891566021180607E-2</v>
      </c>
      <c r="AT591" s="123">
        <v>4.5199289559406219E-2</v>
      </c>
      <c r="AU591" s="123">
        <v>4.5495723866556759E-2</v>
      </c>
      <c r="AV591" s="123">
        <v>4.5781118087135031E-2</v>
      </c>
      <c r="AW591" s="123">
        <v>4.6055730518648419E-2</v>
      </c>
      <c r="AX591" s="123">
        <v>4.6319827021827908E-2</v>
      </c>
      <c r="AY591" s="123">
        <v>4.6573679524567035E-2</v>
      </c>
      <c r="AZ591" s="123">
        <v>4.6573679524567035E-2</v>
      </c>
      <c r="BA591" s="123">
        <v>4.6573679524567035E-2</v>
      </c>
      <c r="BB591" s="123">
        <v>4.6573679524567035E-2</v>
      </c>
      <c r="BC591" s="123">
        <f t="shared" si="207"/>
        <v>4.6573679524567035E-2</v>
      </c>
      <c r="BD591" s="123">
        <f t="shared" si="207"/>
        <v>4.6573679524567035E-2</v>
      </c>
      <c r="BE591" s="123">
        <f t="shared" si="207"/>
        <v>4.6573679524567035E-2</v>
      </c>
      <c r="BF591" s="123">
        <f t="shared" si="207"/>
        <v>4.6573679524567035E-2</v>
      </c>
      <c r="BG591" s="123">
        <f t="shared" si="207"/>
        <v>4.6573679524567035E-2</v>
      </c>
    </row>
    <row r="592" spans="1:59" ht="13.75" customHeight="1" outlineLevel="1">
      <c r="A592" s="141" t="s">
        <v>166</v>
      </c>
      <c r="B592" s="142" t="s">
        <v>530</v>
      </c>
      <c r="C592" s="142" t="s">
        <v>537</v>
      </c>
      <c r="D592" s="142" t="s">
        <v>377</v>
      </c>
      <c r="F592" s="168" t="s">
        <v>589</v>
      </c>
      <c r="Z592" s="123">
        <v>-0.11329474024199371</v>
      </c>
      <c r="AA592" s="123">
        <v>-0.15663089467342861</v>
      </c>
      <c r="AB592" s="123">
        <v>-8.2394763945646154E-2</v>
      </c>
      <c r="AC592" s="123">
        <v>-0.19790723777109953</v>
      </c>
      <c r="AD592" s="123">
        <v>-2.708436780571466E-2</v>
      </c>
      <c r="AE592" s="123">
        <v>7.9756878392799102E-2</v>
      </c>
      <c r="AF592" s="123">
        <v>-9.2635575194612962E-2</v>
      </c>
      <c r="AG592" s="123">
        <v>-9.1495769911888902E-2</v>
      </c>
      <c r="AH592" s="123">
        <v>3.217662692575618E-2</v>
      </c>
      <c r="AI592" s="123">
        <v>5.5172125300111174E-2</v>
      </c>
      <c r="AJ592" s="123">
        <v>2.2471898213664243E-2</v>
      </c>
      <c r="AK592" s="123">
        <v>2.0961091916284147E-2</v>
      </c>
      <c r="AL592" s="123">
        <v>1.9943334399885382E-2</v>
      </c>
      <c r="AM592" s="123">
        <v>1.8977725591212691E-2</v>
      </c>
      <c r="AN592" s="123">
        <v>1.8061016381823114E-2</v>
      </c>
      <c r="AO592" s="123">
        <v>1.7190252074227308E-2</v>
      </c>
      <c r="AP592" s="123">
        <v>1.6362734719713057E-2</v>
      </c>
      <c r="AQ592" s="123">
        <v>1.5575991199897166E-2</v>
      </c>
      <c r="AR592" s="123">
        <v>1.482774609241555E-2</v>
      </c>
      <c r="AS592" s="123">
        <v>1.4115898535445037E-2</v>
      </c>
      <c r="AT592" s="123">
        <v>1.3438502445332512E-2</v>
      </c>
      <c r="AU592" s="123">
        <v>1.2793749553993816E-2</v>
      </c>
      <c r="AV592" s="123">
        <v>1.2179954823795081E-2</v>
      </c>
      <c r="AW592" s="123">
        <v>1.1595543871787184E-2</v>
      </c>
      <c r="AX592" s="123">
        <v>1.1039042095826623E-2</v>
      </c>
      <c r="AY592" s="123">
        <v>1.0509065245031701E-2</v>
      </c>
      <c r="AZ592" s="123">
        <v>1.0509065245031701E-2</v>
      </c>
      <c r="BA592" s="123">
        <v>1.0509065245031701E-2</v>
      </c>
      <c r="BB592" s="123">
        <v>1.0509065245031701E-2</v>
      </c>
      <c r="BC592" s="123">
        <f t="shared" si="207"/>
        <v>1.0509065245031701E-2</v>
      </c>
      <c r="BD592" s="123">
        <f t="shared" si="207"/>
        <v>1.0509065245031701E-2</v>
      </c>
      <c r="BE592" s="123">
        <f t="shared" si="207"/>
        <v>1.0509065245031701E-2</v>
      </c>
      <c r="BF592" s="123">
        <f t="shared" si="207"/>
        <v>1.0509065245031701E-2</v>
      </c>
      <c r="BG592" s="123">
        <f t="shared" si="207"/>
        <v>1.0509065245031701E-2</v>
      </c>
    </row>
    <row r="593" spans="1:59" ht="13.75" customHeight="1" outlineLevel="1">
      <c r="A593" s="141" t="s">
        <v>166</v>
      </c>
      <c r="B593" s="142" t="s">
        <v>530</v>
      </c>
      <c r="C593" s="142" t="s">
        <v>537</v>
      </c>
      <c r="D593" s="142" t="s">
        <v>377</v>
      </c>
      <c r="F593" s="168" t="s">
        <v>590</v>
      </c>
      <c r="W593" s="109"/>
      <c r="X593" s="109"/>
      <c r="Y593" s="109"/>
      <c r="Z593" s="107"/>
      <c r="AA593" s="107"/>
      <c r="AB593" s="123">
        <v>6.0378981257698916E-2</v>
      </c>
      <c r="AC593" s="123">
        <v>0.21969014465760606</v>
      </c>
      <c r="AD593" s="123">
        <v>0.25939544093362743</v>
      </c>
      <c r="AE593" s="123">
        <v>0.21794652266472547</v>
      </c>
      <c r="AF593" s="123">
        <v>-7.1871164139968746E-2</v>
      </c>
      <c r="AG593" s="123">
        <v>-4.0998223400529055E-3</v>
      </c>
      <c r="AH593" s="123">
        <v>1.2430026811188322E-2</v>
      </c>
      <c r="AI593" s="123">
        <v>4.2743963537391849E-2</v>
      </c>
      <c r="AJ593" s="123">
        <v>4.0971713834981882E-2</v>
      </c>
      <c r="AK593" s="123">
        <v>4.1407906941499428E-2</v>
      </c>
      <c r="AL593" s="123">
        <v>4.183121552512592E-2</v>
      </c>
      <c r="AM593" s="123">
        <v>4.224168126604666E-2</v>
      </c>
      <c r="AN593" s="123">
        <v>4.2639375403034085E-2</v>
      </c>
      <c r="AO593" s="123">
        <v>4.3024396658173147E-2</v>
      </c>
      <c r="AP593" s="123">
        <v>4.3396869140321703E-2</v>
      </c>
      <c r="AQ593" s="123">
        <v>4.3756940247046794E-2</v>
      </c>
      <c r="AR593" s="123">
        <v>4.4104778582899407E-2</v>
      </c>
      <c r="AS593" s="123">
        <v>4.4440571909956317E-2</v>
      </c>
      <c r="AT593" s="123">
        <v>4.4764525144633138E-2</v>
      </c>
      <c r="AU593" s="123">
        <v>4.507685841284359E-2</v>
      </c>
      <c r="AV593" s="123">
        <v>4.5377805173716812E-2</v>
      </c>
      <c r="AW593" s="123">
        <v>4.5667610420306204E-2</v>
      </c>
      <c r="AX593" s="123">
        <v>4.5946528964030842E-2</v>
      </c>
      <c r="AY593" s="123">
        <v>4.6214823808009342E-2</v>
      </c>
      <c r="AZ593" s="123">
        <v>4.6214823808009342E-2</v>
      </c>
      <c r="BA593" s="123">
        <v>4.6214823808009342E-2</v>
      </c>
      <c r="BB593" s="123">
        <v>4.6214823808009342E-2</v>
      </c>
      <c r="BC593" s="123">
        <f>BB593</f>
        <v>4.6214823808009342E-2</v>
      </c>
      <c r="BD593" s="123">
        <f t="shared" ref="BD593:BG593" si="208">BC593</f>
        <v>4.6214823808009342E-2</v>
      </c>
      <c r="BE593" s="123">
        <f t="shared" si="208"/>
        <v>4.6214823808009342E-2</v>
      </c>
      <c r="BF593" s="123">
        <f t="shared" si="208"/>
        <v>4.6214823808009342E-2</v>
      </c>
      <c r="BG593" s="123">
        <f t="shared" si="208"/>
        <v>4.6214823808009342E-2</v>
      </c>
    </row>
    <row r="594" spans="1:59" ht="13.75" customHeight="1" outlineLevel="1">
      <c r="A594" s="141" t="s">
        <v>166</v>
      </c>
      <c r="B594" s="142" t="s">
        <v>530</v>
      </c>
      <c r="C594" s="142" t="s">
        <v>537</v>
      </c>
      <c r="D594" s="142" t="s">
        <v>377</v>
      </c>
      <c r="F594" s="168" t="s">
        <v>591</v>
      </c>
      <c r="W594" s="109"/>
      <c r="X594" s="109"/>
      <c r="Y594" s="109"/>
      <c r="Z594" s="109"/>
      <c r="AA594" s="109"/>
      <c r="AB594" s="109"/>
      <c r="AC594" s="109"/>
      <c r="AD594" s="109"/>
      <c r="AE594" s="123">
        <v>0.21991232099322433</v>
      </c>
      <c r="AF594" s="123">
        <v>4.0251928588409092E-2</v>
      </c>
      <c r="AG594" s="123">
        <v>-1.8098977292535512E-4</v>
      </c>
      <c r="AH594" s="123">
        <v>1.077108616949074E-2</v>
      </c>
      <c r="AI594" s="123">
        <v>3.7100044669875709E-2</v>
      </c>
      <c r="AJ594" s="123">
        <v>3.5755331096331E-2</v>
      </c>
      <c r="AK594" s="123">
        <v>3.6317981511979625E-2</v>
      </c>
      <c r="AL594" s="123">
        <v>3.6869457375565684E-2</v>
      </c>
      <c r="AM594" s="123">
        <v>3.7409399822480705E-2</v>
      </c>
      <c r="AN594" s="123">
        <v>3.7937493887003404E-2</v>
      </c>
      <c r="AO594" s="123">
        <v>3.8453468083758491E-2</v>
      </c>
      <c r="AP594" s="123">
        <v>3.895709370794509E-2</v>
      </c>
      <c r="AQ594" s="123">
        <v>3.944818387838156E-2</v>
      </c>
      <c r="AR594" s="123">
        <v>3.9926592348966894E-2</v>
      </c>
      <c r="AS594" s="123">
        <v>4.0392212115209158E-2</v>
      </c>
      <c r="AT594" s="123">
        <v>4.0844973842978805E-2</v>
      </c>
      <c r="AU594" s="123">
        <v>4.128484414668443E-2</v>
      </c>
      <c r="AV594" s="123">
        <v>4.1711823743671772E-2</v>
      </c>
      <c r="AW594" s="123">
        <v>4.2125945510894214E-2</v>
      </c>
      <c r="AX594" s="123">
        <v>4.2527272468785515E-2</v>
      </c>
      <c r="AY594" s="123">
        <v>4.2915895715913477E-2</v>
      </c>
      <c r="AZ594" s="123">
        <v>4.2915895715913477E-2</v>
      </c>
      <c r="BA594" s="123">
        <v>4.2915895715913477E-2</v>
      </c>
      <c r="BB594" s="123">
        <v>4.2915895715913477E-2</v>
      </c>
      <c r="BC594" s="123">
        <f t="shared" si="207"/>
        <v>4.2915895715913477E-2</v>
      </c>
      <c r="BD594" s="123">
        <f t="shared" si="207"/>
        <v>4.2915895715913477E-2</v>
      </c>
      <c r="BE594" s="123">
        <f t="shared" si="207"/>
        <v>4.2915895715913477E-2</v>
      </c>
      <c r="BF594" s="123">
        <f t="shared" si="207"/>
        <v>4.2915895715913477E-2</v>
      </c>
      <c r="BG594" s="123">
        <f t="shared" si="207"/>
        <v>4.2915895715913477E-2</v>
      </c>
    </row>
    <row r="595" spans="1:59" ht="13.75" customHeight="1" outlineLevel="1">
      <c r="F595" s="168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</row>
    <row r="596" spans="1:59" ht="13.75" customHeight="1" outlineLevel="1">
      <c r="F596" s="168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</row>
    <row r="597" spans="1:59" ht="13.75" customHeight="1" outlineLevel="1">
      <c r="F597" s="168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</row>
    <row r="598" spans="1:59" ht="13.75" customHeight="1" outlineLevel="1">
      <c r="F598" s="168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</row>
    <row r="599" spans="1:59" ht="13.75" customHeight="1" outlineLevel="1">
      <c r="A599" s="177" t="s">
        <v>166</v>
      </c>
      <c r="B599" s="178" t="s">
        <v>530</v>
      </c>
      <c r="C599" s="179" t="s">
        <v>543</v>
      </c>
      <c r="D599" s="178" t="s">
        <v>377</v>
      </c>
      <c r="E599" s="124"/>
      <c r="F599" s="180" t="s">
        <v>592</v>
      </c>
      <c r="G599" s="124" t="s">
        <v>3</v>
      </c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3">
        <v>6.2210915288542508E-2</v>
      </c>
      <c r="AF599" s="123">
        <v>6.468104623202886E-2</v>
      </c>
      <c r="AG599" s="123">
        <v>6.4710248509577961E-2</v>
      </c>
      <c r="AH599" s="123">
        <v>6.0489658253894185E-2</v>
      </c>
      <c r="AI599" s="123">
        <v>0.06</v>
      </c>
      <c r="AJ599" s="123">
        <v>0.06</v>
      </c>
      <c r="AK599" s="123">
        <v>0.06</v>
      </c>
      <c r="AL599" s="123">
        <v>0.06</v>
      </c>
      <c r="AM599" s="123">
        <v>0.06</v>
      </c>
      <c r="AN599" s="123">
        <v>0.06</v>
      </c>
      <c r="AO599" s="123">
        <v>0.06</v>
      </c>
      <c r="AP599" s="123">
        <v>0.06</v>
      </c>
      <c r="AQ599" s="123">
        <v>0.06</v>
      </c>
      <c r="AR599" s="123">
        <v>0.06</v>
      </c>
      <c r="AS599" s="123">
        <v>0.06</v>
      </c>
      <c r="AT599" s="123">
        <v>0.06</v>
      </c>
      <c r="AU599" s="123">
        <v>0.06</v>
      </c>
      <c r="AV599" s="123">
        <v>0.06</v>
      </c>
      <c r="AW599" s="123">
        <v>0.06</v>
      </c>
      <c r="AX599" s="123">
        <v>0.06</v>
      </c>
      <c r="AY599" s="123">
        <v>0.06</v>
      </c>
      <c r="AZ599" s="123">
        <v>0.06</v>
      </c>
      <c r="BA599" s="123">
        <v>0.06</v>
      </c>
      <c r="BB599" s="123">
        <v>0.06</v>
      </c>
      <c r="BC599" s="123">
        <f t="shared" si="207"/>
        <v>0.06</v>
      </c>
      <c r="BD599" s="123">
        <f t="shared" si="207"/>
        <v>0.06</v>
      </c>
      <c r="BE599" s="123">
        <f t="shared" si="207"/>
        <v>0.06</v>
      </c>
      <c r="BF599" s="123">
        <f t="shared" si="207"/>
        <v>0.06</v>
      </c>
      <c r="BG599" s="123">
        <f t="shared" si="207"/>
        <v>0.06</v>
      </c>
    </row>
    <row r="600" spans="1:59" ht="13.75" customHeight="1" outlineLevel="1">
      <c r="C600" s="170"/>
      <c r="F600" s="168"/>
      <c r="W600" s="109"/>
      <c r="X600" s="109"/>
      <c r="Y600" s="109"/>
      <c r="Z600" s="109"/>
      <c r="AA600" s="109"/>
      <c r="AB600" s="109"/>
      <c r="AC600" s="109"/>
      <c r="AD600" s="109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</row>
    <row r="601" spans="1:59" ht="13.75" customHeight="1" outlineLevel="1">
      <c r="C601" s="170"/>
      <c r="F601" s="168"/>
      <c r="W601" s="109"/>
      <c r="X601" s="109"/>
      <c r="Y601" s="109"/>
      <c r="Z601" s="109"/>
      <c r="AA601" s="109"/>
      <c r="AB601" s="109"/>
      <c r="AC601" s="109"/>
      <c r="AD601" s="109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</row>
    <row r="602" spans="1:59" ht="13.75" customHeight="1" outlineLevel="1">
      <c r="C602" s="170"/>
      <c r="F602" s="168"/>
      <c r="W602" s="109"/>
      <c r="X602" s="109"/>
      <c r="Y602" s="109"/>
      <c r="Z602" s="109"/>
      <c r="AA602" s="109"/>
      <c r="AB602" s="109"/>
      <c r="AC602" s="109"/>
      <c r="AD602" s="109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</row>
    <row r="603" spans="1:59" ht="13.75" customHeight="1" outlineLevel="1">
      <c r="C603" s="170"/>
      <c r="F603" s="168"/>
      <c r="W603" s="109"/>
      <c r="X603" s="109"/>
      <c r="Y603" s="109"/>
      <c r="Z603" s="109"/>
      <c r="AA603" s="109"/>
      <c r="AB603" s="109"/>
      <c r="AC603" s="109"/>
      <c r="AD603" s="109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</row>
    <row r="604" spans="1:59" ht="13.75" customHeight="1" outlineLevel="1">
      <c r="C604" s="170"/>
      <c r="F604" s="168"/>
      <c r="W604" s="109"/>
      <c r="X604" s="109"/>
      <c r="Y604" s="109"/>
      <c r="Z604" s="109"/>
      <c r="AA604" s="109"/>
      <c r="AB604" s="109"/>
      <c r="AC604" s="109"/>
      <c r="AD604" s="109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</row>
    <row r="605" spans="1:59" ht="13.75" customHeight="1" outlineLevel="1">
      <c r="C605" s="170"/>
      <c r="F605" s="168"/>
      <c r="W605" s="109"/>
      <c r="X605" s="109"/>
      <c r="Y605" s="109"/>
      <c r="Z605" s="109"/>
      <c r="AA605" s="109"/>
      <c r="AB605" s="109"/>
      <c r="AC605" s="109"/>
      <c r="AD605" s="109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</row>
    <row r="606" spans="1:59" ht="13.75" customHeight="1" outlineLevel="1">
      <c r="C606" s="170"/>
      <c r="F606" s="168"/>
      <c r="W606" s="109"/>
      <c r="X606" s="109"/>
      <c r="Y606" s="109"/>
      <c r="Z606" s="109"/>
      <c r="AA606" s="109"/>
      <c r="AB606" s="109"/>
      <c r="AC606" s="109"/>
      <c r="AD606" s="109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</row>
    <row r="607" spans="1:59" ht="13.75" customHeight="1" outlineLevel="1">
      <c r="C607" s="170"/>
      <c r="F607" s="168"/>
      <c r="W607" s="109"/>
      <c r="X607" s="109"/>
      <c r="Y607" s="109"/>
      <c r="Z607" s="109"/>
      <c r="AA607" s="109"/>
      <c r="AB607" s="109"/>
      <c r="AC607" s="109"/>
      <c r="AD607" s="109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</row>
    <row r="608" spans="1:59" ht="13.75" customHeight="1" outlineLevel="1">
      <c r="C608" s="170"/>
      <c r="F608" s="168"/>
      <c r="W608" s="109"/>
      <c r="X608" s="109"/>
      <c r="Y608" s="109"/>
      <c r="Z608" s="109"/>
      <c r="AA608" s="109"/>
      <c r="AB608" s="109"/>
      <c r="AC608" s="109"/>
      <c r="AD608" s="109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</row>
    <row r="609" spans="3:59" ht="13.75" customHeight="1" outlineLevel="1">
      <c r="C609" s="170"/>
      <c r="F609" s="168"/>
      <c r="W609" s="109"/>
      <c r="X609" s="109"/>
      <c r="Y609" s="109"/>
      <c r="Z609" s="109"/>
      <c r="AA609" s="109"/>
      <c r="AB609" s="109"/>
      <c r="AC609" s="109"/>
      <c r="AD609" s="109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</row>
    <row r="610" spans="3:59" ht="13.75" customHeight="1" outlineLevel="1">
      <c r="C610" s="170"/>
      <c r="F610" s="168"/>
      <c r="W610" s="109"/>
      <c r="X610" s="109"/>
      <c r="Y610" s="109"/>
      <c r="Z610" s="109"/>
      <c r="AA610" s="109"/>
      <c r="AB610" s="109"/>
      <c r="AC610" s="109"/>
      <c r="AD610" s="109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</row>
    <row r="611" spans="3:59" ht="13.75" customHeight="1" outlineLevel="1">
      <c r="C611" s="170"/>
      <c r="F611" s="168"/>
      <c r="W611" s="109"/>
      <c r="X611" s="109"/>
      <c r="Y611" s="109"/>
      <c r="Z611" s="109"/>
      <c r="AA611" s="109"/>
      <c r="AB611" s="109"/>
      <c r="AC611" s="109"/>
      <c r="AD611" s="109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</row>
    <row r="612" spans="3:59" ht="13.75" customHeight="1" outlineLevel="1">
      <c r="C612" s="170"/>
      <c r="F612" s="168"/>
      <c r="W612" s="109"/>
      <c r="X612" s="109"/>
      <c r="Y612" s="109"/>
      <c r="Z612" s="109"/>
      <c r="AA612" s="109"/>
      <c r="AB612" s="109"/>
      <c r="AC612" s="109"/>
      <c r="AD612" s="109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</row>
    <row r="613" spans="3:59" ht="13.75" customHeight="1" outlineLevel="1">
      <c r="C613" s="170"/>
      <c r="F613" s="168"/>
      <c r="W613" s="109"/>
      <c r="X613" s="109"/>
      <c r="Y613" s="109"/>
      <c r="Z613" s="109"/>
      <c r="AA613" s="109"/>
      <c r="AB613" s="109"/>
      <c r="AC613" s="109"/>
      <c r="AD613" s="109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</row>
    <row r="614" spans="3:59" ht="13.75" customHeight="1" outlineLevel="1">
      <c r="C614" s="170"/>
      <c r="F614" s="168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</row>
    <row r="615" spans="3:59" ht="13.75" customHeight="1" outlineLevel="1">
      <c r="C615" s="170"/>
      <c r="F615" s="168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</row>
    <row r="616" spans="3:59" ht="13.75" customHeight="1" outlineLevel="1">
      <c r="C616" s="170"/>
      <c r="F616" s="168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</row>
    <row r="617" spans="3:59" ht="13.75" customHeight="1" outlineLevel="1">
      <c r="C617" s="170"/>
      <c r="F617" s="168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</row>
    <row r="618" spans="3:59" ht="13.75" customHeight="1" outlineLevel="1">
      <c r="C618" s="170"/>
      <c r="F618" s="168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</row>
    <row r="619" spans="3:59" ht="13.75" customHeight="1" outlineLevel="1">
      <c r="C619" s="170"/>
      <c r="F619" s="168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</row>
    <row r="620" spans="3:59" ht="13.75" customHeight="1" outlineLevel="1">
      <c r="C620" s="170"/>
      <c r="F620" s="168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</row>
    <row r="621" spans="3:59" ht="13.75" customHeight="1" outlineLevel="1">
      <c r="C621" s="170"/>
      <c r="F621" s="168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</row>
    <row r="622" spans="3:59" ht="13.75" customHeight="1" outlineLevel="1">
      <c r="C622" s="170"/>
      <c r="F622" s="168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</row>
    <row r="623" spans="3:59" ht="13.75" customHeight="1" outlineLevel="1">
      <c r="C623" s="170"/>
      <c r="F623" s="168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</row>
    <row r="624" spans="3:59" ht="13.75" customHeight="1" outlineLevel="1">
      <c r="C624" s="170"/>
      <c r="F624" s="168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</row>
    <row r="625" spans="1:59" ht="13.75" customHeight="1" outlineLevel="1">
      <c r="A625" s="141" t="s">
        <v>166</v>
      </c>
      <c r="B625" s="142" t="s">
        <v>530</v>
      </c>
      <c r="C625" s="170" t="s">
        <v>543</v>
      </c>
      <c r="D625" s="142" t="s">
        <v>377</v>
      </c>
      <c r="F625" s="168" t="s">
        <v>593</v>
      </c>
      <c r="G625" s="109" t="s">
        <v>3</v>
      </c>
      <c r="W625" s="109"/>
      <c r="X625" s="109"/>
      <c r="Y625" s="109"/>
      <c r="Z625" s="109"/>
      <c r="AA625" s="109"/>
      <c r="AB625" s="109"/>
      <c r="AC625" s="109"/>
      <c r="AD625" s="109"/>
      <c r="AE625" s="124">
        <v>0.48877344172842596</v>
      </c>
      <c r="AF625" s="124">
        <v>0.50877344172842598</v>
      </c>
      <c r="AG625" s="124">
        <v>0.51877344172842599</v>
      </c>
      <c r="AH625" s="124">
        <v>0.51877344172842599</v>
      </c>
      <c r="AI625" s="124">
        <v>0.51877344172842599</v>
      </c>
      <c r="AJ625" s="124">
        <v>0.51877344172842599</v>
      </c>
      <c r="AK625" s="124">
        <v>0.51877344172842599</v>
      </c>
      <c r="AL625" s="124">
        <v>0.51877344172842599</v>
      </c>
      <c r="AM625" s="124">
        <v>0.51877344172842599</v>
      </c>
      <c r="AN625" s="124">
        <v>0.51877344172842599</v>
      </c>
      <c r="AO625" s="124">
        <v>0.51877344172842599</v>
      </c>
      <c r="AP625" s="124">
        <v>0.51877344172842599</v>
      </c>
      <c r="AQ625" s="124">
        <v>0.51877344172842599</v>
      </c>
      <c r="AR625" s="124">
        <v>0.51877344172842599</v>
      </c>
      <c r="AS625" s="124">
        <v>0.51877344172842599</v>
      </c>
      <c r="AT625" s="124">
        <v>0.51877344172842599</v>
      </c>
      <c r="AU625" s="124">
        <v>0.51877344172842599</v>
      </c>
      <c r="AV625" s="124">
        <v>0.51877344172842599</v>
      </c>
      <c r="AW625" s="124">
        <v>0.51877344172842599</v>
      </c>
      <c r="AX625" s="124">
        <v>0.51877344172842599</v>
      </c>
      <c r="AY625" s="124">
        <v>0.51877344172842599</v>
      </c>
      <c r="AZ625" s="124">
        <v>0.51877344172842599</v>
      </c>
      <c r="BA625" s="124">
        <v>0.51877344172842599</v>
      </c>
      <c r="BB625" s="124">
        <v>0.51877344172842599</v>
      </c>
      <c r="BC625" s="124">
        <f t="shared" ref="BC625:BG638" si="209">BB625*(1+((BB625-BA625)/BA625))</f>
        <v>0.51877344172842599</v>
      </c>
      <c r="BD625" s="124">
        <f t="shared" si="209"/>
        <v>0.51877344172842599</v>
      </c>
      <c r="BE625" s="124">
        <f t="shared" si="209"/>
        <v>0.51877344172842599</v>
      </c>
      <c r="BF625" s="124">
        <f t="shared" si="209"/>
        <v>0.51877344172842599</v>
      </c>
      <c r="BG625" s="124">
        <f t="shared" si="209"/>
        <v>0.51877344172842599</v>
      </c>
    </row>
    <row r="626" spans="1:59" ht="13.75" customHeight="1" outlineLevel="1">
      <c r="A626" s="141" t="s">
        <v>166</v>
      </c>
      <c r="B626" s="142" t="s">
        <v>530</v>
      </c>
      <c r="C626" s="170" t="s">
        <v>543</v>
      </c>
      <c r="D626" s="142" t="s">
        <v>377</v>
      </c>
      <c r="F626" s="168" t="s">
        <v>594</v>
      </c>
      <c r="G626" s="109" t="s">
        <v>3</v>
      </c>
      <c r="W626" s="109"/>
      <c r="X626" s="109"/>
      <c r="Y626" s="109"/>
      <c r="Z626" s="109"/>
      <c r="AA626" s="109"/>
      <c r="AB626" s="109"/>
      <c r="AC626" s="109"/>
      <c r="AD626" s="109"/>
      <c r="AE626" s="124">
        <v>0.44814994185449308</v>
      </c>
      <c r="AF626" s="124">
        <v>0.49814994185449313</v>
      </c>
      <c r="AG626" s="124">
        <v>0.50814994185449314</v>
      </c>
      <c r="AH626" s="124">
        <v>0.50814994185449314</v>
      </c>
      <c r="AI626" s="124">
        <v>0.50814994185449314</v>
      </c>
      <c r="AJ626" s="124">
        <v>0.50814994185449314</v>
      </c>
      <c r="AK626" s="124">
        <v>0.50814994185449314</v>
      </c>
      <c r="AL626" s="124">
        <v>0.50814994185449314</v>
      </c>
      <c r="AM626" s="124">
        <v>0.50814994185449314</v>
      </c>
      <c r="AN626" s="124">
        <v>0.50814994185449314</v>
      </c>
      <c r="AO626" s="124">
        <v>0.50814994185449314</v>
      </c>
      <c r="AP626" s="124">
        <v>0.50814994185449314</v>
      </c>
      <c r="AQ626" s="124">
        <v>0.50814994185449314</v>
      </c>
      <c r="AR626" s="124">
        <v>0.50814994185449314</v>
      </c>
      <c r="AS626" s="124">
        <v>0.50814994185449314</v>
      </c>
      <c r="AT626" s="124">
        <v>0.50814994185449314</v>
      </c>
      <c r="AU626" s="124">
        <v>0.50814994185449314</v>
      </c>
      <c r="AV626" s="124">
        <v>0.50814994185449314</v>
      </c>
      <c r="AW626" s="124">
        <v>0.50814994185449314</v>
      </c>
      <c r="AX626" s="124">
        <v>0.50814994185449314</v>
      </c>
      <c r="AY626" s="124">
        <v>0.50814994185449314</v>
      </c>
      <c r="AZ626" s="124">
        <v>0.50814994185449314</v>
      </c>
      <c r="BA626" s="124">
        <v>0.50814994185449314</v>
      </c>
      <c r="BB626" s="124">
        <v>0.50814994185449314</v>
      </c>
      <c r="BC626" s="124">
        <f t="shared" si="209"/>
        <v>0.50814994185449314</v>
      </c>
      <c r="BD626" s="124">
        <f t="shared" si="209"/>
        <v>0.50814994185449314</v>
      </c>
      <c r="BE626" s="124">
        <f t="shared" si="209"/>
        <v>0.50814994185449314</v>
      </c>
      <c r="BF626" s="124">
        <f t="shared" si="209"/>
        <v>0.50814994185449314</v>
      </c>
      <c r="BG626" s="124">
        <f t="shared" si="209"/>
        <v>0.50814994185449314</v>
      </c>
    </row>
    <row r="627" spans="1:59" ht="13.75" customHeight="1" outlineLevel="1">
      <c r="A627" s="141" t="s">
        <v>166</v>
      </c>
      <c r="B627" s="142" t="s">
        <v>530</v>
      </c>
      <c r="C627" s="170" t="s">
        <v>543</v>
      </c>
      <c r="D627" s="142" t="s">
        <v>377</v>
      </c>
      <c r="F627" s="168" t="s">
        <v>595</v>
      </c>
      <c r="G627" s="109" t="s">
        <v>3</v>
      </c>
      <c r="W627" s="109"/>
      <c r="X627" s="109"/>
      <c r="Y627" s="109"/>
      <c r="Z627" s="109"/>
      <c r="AA627" s="109"/>
      <c r="AB627" s="109"/>
      <c r="AC627" s="109"/>
      <c r="AD627" s="109"/>
      <c r="AE627" s="124">
        <v>0.44529351662393224</v>
      </c>
      <c r="AF627" s="124">
        <v>0.46529351662393226</v>
      </c>
      <c r="AG627" s="124">
        <v>0.47529351662393227</v>
      </c>
      <c r="AH627" s="124">
        <v>0.47529351662393227</v>
      </c>
      <c r="AI627" s="124">
        <v>0.47529351662393227</v>
      </c>
      <c r="AJ627" s="124">
        <v>0.47529351662393227</v>
      </c>
      <c r="AK627" s="124">
        <v>0.47529351662393227</v>
      </c>
      <c r="AL627" s="124">
        <v>0.47529351662393227</v>
      </c>
      <c r="AM627" s="124">
        <v>0.47529351662393227</v>
      </c>
      <c r="AN627" s="124">
        <v>0.47529351662393227</v>
      </c>
      <c r="AO627" s="124">
        <v>0.47529351662393227</v>
      </c>
      <c r="AP627" s="124">
        <v>0.47529351662393227</v>
      </c>
      <c r="AQ627" s="124">
        <v>0.47529351662393227</v>
      </c>
      <c r="AR627" s="124">
        <v>0.47529351662393227</v>
      </c>
      <c r="AS627" s="124">
        <v>0.47529351662393227</v>
      </c>
      <c r="AT627" s="124">
        <v>0.47529351662393227</v>
      </c>
      <c r="AU627" s="124">
        <v>0.47529351662393227</v>
      </c>
      <c r="AV627" s="124">
        <v>0.47529351662393227</v>
      </c>
      <c r="AW627" s="124">
        <v>0.47529351662393227</v>
      </c>
      <c r="AX627" s="124">
        <v>0.47529351662393227</v>
      </c>
      <c r="AY627" s="124">
        <v>0.47529351662393227</v>
      </c>
      <c r="AZ627" s="124">
        <v>0.47529351662393227</v>
      </c>
      <c r="BA627" s="124">
        <v>0.47529351662393227</v>
      </c>
      <c r="BB627" s="124">
        <v>0.47529351662393227</v>
      </c>
      <c r="BC627" s="124">
        <f t="shared" si="209"/>
        <v>0.47529351662393227</v>
      </c>
      <c r="BD627" s="124">
        <f t="shared" si="209"/>
        <v>0.47529351662393227</v>
      </c>
      <c r="BE627" s="124">
        <f t="shared" si="209"/>
        <v>0.47529351662393227</v>
      </c>
      <c r="BF627" s="124">
        <f t="shared" si="209"/>
        <v>0.47529351662393227</v>
      </c>
      <c r="BG627" s="124">
        <f t="shared" si="209"/>
        <v>0.47529351662393227</v>
      </c>
    </row>
    <row r="628" spans="1:59" ht="13.75" customHeight="1" outlineLevel="1">
      <c r="A628" s="141" t="s">
        <v>166</v>
      </c>
      <c r="B628" s="142" t="s">
        <v>530</v>
      </c>
      <c r="C628" s="170" t="s">
        <v>543</v>
      </c>
      <c r="D628" s="142" t="s">
        <v>377</v>
      </c>
      <c r="F628" s="168" t="s">
        <v>596</v>
      </c>
      <c r="G628" s="109" t="s">
        <v>3</v>
      </c>
      <c r="W628" s="109"/>
      <c r="X628" s="109"/>
      <c r="Y628" s="109"/>
      <c r="Z628" s="109"/>
      <c r="AA628" s="109"/>
      <c r="AB628" s="109"/>
      <c r="AC628" s="109"/>
      <c r="AD628" s="109"/>
      <c r="AE628" s="124">
        <v>0.57359629845650684</v>
      </c>
      <c r="AF628" s="124">
        <v>0.59359629845650685</v>
      </c>
      <c r="AG628" s="124">
        <v>0.60359629845650686</v>
      </c>
      <c r="AH628" s="124">
        <v>0.60359629845650686</v>
      </c>
      <c r="AI628" s="124">
        <v>0.60359629845650686</v>
      </c>
      <c r="AJ628" s="124">
        <v>0.60359629845650686</v>
      </c>
      <c r="AK628" s="124">
        <v>0.60359629845650686</v>
      </c>
      <c r="AL628" s="124">
        <v>0.60359629845650686</v>
      </c>
      <c r="AM628" s="124">
        <v>0.60359629845650686</v>
      </c>
      <c r="AN628" s="124">
        <v>0.60359629845650686</v>
      </c>
      <c r="AO628" s="124">
        <v>0.60359629845650686</v>
      </c>
      <c r="AP628" s="124">
        <v>0.60359629845650686</v>
      </c>
      <c r="AQ628" s="124">
        <v>0.60359629845650686</v>
      </c>
      <c r="AR628" s="124">
        <v>0.60359629845650686</v>
      </c>
      <c r="AS628" s="124">
        <v>0.60359629845650686</v>
      </c>
      <c r="AT628" s="124">
        <v>0.60359629845650686</v>
      </c>
      <c r="AU628" s="124">
        <v>0.60359629845650686</v>
      </c>
      <c r="AV628" s="124">
        <v>0.60359629845650686</v>
      </c>
      <c r="AW628" s="124">
        <v>0.60359629845650686</v>
      </c>
      <c r="AX628" s="124">
        <v>0.60359629845650686</v>
      </c>
      <c r="AY628" s="124">
        <v>0.60359629845650686</v>
      </c>
      <c r="AZ628" s="124">
        <v>0.60359629845650686</v>
      </c>
      <c r="BA628" s="124">
        <v>0.60359629845650686</v>
      </c>
      <c r="BB628" s="124">
        <v>0.60359629845650686</v>
      </c>
      <c r="BC628" s="124">
        <f t="shared" si="209"/>
        <v>0.60359629845650686</v>
      </c>
      <c r="BD628" s="124">
        <f t="shared" si="209"/>
        <v>0.60359629845650686</v>
      </c>
      <c r="BE628" s="124">
        <f t="shared" si="209"/>
        <v>0.60359629845650686</v>
      </c>
      <c r="BF628" s="124">
        <f t="shared" si="209"/>
        <v>0.60359629845650686</v>
      </c>
      <c r="BG628" s="124">
        <f t="shared" si="209"/>
        <v>0.60359629845650686</v>
      </c>
    </row>
    <row r="629" spans="1:59" ht="13.75" customHeight="1" outlineLevel="1">
      <c r="A629" s="141" t="s">
        <v>166</v>
      </c>
      <c r="B629" s="142" t="s">
        <v>530</v>
      </c>
      <c r="C629" s="170" t="s">
        <v>543</v>
      </c>
      <c r="D629" s="142" t="s">
        <v>377</v>
      </c>
      <c r="F629" s="168" t="s">
        <v>597</v>
      </c>
      <c r="G629" s="109" t="s">
        <v>3</v>
      </c>
      <c r="W629" s="109"/>
      <c r="X629" s="109"/>
      <c r="Y629" s="109"/>
      <c r="Z629" s="109"/>
      <c r="AA629" s="109"/>
      <c r="AB629" s="109"/>
      <c r="AC629" s="109"/>
      <c r="AD629" s="109"/>
      <c r="AE629" s="124">
        <v>0.41421308257758527</v>
      </c>
      <c r="AF629" s="124">
        <v>0.43421308257758529</v>
      </c>
      <c r="AG629" s="124">
        <v>0.44421308257758529</v>
      </c>
      <c r="AH629" s="124">
        <v>0.44421308257758529</v>
      </c>
      <c r="AI629" s="124">
        <v>0.44421308257758529</v>
      </c>
      <c r="AJ629" s="124">
        <v>0.44421308257758529</v>
      </c>
      <c r="AK629" s="124">
        <v>0.44421308257758529</v>
      </c>
      <c r="AL629" s="124">
        <v>0.44421308257758529</v>
      </c>
      <c r="AM629" s="124">
        <v>0.44421308257758529</v>
      </c>
      <c r="AN629" s="124">
        <v>0.44421308257758529</v>
      </c>
      <c r="AO629" s="124">
        <v>0.44421308257758529</v>
      </c>
      <c r="AP629" s="124">
        <v>0.44421308257758529</v>
      </c>
      <c r="AQ629" s="124">
        <v>0.44421308257758529</v>
      </c>
      <c r="AR629" s="124">
        <v>0.44421308257758529</v>
      </c>
      <c r="AS629" s="124">
        <v>0.44421308257758529</v>
      </c>
      <c r="AT629" s="124">
        <v>0.44421308257758529</v>
      </c>
      <c r="AU629" s="124">
        <v>0.44421308257758529</v>
      </c>
      <c r="AV629" s="124">
        <v>0.44421308257758529</v>
      </c>
      <c r="AW629" s="124">
        <v>0.44421308257758529</v>
      </c>
      <c r="AX629" s="124">
        <v>0.44421308257758529</v>
      </c>
      <c r="AY629" s="124">
        <v>0.44421308257758529</v>
      </c>
      <c r="AZ629" s="124">
        <v>0.44421308257758529</v>
      </c>
      <c r="BA629" s="124">
        <v>0.44421308257758529</v>
      </c>
      <c r="BB629" s="124">
        <v>0.44421308257758529</v>
      </c>
      <c r="BC629" s="124">
        <f t="shared" si="209"/>
        <v>0.44421308257758529</v>
      </c>
      <c r="BD629" s="124">
        <f t="shared" si="209"/>
        <v>0.44421308257758529</v>
      </c>
      <c r="BE629" s="124">
        <f t="shared" si="209"/>
        <v>0.44421308257758529</v>
      </c>
      <c r="BF629" s="124">
        <f t="shared" si="209"/>
        <v>0.44421308257758529</v>
      </c>
      <c r="BG629" s="124">
        <f t="shared" si="209"/>
        <v>0.44421308257758529</v>
      </c>
    </row>
    <row r="630" spans="1:59" ht="13.75" customHeight="1" outlineLevel="1">
      <c r="A630" s="141" t="s">
        <v>166</v>
      </c>
      <c r="B630" s="142" t="s">
        <v>530</v>
      </c>
      <c r="C630" s="170" t="s">
        <v>543</v>
      </c>
      <c r="D630" s="142" t="s">
        <v>377</v>
      </c>
      <c r="F630" s="168" t="s">
        <v>598</v>
      </c>
      <c r="G630" s="109" t="s">
        <v>3</v>
      </c>
      <c r="W630" s="109"/>
      <c r="X630" s="109"/>
      <c r="Y630" s="109"/>
      <c r="Z630" s="109"/>
      <c r="AA630" s="109"/>
      <c r="AB630" s="109"/>
      <c r="AC630" s="109"/>
      <c r="AD630" s="109"/>
      <c r="AE630" s="124">
        <v>0.56589037169062939</v>
      </c>
      <c r="AF630" s="124">
        <v>0.58589037169062941</v>
      </c>
      <c r="AG630" s="124">
        <v>0.59589037169062942</v>
      </c>
      <c r="AH630" s="124">
        <v>0.59589037169062942</v>
      </c>
      <c r="AI630" s="124">
        <v>0.59589037169062942</v>
      </c>
      <c r="AJ630" s="124">
        <v>0.59589037169062942</v>
      </c>
      <c r="AK630" s="124">
        <v>0.59589037169062942</v>
      </c>
      <c r="AL630" s="124">
        <v>0.59589037169062942</v>
      </c>
      <c r="AM630" s="124">
        <v>0.59589037169062942</v>
      </c>
      <c r="AN630" s="124">
        <v>0.59589037169062942</v>
      </c>
      <c r="AO630" s="124">
        <v>0.59589037169062942</v>
      </c>
      <c r="AP630" s="124">
        <v>0.59589037169062942</v>
      </c>
      <c r="AQ630" s="124">
        <v>0.59589037169062942</v>
      </c>
      <c r="AR630" s="124">
        <v>0.59589037169062942</v>
      </c>
      <c r="AS630" s="124">
        <v>0.59589037169062942</v>
      </c>
      <c r="AT630" s="124">
        <v>0.59589037169062942</v>
      </c>
      <c r="AU630" s="124">
        <v>0.59589037169062942</v>
      </c>
      <c r="AV630" s="124">
        <v>0.59589037169062942</v>
      </c>
      <c r="AW630" s="124">
        <v>0.59589037169062942</v>
      </c>
      <c r="AX630" s="124">
        <v>0.59589037169062942</v>
      </c>
      <c r="AY630" s="124">
        <v>0.59589037169062942</v>
      </c>
      <c r="AZ630" s="124">
        <v>0.59589037169062942</v>
      </c>
      <c r="BA630" s="124">
        <v>0.59589037169062942</v>
      </c>
      <c r="BB630" s="124">
        <v>0.59589037169062942</v>
      </c>
      <c r="BC630" s="124">
        <f t="shared" si="209"/>
        <v>0.59589037169062942</v>
      </c>
      <c r="BD630" s="124">
        <f t="shared" si="209"/>
        <v>0.59589037169062942</v>
      </c>
      <c r="BE630" s="124">
        <f t="shared" si="209"/>
        <v>0.59589037169062942</v>
      </c>
      <c r="BF630" s="124">
        <f t="shared" si="209"/>
        <v>0.59589037169062942</v>
      </c>
      <c r="BG630" s="124">
        <f t="shared" si="209"/>
        <v>0.59589037169062942</v>
      </c>
    </row>
    <row r="631" spans="1:59" ht="13.75" customHeight="1" outlineLevel="1">
      <c r="A631" s="141" t="s">
        <v>166</v>
      </c>
      <c r="B631" s="142" t="s">
        <v>530</v>
      </c>
      <c r="C631" s="170" t="s">
        <v>543</v>
      </c>
      <c r="D631" s="142" t="s">
        <v>377</v>
      </c>
      <c r="F631" s="168" t="s">
        <v>599</v>
      </c>
      <c r="G631" s="109" t="s">
        <v>3</v>
      </c>
      <c r="W631" s="109"/>
      <c r="X631" s="109"/>
      <c r="Y631" s="109"/>
      <c r="Z631" s="109"/>
      <c r="AA631" s="109"/>
      <c r="AB631" s="109"/>
      <c r="AC631" s="109"/>
      <c r="AD631" s="109"/>
      <c r="AE631" s="124">
        <v>0.45165249847070682</v>
      </c>
      <c r="AF631" s="124">
        <v>0.47165249847070684</v>
      </c>
      <c r="AG631" s="124">
        <v>0.48165249847070685</v>
      </c>
      <c r="AH631" s="124">
        <v>0.48165249847070685</v>
      </c>
      <c r="AI631" s="124">
        <v>0.48165249847070685</v>
      </c>
      <c r="AJ631" s="124">
        <v>0.48165249847070685</v>
      </c>
      <c r="AK631" s="124">
        <v>0.48165249847070685</v>
      </c>
      <c r="AL631" s="124">
        <v>0.48165249847070685</v>
      </c>
      <c r="AM631" s="124">
        <v>0.48165249847070685</v>
      </c>
      <c r="AN631" s="124">
        <v>0.48165249847070685</v>
      </c>
      <c r="AO631" s="124">
        <v>0.48165249847070685</v>
      </c>
      <c r="AP631" s="124">
        <v>0.48165249847070685</v>
      </c>
      <c r="AQ631" s="124">
        <v>0.48165249847070685</v>
      </c>
      <c r="AR631" s="124">
        <v>0.48165249847070685</v>
      </c>
      <c r="AS631" s="124">
        <v>0.48165249847070685</v>
      </c>
      <c r="AT631" s="124">
        <v>0.48165249847070685</v>
      </c>
      <c r="AU631" s="124">
        <v>0.48165249847070685</v>
      </c>
      <c r="AV631" s="124">
        <v>0.48165249847070685</v>
      </c>
      <c r="AW631" s="124">
        <v>0.48165249847070685</v>
      </c>
      <c r="AX631" s="124">
        <v>0.48165249847070685</v>
      </c>
      <c r="AY631" s="124">
        <v>0.48165249847070685</v>
      </c>
      <c r="AZ631" s="124">
        <v>0.48165249847070685</v>
      </c>
      <c r="BA631" s="124">
        <v>0.48165249847070685</v>
      </c>
      <c r="BB631" s="124">
        <v>0.48165249847070685</v>
      </c>
      <c r="BC631" s="124">
        <f t="shared" si="209"/>
        <v>0.48165249847070685</v>
      </c>
      <c r="BD631" s="124">
        <f t="shared" si="209"/>
        <v>0.48165249847070685</v>
      </c>
      <c r="BE631" s="124">
        <f t="shared" si="209"/>
        <v>0.48165249847070685</v>
      </c>
      <c r="BF631" s="124">
        <f t="shared" si="209"/>
        <v>0.48165249847070685</v>
      </c>
      <c r="BG631" s="124">
        <f t="shared" si="209"/>
        <v>0.48165249847070685</v>
      </c>
    </row>
    <row r="632" spans="1:59" ht="13.75" customHeight="1" outlineLevel="1">
      <c r="A632" s="141" t="s">
        <v>166</v>
      </c>
      <c r="B632" s="142" t="s">
        <v>530</v>
      </c>
      <c r="C632" s="170" t="s">
        <v>543</v>
      </c>
      <c r="D632" s="142" t="s">
        <v>377</v>
      </c>
      <c r="F632" s="168" t="s">
        <v>600</v>
      </c>
      <c r="G632" s="109" t="s">
        <v>3</v>
      </c>
      <c r="W632" s="109"/>
      <c r="X632" s="109"/>
      <c r="Y632" s="109"/>
      <c r="Z632" s="109"/>
      <c r="AA632" s="109"/>
      <c r="AB632" s="109"/>
      <c r="AC632" s="109"/>
      <c r="AD632" s="109"/>
      <c r="AE632" s="124">
        <v>0.45123505680966058</v>
      </c>
      <c r="AF632" s="124">
        <v>0.4712350568096606</v>
      </c>
      <c r="AG632" s="124">
        <v>0.48123505680966061</v>
      </c>
      <c r="AH632" s="124">
        <v>0.48123505680966061</v>
      </c>
      <c r="AI632" s="124">
        <v>0.48123505680966061</v>
      </c>
      <c r="AJ632" s="124">
        <v>0.48123505680966061</v>
      </c>
      <c r="AK632" s="124">
        <v>0.48123505680966061</v>
      </c>
      <c r="AL632" s="124">
        <v>0.48123505680966061</v>
      </c>
      <c r="AM632" s="124">
        <v>0.48123505680966061</v>
      </c>
      <c r="AN632" s="124">
        <v>0.48123505680966061</v>
      </c>
      <c r="AO632" s="124">
        <v>0.48123505680966061</v>
      </c>
      <c r="AP632" s="124">
        <v>0.48123505680966061</v>
      </c>
      <c r="AQ632" s="124">
        <v>0.48123505680966061</v>
      </c>
      <c r="AR632" s="124">
        <v>0.48123505680966061</v>
      </c>
      <c r="AS632" s="124">
        <v>0.48123505680966061</v>
      </c>
      <c r="AT632" s="124">
        <v>0.48123505680966061</v>
      </c>
      <c r="AU632" s="124">
        <v>0.48123505680966061</v>
      </c>
      <c r="AV632" s="124">
        <v>0.48123505680966061</v>
      </c>
      <c r="AW632" s="124">
        <v>0.48123505680966061</v>
      </c>
      <c r="AX632" s="124">
        <v>0.48123505680966061</v>
      </c>
      <c r="AY632" s="124">
        <v>0.48123505680966061</v>
      </c>
      <c r="AZ632" s="124">
        <v>0.48123505680966061</v>
      </c>
      <c r="BA632" s="124">
        <v>0.48123505680966061</v>
      </c>
      <c r="BB632" s="124">
        <v>0.48123505680966061</v>
      </c>
      <c r="BC632" s="124">
        <f t="shared" si="209"/>
        <v>0.48123505680966061</v>
      </c>
      <c r="BD632" s="124">
        <f t="shared" si="209"/>
        <v>0.48123505680966061</v>
      </c>
      <c r="BE632" s="124">
        <f t="shared" si="209"/>
        <v>0.48123505680966061</v>
      </c>
      <c r="BF632" s="124">
        <f t="shared" si="209"/>
        <v>0.48123505680966061</v>
      </c>
      <c r="BG632" s="124">
        <f t="shared" si="209"/>
        <v>0.48123505680966061</v>
      </c>
    </row>
    <row r="633" spans="1:59" ht="13.75" customHeight="1" outlineLevel="1">
      <c r="A633" s="141" t="s">
        <v>166</v>
      </c>
      <c r="B633" s="142" t="s">
        <v>530</v>
      </c>
      <c r="C633" s="170" t="s">
        <v>543</v>
      </c>
      <c r="D633" s="142" t="s">
        <v>377</v>
      </c>
      <c r="F633" s="168" t="s">
        <v>601</v>
      </c>
      <c r="G633" s="109" t="s">
        <v>3</v>
      </c>
      <c r="W633" s="109"/>
      <c r="X633" s="109"/>
      <c r="Y633" s="109"/>
      <c r="Z633" s="109"/>
      <c r="AA633" s="109"/>
      <c r="AB633" s="109"/>
      <c r="AC633" s="109"/>
      <c r="AD633" s="109"/>
      <c r="AE633" s="124">
        <v>0.52967300419210517</v>
      </c>
      <c r="AF633" s="124">
        <v>0.54967300419210519</v>
      </c>
      <c r="AG633" s="124">
        <v>0.55967300419210519</v>
      </c>
      <c r="AH633" s="124">
        <v>0.55967300419210519</v>
      </c>
      <c r="AI633" s="124">
        <v>0.55967300419210519</v>
      </c>
      <c r="AJ633" s="124">
        <v>0.55967300419210519</v>
      </c>
      <c r="AK633" s="124">
        <v>0.55967300419210519</v>
      </c>
      <c r="AL633" s="124">
        <v>0.55967300419210519</v>
      </c>
      <c r="AM633" s="124">
        <v>0.55967300419210519</v>
      </c>
      <c r="AN633" s="124">
        <v>0.55967300419210519</v>
      </c>
      <c r="AO633" s="124">
        <v>0.55967300419210519</v>
      </c>
      <c r="AP633" s="124">
        <v>0.55967300419210519</v>
      </c>
      <c r="AQ633" s="124">
        <v>0.55967300419210519</v>
      </c>
      <c r="AR633" s="124">
        <v>0.55967300419210519</v>
      </c>
      <c r="AS633" s="124">
        <v>0.55967300419210519</v>
      </c>
      <c r="AT633" s="124">
        <v>0.55967300419210519</v>
      </c>
      <c r="AU633" s="124">
        <v>0.55967300419210519</v>
      </c>
      <c r="AV633" s="124">
        <v>0.55967300419210519</v>
      </c>
      <c r="AW633" s="124">
        <v>0.55967300419210519</v>
      </c>
      <c r="AX633" s="124">
        <v>0.55967300419210519</v>
      </c>
      <c r="AY633" s="124">
        <v>0.55967300419210519</v>
      </c>
      <c r="AZ633" s="124">
        <v>0.55967300419210519</v>
      </c>
      <c r="BA633" s="124">
        <v>0.55967300419210519</v>
      </c>
      <c r="BB633" s="124">
        <v>0.55967300419210519</v>
      </c>
      <c r="BC633" s="124">
        <f t="shared" si="209"/>
        <v>0.55967300419210519</v>
      </c>
      <c r="BD633" s="124">
        <f t="shared" si="209"/>
        <v>0.55967300419210519</v>
      </c>
      <c r="BE633" s="124">
        <f t="shared" si="209"/>
        <v>0.55967300419210519</v>
      </c>
      <c r="BF633" s="124">
        <f t="shared" si="209"/>
        <v>0.55967300419210519</v>
      </c>
      <c r="BG633" s="124">
        <f t="shared" si="209"/>
        <v>0.55967300419210519</v>
      </c>
    </row>
    <row r="634" spans="1:59" ht="13.75" customHeight="1" outlineLevel="1">
      <c r="A634" s="141" t="s">
        <v>166</v>
      </c>
      <c r="B634" s="142" t="s">
        <v>530</v>
      </c>
      <c r="C634" s="170" t="s">
        <v>543</v>
      </c>
      <c r="D634" s="142" t="s">
        <v>377</v>
      </c>
      <c r="F634" s="168" t="s">
        <v>602</v>
      </c>
      <c r="G634" s="109" t="s">
        <v>3</v>
      </c>
      <c r="W634" s="109"/>
      <c r="X634" s="109"/>
      <c r="Y634" s="109"/>
      <c r="Z634" s="109"/>
      <c r="AA634" s="109"/>
      <c r="AB634" s="109"/>
      <c r="AC634" s="109"/>
      <c r="AD634" s="109"/>
      <c r="AE634" s="124">
        <v>0.49</v>
      </c>
      <c r="AF634" s="124">
        <v>0.51</v>
      </c>
      <c r="AG634" s="124">
        <v>0.52</v>
      </c>
      <c r="AH634" s="124">
        <v>0.52</v>
      </c>
      <c r="AI634" s="124">
        <v>0.52</v>
      </c>
      <c r="AJ634" s="124">
        <v>0.52</v>
      </c>
      <c r="AK634" s="124">
        <v>0.52</v>
      </c>
      <c r="AL634" s="124">
        <v>0.52</v>
      </c>
      <c r="AM634" s="124">
        <v>0.52</v>
      </c>
      <c r="AN634" s="124">
        <v>0.52</v>
      </c>
      <c r="AO634" s="124">
        <v>0.52</v>
      </c>
      <c r="AP634" s="124">
        <v>0.52</v>
      </c>
      <c r="AQ634" s="124">
        <v>0.52</v>
      </c>
      <c r="AR634" s="124">
        <v>0.52</v>
      </c>
      <c r="AS634" s="124">
        <v>0.52</v>
      </c>
      <c r="AT634" s="124">
        <v>0.52</v>
      </c>
      <c r="AU634" s="124">
        <v>0.52</v>
      </c>
      <c r="AV634" s="124">
        <v>0.52</v>
      </c>
      <c r="AW634" s="124">
        <v>0.52</v>
      </c>
      <c r="AX634" s="124">
        <v>0.52</v>
      </c>
      <c r="AY634" s="124">
        <v>0.52</v>
      </c>
      <c r="AZ634" s="124">
        <v>0.52</v>
      </c>
      <c r="BA634" s="124">
        <v>0.52</v>
      </c>
      <c r="BB634" s="124">
        <v>0.52</v>
      </c>
      <c r="BC634" s="124">
        <f t="shared" si="209"/>
        <v>0.52</v>
      </c>
      <c r="BD634" s="124">
        <f t="shared" si="209"/>
        <v>0.52</v>
      </c>
      <c r="BE634" s="124">
        <f t="shared" si="209"/>
        <v>0.52</v>
      </c>
      <c r="BF634" s="124">
        <f t="shared" si="209"/>
        <v>0.52</v>
      </c>
      <c r="BG634" s="124">
        <f t="shared" si="209"/>
        <v>0.52</v>
      </c>
    </row>
    <row r="635" spans="1:59" ht="13.75" customHeight="1" outlineLevel="1">
      <c r="A635" s="141" t="s">
        <v>166</v>
      </c>
      <c r="B635" s="142" t="s">
        <v>530</v>
      </c>
      <c r="C635" s="170" t="s">
        <v>543</v>
      </c>
      <c r="D635" s="142" t="s">
        <v>377</v>
      </c>
      <c r="F635" s="168" t="s">
        <v>603</v>
      </c>
      <c r="G635" s="109" t="s">
        <v>3</v>
      </c>
      <c r="W635" s="109"/>
      <c r="X635" s="109"/>
      <c r="Y635" s="109"/>
      <c r="Z635" s="109"/>
      <c r="AA635" s="109"/>
      <c r="AB635" s="109"/>
      <c r="AC635" s="109"/>
      <c r="AD635" s="109"/>
      <c r="AE635" s="124">
        <v>0.51170758027941443</v>
      </c>
      <c r="AF635" s="124">
        <v>0.53170758027941445</v>
      </c>
      <c r="AG635" s="124">
        <v>0.54170758027941446</v>
      </c>
      <c r="AH635" s="124">
        <v>0.54170758027941446</v>
      </c>
      <c r="AI635" s="124">
        <v>0.54170758027941446</v>
      </c>
      <c r="AJ635" s="124">
        <v>0.54170758027941446</v>
      </c>
      <c r="AK635" s="124">
        <v>0.54170758027941446</v>
      </c>
      <c r="AL635" s="124">
        <v>0.54170758027941446</v>
      </c>
      <c r="AM635" s="124">
        <v>0.54170758027941446</v>
      </c>
      <c r="AN635" s="124">
        <v>0.54170758027941446</v>
      </c>
      <c r="AO635" s="124">
        <v>0.54170758027941446</v>
      </c>
      <c r="AP635" s="124">
        <v>0.54170758027941446</v>
      </c>
      <c r="AQ635" s="124">
        <v>0.54170758027941446</v>
      </c>
      <c r="AR635" s="124">
        <v>0.54170758027941446</v>
      </c>
      <c r="AS635" s="124">
        <v>0.54170758027941446</v>
      </c>
      <c r="AT635" s="124">
        <v>0.54170758027941446</v>
      </c>
      <c r="AU635" s="124">
        <v>0.54170758027941446</v>
      </c>
      <c r="AV635" s="124">
        <v>0.54170758027941446</v>
      </c>
      <c r="AW635" s="124">
        <v>0.54170758027941446</v>
      </c>
      <c r="AX635" s="124">
        <v>0.54170758027941446</v>
      </c>
      <c r="AY635" s="124">
        <v>0.54170758027941446</v>
      </c>
      <c r="AZ635" s="124">
        <v>0.54170758027941446</v>
      </c>
      <c r="BA635" s="124">
        <v>0.54170758027941446</v>
      </c>
      <c r="BB635" s="124">
        <v>0.54170758027941446</v>
      </c>
      <c r="BC635" s="124">
        <f t="shared" si="209"/>
        <v>0.54170758027941446</v>
      </c>
      <c r="BD635" s="124">
        <f t="shared" si="209"/>
        <v>0.54170758027941446</v>
      </c>
      <c r="BE635" s="124">
        <f t="shared" si="209"/>
        <v>0.54170758027941446</v>
      </c>
      <c r="BF635" s="124">
        <f t="shared" si="209"/>
        <v>0.54170758027941446</v>
      </c>
      <c r="BG635" s="124">
        <f t="shared" si="209"/>
        <v>0.54170758027941446</v>
      </c>
    </row>
    <row r="636" spans="1:59" ht="13.75" customHeight="1" outlineLevel="1">
      <c r="A636" s="141" t="s">
        <v>166</v>
      </c>
      <c r="B636" s="142" t="s">
        <v>530</v>
      </c>
      <c r="C636" s="170" t="s">
        <v>543</v>
      </c>
      <c r="D636" s="142" t="s">
        <v>377</v>
      </c>
      <c r="F636" s="168" t="s">
        <v>604</v>
      </c>
      <c r="G636" s="109" t="s">
        <v>3</v>
      </c>
      <c r="W636" s="109"/>
      <c r="X636" s="109"/>
      <c r="Y636" s="109"/>
      <c r="Z636" s="109"/>
      <c r="AA636" s="109"/>
      <c r="AB636" s="109"/>
      <c r="AC636" s="109"/>
      <c r="AD636" s="109"/>
      <c r="AE636" s="124">
        <v>0.47042211194961114</v>
      </c>
      <c r="AF636" s="124">
        <v>0.49042211194961116</v>
      </c>
      <c r="AG636" s="124">
        <v>0.50042211194961117</v>
      </c>
      <c r="AH636" s="124">
        <v>0.50042211194961117</v>
      </c>
      <c r="AI636" s="124">
        <v>0.50042211194961117</v>
      </c>
      <c r="AJ636" s="124">
        <v>0.50042211194961117</v>
      </c>
      <c r="AK636" s="124">
        <v>0.50042211194961117</v>
      </c>
      <c r="AL636" s="124">
        <v>0.50042211194961117</v>
      </c>
      <c r="AM636" s="124">
        <v>0.50042211194961117</v>
      </c>
      <c r="AN636" s="124">
        <v>0.50042211194961117</v>
      </c>
      <c r="AO636" s="124">
        <v>0.50042211194961117</v>
      </c>
      <c r="AP636" s="124">
        <v>0.50042211194961117</v>
      </c>
      <c r="AQ636" s="124">
        <v>0.50042211194961117</v>
      </c>
      <c r="AR636" s="124">
        <v>0.50042211194961117</v>
      </c>
      <c r="AS636" s="124">
        <v>0.50042211194961117</v>
      </c>
      <c r="AT636" s="124">
        <v>0.50042211194961117</v>
      </c>
      <c r="AU636" s="124">
        <v>0.50042211194961117</v>
      </c>
      <c r="AV636" s="124">
        <v>0.50042211194961117</v>
      </c>
      <c r="AW636" s="124">
        <v>0.50042211194961117</v>
      </c>
      <c r="AX636" s="124">
        <v>0.50042211194961117</v>
      </c>
      <c r="AY636" s="124">
        <v>0.50042211194961117</v>
      </c>
      <c r="AZ636" s="124">
        <v>0.50042211194961117</v>
      </c>
      <c r="BA636" s="124">
        <v>0.50042211194961117</v>
      </c>
      <c r="BB636" s="124">
        <v>0.50042211194961117</v>
      </c>
      <c r="BC636" s="124">
        <f t="shared" si="209"/>
        <v>0.50042211194961117</v>
      </c>
      <c r="BD636" s="124">
        <f t="shared" si="209"/>
        <v>0.50042211194961117</v>
      </c>
      <c r="BE636" s="124">
        <f t="shared" si="209"/>
        <v>0.50042211194961117</v>
      </c>
      <c r="BF636" s="124">
        <f t="shared" si="209"/>
        <v>0.50042211194961117</v>
      </c>
      <c r="BG636" s="124">
        <f t="shared" si="209"/>
        <v>0.50042211194961117</v>
      </c>
    </row>
    <row r="637" spans="1:59" ht="13.75" customHeight="1" outlineLevel="1">
      <c r="A637" s="141" t="s">
        <v>166</v>
      </c>
      <c r="B637" s="142" t="s">
        <v>530</v>
      </c>
      <c r="C637" s="170" t="s">
        <v>543</v>
      </c>
      <c r="D637" s="142" t="s">
        <v>377</v>
      </c>
      <c r="F637" s="168" t="s">
        <v>605</v>
      </c>
      <c r="G637" s="109" t="s">
        <v>3</v>
      </c>
      <c r="W637" s="109"/>
      <c r="X637" s="109"/>
      <c r="Y637" s="109"/>
      <c r="Z637" s="109"/>
      <c r="AA637" s="109"/>
      <c r="AB637" s="109"/>
      <c r="AC637" s="109"/>
      <c r="AD637" s="109"/>
      <c r="AE637" s="124">
        <v>0.51170758027941443</v>
      </c>
      <c r="AF637" s="124">
        <v>0.53170758027941445</v>
      </c>
      <c r="AG637" s="124">
        <v>0.54170758027941446</v>
      </c>
      <c r="AH637" s="124">
        <v>0.54170758027941446</v>
      </c>
      <c r="AI637" s="124">
        <v>0.54170758027941446</v>
      </c>
      <c r="AJ637" s="124">
        <v>0.54170758027941446</v>
      </c>
      <c r="AK637" s="124">
        <v>0.54170758027941446</v>
      </c>
      <c r="AL637" s="124">
        <v>0.54170758027941446</v>
      </c>
      <c r="AM637" s="124">
        <v>0.54170758027941446</v>
      </c>
      <c r="AN637" s="124">
        <v>0.54170758027941446</v>
      </c>
      <c r="AO637" s="124">
        <v>0.54170758027941446</v>
      </c>
      <c r="AP637" s="124">
        <v>0.54170758027941446</v>
      </c>
      <c r="AQ637" s="124">
        <v>0.54170758027941446</v>
      </c>
      <c r="AR637" s="124">
        <v>0.54170758027941446</v>
      </c>
      <c r="AS637" s="124">
        <v>0.54170758027941446</v>
      </c>
      <c r="AT637" s="124">
        <v>0.54170758027941446</v>
      </c>
      <c r="AU637" s="124">
        <v>0.54170758027941446</v>
      </c>
      <c r="AV637" s="124">
        <v>0.54170758027941446</v>
      </c>
      <c r="AW637" s="124">
        <v>0.54170758027941446</v>
      </c>
      <c r="AX637" s="124">
        <v>0.54170758027941446</v>
      </c>
      <c r="AY637" s="124">
        <v>0.54170758027941446</v>
      </c>
      <c r="AZ637" s="124">
        <v>0.54170758027941446</v>
      </c>
      <c r="BA637" s="124">
        <v>0.54170758027941446</v>
      </c>
      <c r="BB637" s="124">
        <v>0.54170758027941446</v>
      </c>
      <c r="BC637" s="124">
        <f t="shared" si="209"/>
        <v>0.54170758027941446</v>
      </c>
      <c r="BD637" s="124">
        <f t="shared" si="209"/>
        <v>0.54170758027941446</v>
      </c>
      <c r="BE637" s="124">
        <f t="shared" si="209"/>
        <v>0.54170758027941446</v>
      </c>
      <c r="BF637" s="124">
        <f t="shared" si="209"/>
        <v>0.54170758027941446</v>
      </c>
      <c r="BG637" s="124">
        <f t="shared" si="209"/>
        <v>0.54170758027941446</v>
      </c>
    </row>
    <row r="638" spans="1:59" ht="13.75" customHeight="1" outlineLevel="1">
      <c r="A638" s="141" t="s">
        <v>166</v>
      </c>
      <c r="B638" s="142" t="s">
        <v>530</v>
      </c>
      <c r="C638" s="170" t="s">
        <v>543</v>
      </c>
      <c r="D638" s="142" t="s">
        <v>377</v>
      </c>
      <c r="F638" s="168" t="s">
        <v>606</v>
      </c>
      <c r="G638" s="109" t="s">
        <v>3</v>
      </c>
      <c r="W638" s="109"/>
      <c r="X638" s="109"/>
      <c r="Y638" s="109"/>
      <c r="Z638" s="109"/>
      <c r="AA638" s="109"/>
      <c r="AB638" s="109"/>
      <c r="AC638" s="109"/>
      <c r="AD638" s="109"/>
      <c r="AE638" s="124">
        <v>0.51170758027941443</v>
      </c>
      <c r="AF638" s="124">
        <v>0.56170758027941448</v>
      </c>
      <c r="AG638" s="124">
        <v>0.5917075802794145</v>
      </c>
      <c r="AH638" s="124">
        <v>0.60170758027941451</v>
      </c>
      <c r="AI638" s="124">
        <v>0.60170758027941451</v>
      </c>
      <c r="AJ638" s="124">
        <v>0.60170758027941451</v>
      </c>
      <c r="AK638" s="124">
        <v>0.60170758027941451</v>
      </c>
      <c r="AL638" s="124">
        <v>0.60170758027941451</v>
      </c>
      <c r="AM638" s="124">
        <v>0.60170758027941451</v>
      </c>
      <c r="AN638" s="124">
        <v>0.60170758027941451</v>
      </c>
      <c r="AO638" s="124">
        <v>0.60170758027941451</v>
      </c>
      <c r="AP638" s="124">
        <v>0.60170758027941451</v>
      </c>
      <c r="AQ638" s="124">
        <v>0.60170758027941451</v>
      </c>
      <c r="AR638" s="124">
        <v>0.60170758027941451</v>
      </c>
      <c r="AS638" s="124">
        <v>0.60170758027941451</v>
      </c>
      <c r="AT638" s="124">
        <v>0.60170758027941451</v>
      </c>
      <c r="AU638" s="124">
        <v>0.60170758027941451</v>
      </c>
      <c r="AV638" s="124">
        <v>0.60170758027941451</v>
      </c>
      <c r="AW638" s="124">
        <v>0.60170758027941451</v>
      </c>
      <c r="AX638" s="124">
        <v>0.60170758027941451</v>
      </c>
      <c r="AY638" s="124">
        <v>0.60170758027941451</v>
      </c>
      <c r="AZ638" s="124">
        <v>0.60170758027941451</v>
      </c>
      <c r="BA638" s="124">
        <v>0.60170758027941451</v>
      </c>
      <c r="BB638" s="124">
        <v>0.60170758027941451</v>
      </c>
      <c r="BC638" s="124">
        <f t="shared" si="209"/>
        <v>0.60170758027941451</v>
      </c>
      <c r="BD638" s="124">
        <f t="shared" si="209"/>
        <v>0.60170758027941451</v>
      </c>
      <c r="BE638" s="124">
        <f t="shared" si="209"/>
        <v>0.60170758027941451</v>
      </c>
      <c r="BF638" s="124">
        <f t="shared" si="209"/>
        <v>0.60170758027941451</v>
      </c>
      <c r="BG638" s="124">
        <f t="shared" si="209"/>
        <v>0.60170758027941451</v>
      </c>
    </row>
    <row r="639" spans="1:59" ht="13.75" customHeight="1" outlineLevel="1">
      <c r="F639" s="168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</row>
    <row r="640" spans="1:59" ht="13.75" customHeight="1" outlineLevel="1">
      <c r="F640" s="168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</row>
    <row r="641" spans="1:59" ht="13.75" customHeight="1" outlineLevel="1">
      <c r="F641" s="168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</row>
    <row r="642" spans="1:59" ht="13.75" customHeight="1" outlineLevel="1">
      <c r="F642" s="168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</row>
    <row r="643" spans="1:59" ht="13.75" customHeight="1" outlineLevel="1">
      <c r="F643" s="168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</row>
    <row r="644" spans="1:59" ht="13.75" customHeight="1" outlineLevel="1">
      <c r="F644" s="168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</row>
    <row r="645" spans="1:59" ht="13.75" customHeight="1" outlineLevel="1">
      <c r="F645" s="168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</row>
    <row r="646" spans="1:59" ht="13.75" customHeight="1" outlineLevel="1">
      <c r="F646" s="168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</row>
    <row r="647" spans="1:59" ht="13.75" customHeight="1" outlineLevel="1">
      <c r="F647" s="168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</row>
    <row r="648" spans="1:59" ht="13.75" customHeight="1" outlineLevel="1">
      <c r="F648" s="168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</row>
    <row r="649" spans="1:59" ht="13.75" customHeight="1" outlineLevel="1">
      <c r="F649" s="168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</row>
    <row r="650" spans="1:59" ht="13.75" customHeight="1" outlineLevel="1">
      <c r="A650" s="141" t="s">
        <v>166</v>
      </c>
      <c r="B650" s="142" t="s">
        <v>607</v>
      </c>
      <c r="C650" s="170"/>
      <c r="D650" s="142" t="s">
        <v>608</v>
      </c>
      <c r="F650" s="168" t="s">
        <v>609</v>
      </c>
      <c r="G650" s="109" t="s">
        <v>610</v>
      </c>
      <c r="W650" s="128">
        <v>815</v>
      </c>
      <c r="X650" s="128">
        <v>902</v>
      </c>
      <c r="Y650" s="128">
        <v>985</v>
      </c>
      <c r="Z650" s="128">
        <v>1126</v>
      </c>
      <c r="AA650" s="128">
        <v>1176</v>
      </c>
      <c r="AB650" s="128">
        <v>1335</v>
      </c>
      <c r="AC650" s="128">
        <v>1522</v>
      </c>
      <c r="AD650" s="128">
        <v>1749</v>
      </c>
      <c r="AE650" s="128">
        <v>1976.3999999999999</v>
      </c>
      <c r="AF650" s="128">
        <v>2065.5903668416208</v>
      </c>
      <c r="AG650" s="128">
        <v>2183.2370026618692</v>
      </c>
      <c r="AH650" s="128">
        <v>2304.0760096415584</v>
      </c>
      <c r="AI650" s="128">
        <v>2435.2427207722421</v>
      </c>
      <c r="AJ650" s="128">
        <v>2562.2779516110068</v>
      </c>
      <c r="AK650" s="128">
        <v>2695.9598280650443</v>
      </c>
      <c r="AL650" s="128">
        <v>2836.6371626241998</v>
      </c>
      <c r="AM650" s="128">
        <v>2984.6771289179605</v>
      </c>
      <c r="AN650" s="128">
        <v>3140.4662311629982</v>
      </c>
      <c r="AO650" s="128">
        <v>3304.4113249508596</v>
      </c>
      <c r="AP650" s="128">
        <v>3476.940692102778</v>
      </c>
      <c r="AQ650" s="128">
        <v>3658.5051724638502</v>
      </c>
      <c r="AR650" s="128">
        <v>3849.5793556618537</v>
      </c>
      <c r="AS650" s="128">
        <v>4050.6628360171858</v>
      </c>
      <c r="AT650" s="128">
        <v>4262.2815339602257</v>
      </c>
      <c r="AU650" s="128">
        <v>4484.9890874913135</v>
      </c>
      <c r="AV650" s="128">
        <v>4719.3683174070102</v>
      </c>
      <c r="AW650" s="128">
        <v>4966.0327702148261</v>
      </c>
      <c r="AX650" s="128">
        <v>5225.6283428677507</v>
      </c>
      <c r="AY650" s="128">
        <v>5498.8349936702834</v>
      </c>
      <c r="AZ650" s="128">
        <v>5786.3685439397304</v>
      </c>
      <c r="BA650" s="128">
        <v>6088.9825752511078</v>
      </c>
      <c r="BB650" s="128">
        <v>6407.4704273515963</v>
      </c>
      <c r="BC650" s="128">
        <f t="shared" ref="BC650:BG654" si="210">BB650*(1+((BB650-BA650)/BA650))</f>
        <v>6742.6169758240976</v>
      </c>
      <c r="BD650" s="128">
        <f t="shared" si="210"/>
        <v>7095.2935636821194</v>
      </c>
      <c r="BE650" s="128">
        <f t="shared" si="210"/>
        <v>7466.417110053304</v>
      </c>
      <c r="BF650" s="128">
        <f t="shared" si="210"/>
        <v>7856.9524940651645</v>
      </c>
      <c r="BG650" s="128">
        <f t="shared" si="210"/>
        <v>8267.9150634213747</v>
      </c>
    </row>
    <row r="651" spans="1:59" ht="13.75" customHeight="1" outlineLevel="1">
      <c r="A651" s="141" t="s">
        <v>166</v>
      </c>
      <c r="B651" s="142" t="s">
        <v>607</v>
      </c>
      <c r="D651" s="142" t="s">
        <v>608</v>
      </c>
      <c r="F651" s="168" t="s">
        <v>611</v>
      </c>
      <c r="G651" s="109" t="s">
        <v>610</v>
      </c>
      <c r="W651" s="128">
        <v>538</v>
      </c>
      <c r="X651" s="128">
        <v>596</v>
      </c>
      <c r="Y651" s="128">
        <v>668</v>
      </c>
      <c r="Z651" s="128">
        <v>753</v>
      </c>
      <c r="AA651" s="128">
        <v>795</v>
      </c>
      <c r="AB651" s="128">
        <v>853</v>
      </c>
      <c r="AC651" s="128">
        <v>928</v>
      </c>
      <c r="AD651" s="128">
        <v>996</v>
      </c>
      <c r="AE651" s="128">
        <v>1145.3999999999999</v>
      </c>
      <c r="AF651" s="128">
        <v>1204.0354838533215</v>
      </c>
      <c r="AG651" s="128">
        <v>1284.5105539335602</v>
      </c>
      <c r="AH651" s="128">
        <v>1359.782967002913</v>
      </c>
      <c r="AI651" s="128">
        <v>1441.3079475557061</v>
      </c>
      <c r="AJ651" s="128">
        <v>1513.0804050036311</v>
      </c>
      <c r="AK651" s="128">
        <v>1588.4268978662988</v>
      </c>
      <c r="AL651" s="128">
        <v>1667.5254015064045</v>
      </c>
      <c r="AM651" s="128">
        <v>1750.5627538820158</v>
      </c>
      <c r="AN651" s="128">
        <v>1837.735096875055</v>
      </c>
      <c r="AO651" s="128">
        <v>1929.2483395965071</v>
      </c>
      <c r="AP651" s="128">
        <v>2025.3186447627238</v>
      </c>
      <c r="AQ651" s="128">
        <v>2126.1729392916891</v>
      </c>
      <c r="AR651" s="128">
        <v>2232.0494503253203</v>
      </c>
      <c r="AS651" s="128">
        <v>2343.1982679439416</v>
      </c>
      <c r="AT651" s="128">
        <v>2459.881935902109</v>
      </c>
      <c r="AU651" s="128">
        <v>2582.376071781166</v>
      </c>
      <c r="AV651" s="128">
        <v>2710.9700180233795</v>
      </c>
      <c r="AW651" s="128">
        <v>2845.9675253854648</v>
      </c>
      <c r="AX651" s="128">
        <v>2987.6874704258776</v>
      </c>
      <c r="AY651" s="128">
        <v>3136.4646087206429</v>
      </c>
      <c r="AZ651" s="128">
        <v>3292.6503655868901</v>
      </c>
      <c r="BA651" s="128">
        <v>3456.6136661818491</v>
      </c>
      <c r="BB651" s="128">
        <v>3628.7418069380869</v>
      </c>
      <c r="BC651" s="128">
        <f t="shared" si="210"/>
        <v>3809.4413703933869</v>
      </c>
      <c r="BD651" s="128">
        <f t="shared" si="210"/>
        <v>3999.1391855761881</v>
      </c>
      <c r="BE651" s="128">
        <f t="shared" si="210"/>
        <v>4198.2833362151014</v>
      </c>
      <c r="BF651" s="128">
        <f t="shared" si="210"/>
        <v>4407.344219153988</v>
      </c>
      <c r="BG651" s="128">
        <f t="shared" si="210"/>
        <v>4626.8156554726738</v>
      </c>
    </row>
    <row r="652" spans="1:59" ht="13.75" customHeight="1" outlineLevel="1">
      <c r="A652" s="141" t="s">
        <v>166</v>
      </c>
      <c r="B652" s="142" t="s">
        <v>607</v>
      </c>
      <c r="D652" s="142" t="s">
        <v>608</v>
      </c>
      <c r="F652" s="168" t="s">
        <v>612</v>
      </c>
      <c r="G652" s="109" t="s">
        <v>610</v>
      </c>
      <c r="W652" s="128">
        <v>277</v>
      </c>
      <c r="X652" s="128">
        <v>306</v>
      </c>
      <c r="Y652" s="128">
        <v>317</v>
      </c>
      <c r="Z652" s="128">
        <v>373</v>
      </c>
      <c r="AA652" s="128">
        <v>381</v>
      </c>
      <c r="AB652" s="128">
        <v>482</v>
      </c>
      <c r="AC652" s="128">
        <v>594</v>
      </c>
      <c r="AD652" s="128">
        <v>753</v>
      </c>
      <c r="AE652" s="128">
        <v>831</v>
      </c>
      <c r="AF652" s="128">
        <v>861.55488298829925</v>
      </c>
      <c r="AG652" s="128">
        <v>898.72644872830892</v>
      </c>
      <c r="AH652" s="128">
        <v>944.29304263864549</v>
      </c>
      <c r="AI652" s="128">
        <v>993.93477321653609</v>
      </c>
      <c r="AJ652" s="128">
        <v>1049.1975466073754</v>
      </c>
      <c r="AK652" s="128">
        <v>1107.5329301987454</v>
      </c>
      <c r="AL652" s="128">
        <v>1169.1117611177954</v>
      </c>
      <c r="AM652" s="128">
        <v>1234.1143750359447</v>
      </c>
      <c r="AN652" s="128">
        <v>1302.731134287943</v>
      </c>
      <c r="AO652" s="128">
        <v>1375.1629853543525</v>
      </c>
      <c r="AP652" s="128">
        <v>1451.6220473400542</v>
      </c>
      <c r="AQ652" s="128">
        <v>1532.3322331721611</v>
      </c>
      <c r="AR652" s="128">
        <v>1617.5299053365336</v>
      </c>
      <c r="AS652" s="128">
        <v>1707.4645680732442</v>
      </c>
      <c r="AT652" s="128">
        <v>1802.3995980581165</v>
      </c>
      <c r="AU652" s="128">
        <v>1902.6130157101472</v>
      </c>
      <c r="AV652" s="128">
        <v>2008.3982993836312</v>
      </c>
      <c r="AW652" s="128">
        <v>2120.0652448293608</v>
      </c>
      <c r="AX652" s="128">
        <v>2237.9408724418731</v>
      </c>
      <c r="AY652" s="128">
        <v>2362.370384949641</v>
      </c>
      <c r="AZ652" s="128">
        <v>2493.7181783528408</v>
      </c>
      <c r="BA652" s="128">
        <v>2632.3689090692583</v>
      </c>
      <c r="BB652" s="128">
        <v>2778.7286204135089</v>
      </c>
      <c r="BC652" s="128">
        <f t="shared" si="210"/>
        <v>2933.2259317084995</v>
      </c>
      <c r="BD652" s="128">
        <f t="shared" si="210"/>
        <v>3096.3132935114918</v>
      </c>
      <c r="BE652" s="128">
        <f t="shared" si="210"/>
        <v>3268.4683126307305</v>
      </c>
      <c r="BF652" s="128">
        <f t="shared" si="210"/>
        <v>3450.1951508129987</v>
      </c>
      <c r="BG652" s="128">
        <f t="shared" si="210"/>
        <v>3642.0260011982009</v>
      </c>
    </row>
    <row r="653" spans="1:59" ht="13.75" customHeight="1" outlineLevel="1">
      <c r="A653" s="141" t="s">
        <v>166</v>
      </c>
      <c r="B653" s="142" t="s">
        <v>607</v>
      </c>
      <c r="D653" s="142" t="s">
        <v>608</v>
      </c>
      <c r="F653" s="168" t="s">
        <v>613</v>
      </c>
      <c r="G653" s="109" t="s">
        <v>3</v>
      </c>
      <c r="W653" s="107">
        <v>6.6000000000000003E-2</v>
      </c>
      <c r="X653" s="107">
        <v>2.8000000000000001E-2</v>
      </c>
      <c r="Y653" s="107">
        <v>1.2999999999999999E-2</v>
      </c>
      <c r="Z653" s="107">
        <v>-4.5999999999999999E-3</v>
      </c>
      <c r="AA653" s="107">
        <v>3.6999999999999998E-2</v>
      </c>
      <c r="AB653" s="107">
        <v>-6.4000000000000003E-3</v>
      </c>
      <c r="AC653" s="107">
        <v>5.0299999999999997E-2</v>
      </c>
      <c r="AD653" s="107">
        <v>2.3999999999999998E-3</v>
      </c>
      <c r="AE653" s="107">
        <v>0.01</v>
      </c>
      <c r="AF653" s="107">
        <v>1.0005675586143792E-2</v>
      </c>
      <c r="AG653" s="107">
        <v>1.1592490734869641E-2</v>
      </c>
      <c r="AH653" s="107">
        <v>9.3366541113779639E-3</v>
      </c>
      <c r="AI653" s="107">
        <v>9.2978705836754116E-3</v>
      </c>
      <c r="AJ653" s="107">
        <v>1.0086308728913073E-2</v>
      </c>
      <c r="AK653" s="107">
        <v>1.0086308728913109E-2</v>
      </c>
      <c r="AL653" s="107">
        <v>1.0086308728913073E-2</v>
      </c>
      <c r="AM653" s="107">
        <v>1.0086308728913073E-2</v>
      </c>
      <c r="AN653" s="107">
        <v>1.0086308728913073E-2</v>
      </c>
      <c r="AO653" s="107">
        <v>1.0086308728913073E-2</v>
      </c>
      <c r="AP653" s="107">
        <v>1.0086308728913073E-2</v>
      </c>
      <c r="AQ653" s="107">
        <v>1.0086308728913073E-2</v>
      </c>
      <c r="AR653" s="107">
        <v>1.0086308728913073E-2</v>
      </c>
      <c r="AS653" s="107">
        <v>1.0086308728913073E-2</v>
      </c>
      <c r="AT653" s="107">
        <v>1.0086308728913073E-2</v>
      </c>
      <c r="AU653" s="107">
        <v>1.0086308728913073E-2</v>
      </c>
      <c r="AV653" s="107">
        <v>1.0086308728913073E-2</v>
      </c>
      <c r="AW653" s="107">
        <v>1.0086308728913073E-2</v>
      </c>
      <c r="AX653" s="107">
        <v>1.0086308728913073E-2</v>
      </c>
      <c r="AY653" s="107">
        <v>1.0086308728913109E-2</v>
      </c>
      <c r="AZ653" s="107">
        <v>1.0086308728913109E-2</v>
      </c>
      <c r="BA653" s="107">
        <v>1.0086308728913109E-2</v>
      </c>
      <c r="BB653" s="107">
        <v>1.0086308728913109E-2</v>
      </c>
      <c r="BC653" s="107">
        <f t="shared" si="210"/>
        <v>1.0086308728913109E-2</v>
      </c>
      <c r="BD653" s="107">
        <f t="shared" si="210"/>
        <v>1.0086308728913109E-2</v>
      </c>
      <c r="BE653" s="107">
        <f t="shared" si="210"/>
        <v>1.0086308728913109E-2</v>
      </c>
      <c r="BF653" s="107">
        <f t="shared" si="210"/>
        <v>1.0086308728913109E-2</v>
      </c>
      <c r="BG653" s="107">
        <f t="shared" si="210"/>
        <v>1.0086308728913109E-2</v>
      </c>
    </row>
    <row r="654" spans="1:59" ht="13.75" customHeight="1" outlineLevel="1">
      <c r="A654" s="141" t="s">
        <v>166</v>
      </c>
      <c r="B654" s="142" t="s">
        <v>607</v>
      </c>
      <c r="D654" s="142" t="s">
        <v>608</v>
      </c>
      <c r="F654" s="168" t="s">
        <v>614</v>
      </c>
      <c r="G654" s="109" t="s">
        <v>3</v>
      </c>
      <c r="W654" s="107">
        <v>0.158</v>
      </c>
      <c r="X654" s="107">
        <v>0.14199999999999999</v>
      </c>
      <c r="Y654" s="107">
        <v>6.9000000000000006E-2</v>
      </c>
      <c r="Z654" s="107">
        <v>6.1000000000000004E-3</v>
      </c>
      <c r="AA654" s="107">
        <v>7.3999999999999996E-2</v>
      </c>
      <c r="AB654" s="107">
        <v>3.0800000000000001E-2</v>
      </c>
      <c r="AC654" s="107">
        <v>8.5099999999999995E-2</v>
      </c>
      <c r="AD654" s="107">
        <v>6.3600000000000004E-2</v>
      </c>
      <c r="AE654" s="107">
        <v>0.125</v>
      </c>
      <c r="AF654" s="107">
        <v>6.8467703255444115E-2</v>
      </c>
      <c r="AG654" s="107">
        <v>6.4527859542207758E-2</v>
      </c>
      <c r="AH654" s="107">
        <v>6.0501643784519485E-2</v>
      </c>
      <c r="AI654" s="107">
        <v>6.0432422969169369E-2</v>
      </c>
      <c r="AJ654" s="107">
        <v>6.1839626864726695E-2</v>
      </c>
      <c r="AK654" s="107">
        <v>6.1839626864726764E-2</v>
      </c>
      <c r="AL654" s="107">
        <v>6.1839626864726695E-2</v>
      </c>
      <c r="AM654" s="107">
        <v>6.1839626864726695E-2</v>
      </c>
      <c r="AN654" s="107">
        <v>6.1839626864726695E-2</v>
      </c>
      <c r="AO654" s="107">
        <v>6.1839626864726695E-2</v>
      </c>
      <c r="AP654" s="107">
        <v>6.1839626864726695E-2</v>
      </c>
      <c r="AQ654" s="107">
        <v>6.1839626864726695E-2</v>
      </c>
      <c r="AR654" s="107">
        <v>6.1839626864726695E-2</v>
      </c>
      <c r="AS654" s="107">
        <v>6.1839626864726695E-2</v>
      </c>
      <c r="AT654" s="107">
        <v>6.1839626864726695E-2</v>
      </c>
      <c r="AU654" s="107">
        <v>6.1839626864726695E-2</v>
      </c>
      <c r="AV654" s="107">
        <v>6.1839626864726695E-2</v>
      </c>
      <c r="AW654" s="107">
        <v>6.1839626864726695E-2</v>
      </c>
      <c r="AX654" s="107">
        <v>6.1839626864726695E-2</v>
      </c>
      <c r="AY654" s="107">
        <v>6.1839626864726764E-2</v>
      </c>
      <c r="AZ654" s="107">
        <v>6.1839626864726764E-2</v>
      </c>
      <c r="BA654" s="107">
        <v>6.1839626864726764E-2</v>
      </c>
      <c r="BB654" s="107">
        <v>6.1839626864726764E-2</v>
      </c>
      <c r="BC654" s="107">
        <f t="shared" si="210"/>
        <v>6.1839626864726764E-2</v>
      </c>
      <c r="BD654" s="107">
        <f t="shared" si="210"/>
        <v>6.1839626864726764E-2</v>
      </c>
      <c r="BE654" s="107">
        <f t="shared" si="210"/>
        <v>6.1839626864726764E-2</v>
      </c>
      <c r="BF654" s="107">
        <f t="shared" si="210"/>
        <v>6.1839626864726764E-2</v>
      </c>
      <c r="BG654" s="107">
        <f t="shared" si="210"/>
        <v>6.1839626864726764E-2</v>
      </c>
    </row>
    <row r="655" spans="1:59" ht="13.75" customHeight="1" outlineLevel="1">
      <c r="F655" s="168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</row>
    <row r="656" spans="1:59" ht="13.75" customHeight="1" outlineLevel="1">
      <c r="F656" s="168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</row>
    <row r="657" spans="1:59" ht="13.75" customHeight="1" outlineLevel="1">
      <c r="F657" s="168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</row>
    <row r="658" spans="1:59" ht="13.75" customHeight="1" outlineLevel="1">
      <c r="F658" s="168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</row>
    <row r="659" spans="1:59" ht="13.75" customHeight="1" outlineLevel="1">
      <c r="F659" s="168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</row>
    <row r="660" spans="1:59" ht="13.75" customHeight="1" outlineLevel="1">
      <c r="B660" s="141"/>
      <c r="C660" s="141"/>
      <c r="D660" s="141"/>
      <c r="E660" s="141"/>
      <c r="F660" s="141"/>
      <c r="G660" s="141"/>
      <c r="H660" s="141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</row>
    <row r="661" spans="1:59" ht="13.75" customHeight="1" outlineLevel="1">
      <c r="F661" s="141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</row>
    <row r="662" spans="1:59" ht="13.75" customHeight="1" outlineLevel="1">
      <c r="F662" s="141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</row>
    <row r="663" spans="1:59" ht="13.75" customHeight="1" outlineLevel="1">
      <c r="F663" s="141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</row>
    <row r="664" spans="1:59" ht="13.75" customHeight="1" outlineLevel="1">
      <c r="F664" s="141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</row>
    <row r="665" spans="1:59" ht="13.75" customHeight="1" outlineLevel="1">
      <c r="F665" s="141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</row>
    <row r="666" spans="1:59" ht="13.75" customHeight="1" outlineLevel="1">
      <c r="F666" s="141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</row>
    <row r="667" spans="1:59" ht="13.75" customHeight="1" outlineLevel="1">
      <c r="F667" s="141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</row>
    <row r="668" spans="1:59" ht="13.75" customHeight="1">
      <c r="A668" s="171" t="s">
        <v>166</v>
      </c>
      <c r="B668" s="165" t="s">
        <v>245</v>
      </c>
      <c r="C668" s="165"/>
      <c r="D668" s="165" t="s">
        <v>168</v>
      </c>
      <c r="E668" s="167"/>
      <c r="F668" s="168" t="s">
        <v>615</v>
      </c>
      <c r="G668" s="168" t="s">
        <v>247</v>
      </c>
      <c r="W668" s="112">
        <v>11.827118333333335</v>
      </c>
      <c r="X668" s="112">
        <v>18.2333125</v>
      </c>
      <c r="Y668" s="112">
        <v>23.207047500000002</v>
      </c>
      <c r="Z668" s="112">
        <v>20.847792499999997</v>
      </c>
      <c r="AA668" s="112">
        <v>22.728607297979799</v>
      </c>
      <c r="AB668" s="112">
        <v>23.364709595959596</v>
      </c>
      <c r="AC668" s="112">
        <v>28.96003787878788</v>
      </c>
      <c r="AD668" s="112">
        <v>47.804734848484848</v>
      </c>
      <c r="AE668" s="112">
        <v>38.037020202020202</v>
      </c>
      <c r="AF668" s="112">
        <v>30.250417617573227</v>
      </c>
      <c r="AG668" s="112">
        <v>33.821239946472772</v>
      </c>
      <c r="AH668" s="112">
        <v>35.131629183794601</v>
      </c>
      <c r="AI668" s="112">
        <v>35.734002204489727</v>
      </c>
      <c r="AJ668" s="112">
        <v>36.594476977573841</v>
      </c>
      <c r="AK668" s="112">
        <v>37.475671983193813</v>
      </c>
      <c r="AL668" s="112">
        <v>38.378086164549117</v>
      </c>
      <c r="AM668" s="112">
        <v>39.302230479391461</v>
      </c>
      <c r="AN668" s="112">
        <v>40.248628189335207</v>
      </c>
      <c r="AO668" s="112">
        <v>41.2178151561344</v>
      </c>
      <c r="AP668" s="112">
        <v>42.210340145094115</v>
      </c>
      <c r="AQ668" s="112">
        <v>43.226765135787979</v>
      </c>
      <c r="AR668" s="112">
        <v>44.267665640257754</v>
      </c>
      <c r="AS668" s="112">
        <v>45.33363102887516</v>
      </c>
      <c r="AT668" s="112">
        <v>46.425264864050476</v>
      </c>
      <c r="AU668" s="112">
        <v>47.543185241976808</v>
      </c>
      <c r="AV668" s="112">
        <v>48.688025142603614</v>
      </c>
      <c r="AW668" s="112">
        <v>49.860432788037507</v>
      </c>
      <c r="AX668" s="112">
        <v>51.061072009573451</v>
      </c>
      <c r="AY668" s="112">
        <v>52.290622623563983</v>
      </c>
      <c r="AZ668" s="112">
        <v>53.549780816339407</v>
      </c>
      <c r="BA668" s="112">
        <v>54.83925953839686</v>
      </c>
      <c r="BB668" s="112">
        <v>56.15978890808146</v>
      </c>
      <c r="BC668" s="112">
        <f t="shared" ref="BC668:BG675" si="211">BB668*(1+((BB668-BA668)/BA668))</f>
        <v>57.512116624988067</v>
      </c>
      <c r="BD668" s="112">
        <f t="shared" si="211"/>
        <v>58.897008393317783</v>
      </c>
      <c r="BE668" s="112">
        <f t="shared" si="211"/>
        <v>60.315248355428885</v>
      </c>
      <c r="BF668" s="112">
        <f t="shared" si="211"/>
        <v>61.76763953582762</v>
      </c>
      <c r="BG668" s="112">
        <f t="shared" si="211"/>
        <v>63.255004295850355</v>
      </c>
    </row>
    <row r="669" spans="1:59" ht="13.75" customHeight="1" outlineLevel="1">
      <c r="A669" s="171" t="s">
        <v>166</v>
      </c>
      <c r="B669" s="165" t="s">
        <v>245</v>
      </c>
      <c r="C669" s="165"/>
      <c r="D669" s="165" t="s">
        <v>168</v>
      </c>
      <c r="E669" s="167"/>
      <c r="F669" s="168" t="s">
        <v>616</v>
      </c>
      <c r="G669" s="168" t="s">
        <v>4</v>
      </c>
      <c r="W669" s="119">
        <v>914.59099962227231</v>
      </c>
      <c r="X669" s="119">
        <v>776.72680744413924</v>
      </c>
      <c r="Y669" s="119">
        <v>822.28101068588364</v>
      </c>
      <c r="Z669" s="119">
        <v>875.14927781642893</v>
      </c>
      <c r="AA669" s="119">
        <v>845.8768073333332</v>
      </c>
      <c r="AB669" s="119">
        <v>859.10722899999985</v>
      </c>
      <c r="AC669" s="119">
        <v>911.79510558333322</v>
      </c>
      <c r="AD669" s="119">
        <v>1509.0777068333334</v>
      </c>
      <c r="AE669" s="119">
        <v>1742.4902749098053</v>
      </c>
      <c r="AF669" s="119">
        <v>1076.7565342468729</v>
      </c>
      <c r="AG669" s="119">
        <v>1015.5886131666666</v>
      </c>
      <c r="AH669" s="119">
        <v>951.38481683093346</v>
      </c>
      <c r="AI669" s="119">
        <v>955.30296676315879</v>
      </c>
      <c r="AJ669" s="119">
        <v>959.12417863021142</v>
      </c>
      <c r="AK669" s="119">
        <v>962.96067534473229</v>
      </c>
      <c r="AL669" s="119">
        <v>966.81251804611122</v>
      </c>
      <c r="AM669" s="119">
        <v>970.67976811829567</v>
      </c>
      <c r="AN669" s="119">
        <v>974.56248719076882</v>
      </c>
      <c r="AO669" s="119">
        <v>978.46073713953194</v>
      </c>
      <c r="AP669" s="119">
        <v>982.37458008809006</v>
      </c>
      <c r="AQ669" s="119">
        <v>986.30407840844236</v>
      </c>
      <c r="AR669" s="119">
        <v>990.24929472207612</v>
      </c>
      <c r="AS669" s="119">
        <v>994.21029190096442</v>
      </c>
      <c r="AT669" s="119">
        <v>998.1871330685683</v>
      </c>
      <c r="AU669" s="119">
        <v>1002.1798816008426</v>
      </c>
      <c r="AV669" s="119">
        <v>1006.188601127246</v>
      </c>
      <c r="AW669" s="119">
        <v>1010.2133555317549</v>
      </c>
      <c r="AX669" s="119">
        <v>1014.254208953882</v>
      </c>
      <c r="AY669" s="119">
        <v>1018.3112257896975</v>
      </c>
      <c r="AZ669" s="119">
        <v>1022.3844706928562</v>
      </c>
      <c r="BA669" s="119">
        <v>1026.4740085756277</v>
      </c>
      <c r="BB669" s="119">
        <v>1030.5799046099303</v>
      </c>
      <c r="BC669" s="119">
        <f t="shared" si="211"/>
        <v>1034.7022242283699</v>
      </c>
      <c r="BD669" s="119">
        <f t="shared" si="211"/>
        <v>1038.8410331252835</v>
      </c>
      <c r="BE669" s="119">
        <f t="shared" si="211"/>
        <v>1042.9963972577846</v>
      </c>
      <c r="BF669" s="119">
        <f t="shared" si="211"/>
        <v>1047.1683828468158</v>
      </c>
      <c r="BG669" s="119">
        <f t="shared" si="211"/>
        <v>1051.357056378203</v>
      </c>
    </row>
    <row r="670" spans="1:59" ht="13.75" customHeight="1" outlineLevel="1">
      <c r="A670" s="171" t="s">
        <v>166</v>
      </c>
      <c r="B670" s="165" t="s">
        <v>245</v>
      </c>
      <c r="C670" s="165"/>
      <c r="D670" s="165" t="s">
        <v>168</v>
      </c>
      <c r="E670" s="167"/>
      <c r="F670" s="168" t="s">
        <v>617</v>
      </c>
      <c r="G670" s="168" t="s">
        <v>247</v>
      </c>
      <c r="W670" s="112">
        <v>12.589084166666668</v>
      </c>
      <c r="X670" s="112">
        <v>15.168315833333333</v>
      </c>
      <c r="Y670" s="112">
        <v>15.558869999999999</v>
      </c>
      <c r="Z670" s="112">
        <v>14.0741675</v>
      </c>
      <c r="AA670" s="112">
        <v>17.183060833333336</v>
      </c>
      <c r="AB670" s="112">
        <v>17.432308333333335</v>
      </c>
      <c r="AC670" s="112">
        <v>18.824400000000001</v>
      </c>
      <c r="AD670" s="112">
        <v>20.837076666666668</v>
      </c>
      <c r="AE670" s="112">
        <v>23.195639583333335</v>
      </c>
      <c r="AF670" s="112">
        <v>20.175497384726111</v>
      </c>
      <c r="AG670" s="112">
        <v>23.749306296647237</v>
      </c>
      <c r="AH670" s="112">
        <v>24.555942779513131</v>
      </c>
      <c r="AI670" s="112">
        <v>24.863302317723861</v>
      </c>
      <c r="AJ670" s="112">
        <v>25.300359391185737</v>
      </c>
      <c r="AK670" s="112">
        <v>25.745099228707758</v>
      </c>
      <c r="AL670" s="112">
        <v>26.197656880989676</v>
      </c>
      <c r="AM670" s="112">
        <v>26.658169772706461</v>
      </c>
      <c r="AN670" s="112">
        <v>27.126777744239007</v>
      </c>
      <c r="AO670" s="112">
        <v>27.603623094138342</v>
      </c>
      <c r="AP670" s="112">
        <v>28.088850622336345</v>
      </c>
      <c r="AQ670" s="112">
        <v>28.582607674116026</v>
      </c>
      <c r="AR670" s="112">
        <v>29.085044184854706</v>
      </c>
      <c r="AS670" s="112">
        <v>29.596312725553759</v>
      </c>
      <c r="AT670" s="112">
        <v>30.116568549168637</v>
      </c>
      <c r="AU670" s="112">
        <v>30.645969637753346</v>
      </c>
      <c r="AV670" s="112">
        <v>31.184676750433631</v>
      </c>
      <c r="AW670" s="112">
        <v>31.73285347222345</v>
      </c>
      <c r="AX670" s="112">
        <v>32.290666263699578</v>
      </c>
      <c r="AY670" s="112">
        <v>32.8582845115494</v>
      </c>
      <c r="AZ670" s="112">
        <v>33.435880580007222</v>
      </c>
      <c r="BA670" s="112">
        <v>34.023629863194827</v>
      </c>
      <c r="BB670" s="112">
        <v>34.621710838382008</v>
      </c>
      <c r="BC670" s="112">
        <f t="shared" si="211"/>
        <v>35.230305120183417</v>
      </c>
      <c r="BD670" s="112">
        <f t="shared" si="211"/>
        <v>35.849597515708048</v>
      </c>
      <c r="BE670" s="112">
        <f t="shared" si="211"/>
        <v>36.479776080678164</v>
      </c>
      <c r="BF670" s="112">
        <f t="shared" si="211"/>
        <v>37.121032176534754</v>
      </c>
      <c r="BG670" s="112">
        <f t="shared" si="211"/>
        <v>37.773560528546746</v>
      </c>
    </row>
    <row r="671" spans="1:59" ht="13.75" customHeight="1" outlineLevel="1">
      <c r="A671" s="171" t="s">
        <v>166</v>
      </c>
      <c r="B671" s="165" t="s">
        <v>245</v>
      </c>
      <c r="C671" s="165"/>
      <c r="D671" s="165" t="s">
        <v>168</v>
      </c>
      <c r="E671" s="167"/>
      <c r="F671" s="168" t="s">
        <v>618</v>
      </c>
      <c r="G671" s="168" t="s">
        <v>4</v>
      </c>
      <c r="W671" s="112">
        <v>262.185</v>
      </c>
      <c r="X671" s="112">
        <v>201.59</v>
      </c>
      <c r="Y671" s="112">
        <v>178.05250000000001</v>
      </c>
      <c r="Z671" s="112">
        <v>188.5025</v>
      </c>
      <c r="AA671" s="112">
        <v>213.93583333333336</v>
      </c>
      <c r="AB671" s="112">
        <v>208.99666666666667</v>
      </c>
      <c r="AC671" s="112">
        <v>224.50416666666669</v>
      </c>
      <c r="AD671" s="112">
        <v>284.96333333333337</v>
      </c>
      <c r="AE671" s="112">
        <v>349.51111666666668</v>
      </c>
      <c r="AF671" s="112">
        <v>258.72192404861113</v>
      </c>
      <c r="AG671" s="112">
        <v>262.49293061354649</v>
      </c>
      <c r="AH671" s="112">
        <v>269.40382606367484</v>
      </c>
      <c r="AI671" s="112">
        <v>270.51332935210098</v>
      </c>
      <c r="AJ671" s="112">
        <v>271.59538266950938</v>
      </c>
      <c r="AK671" s="112">
        <v>272.68176420018739</v>
      </c>
      <c r="AL671" s="112">
        <v>273.77249125698813</v>
      </c>
      <c r="AM671" s="112">
        <v>274.8675812220161</v>
      </c>
      <c r="AN671" s="112">
        <v>275.96705154690414</v>
      </c>
      <c r="AO671" s="112">
        <v>277.07091975309174</v>
      </c>
      <c r="AP671" s="112">
        <v>278.17920343210409</v>
      </c>
      <c r="AQ671" s="112">
        <v>279.2919202458325</v>
      </c>
      <c r="AR671" s="112">
        <v>280.40908792681586</v>
      </c>
      <c r="AS671" s="112">
        <v>281.53072427852311</v>
      </c>
      <c r="AT671" s="112">
        <v>282.65684717563721</v>
      </c>
      <c r="AU671" s="112">
        <v>283.78747456433979</v>
      </c>
      <c r="AV671" s="112">
        <v>284.92262446259713</v>
      </c>
      <c r="AW671" s="112">
        <v>286.06231496044751</v>
      </c>
      <c r="AX671" s="112">
        <v>287.20656422028929</v>
      </c>
      <c r="AY671" s="112">
        <v>288.35539047717043</v>
      </c>
      <c r="AZ671" s="112">
        <v>289.50881203907909</v>
      </c>
      <c r="BA671" s="112">
        <v>290.66684728723538</v>
      </c>
      <c r="BB671" s="112">
        <v>291.82951467638435</v>
      </c>
      <c r="BC671" s="112">
        <f t="shared" si="211"/>
        <v>292.99683273508987</v>
      </c>
      <c r="BD671" s="112">
        <f t="shared" si="211"/>
        <v>294.16882006603021</v>
      </c>
      <c r="BE671" s="112">
        <f t="shared" si="211"/>
        <v>295.34549534629434</v>
      </c>
      <c r="BF671" s="112">
        <f t="shared" si="211"/>
        <v>296.52687732767953</v>
      </c>
      <c r="BG671" s="112">
        <f t="shared" si="211"/>
        <v>297.71298483699024</v>
      </c>
    </row>
    <row r="672" spans="1:59" ht="13.75" customHeight="1" outlineLevel="1">
      <c r="A672" s="141" t="s">
        <v>166</v>
      </c>
      <c r="B672" s="170" t="s">
        <v>245</v>
      </c>
      <c r="C672" s="170"/>
      <c r="D672" s="170" t="s">
        <v>168</v>
      </c>
      <c r="E672" s="168"/>
      <c r="F672" s="168" t="s">
        <v>619</v>
      </c>
      <c r="G672" s="168" t="s">
        <v>4</v>
      </c>
      <c r="W672" s="112"/>
      <c r="X672" s="112"/>
      <c r="Y672" s="112">
        <v>10.35282383675731</v>
      </c>
      <c r="Z672" s="112">
        <v>13.066073309734026</v>
      </c>
      <c r="AA672" s="112">
        <v>14.119942684155323</v>
      </c>
      <c r="AB672" s="112">
        <v>19.534076779892366</v>
      </c>
      <c r="AC672" s="112">
        <v>19.534008996418954</v>
      </c>
      <c r="AD672" s="112">
        <v>31.618066832660922</v>
      </c>
      <c r="AE672" s="112">
        <v>18.183645813747141</v>
      </c>
      <c r="AF672" s="112">
        <v>11.053028219888771</v>
      </c>
      <c r="AG672" s="112">
        <v>13.263633863866525</v>
      </c>
      <c r="AH672" s="112">
        <v>13.536756291329045</v>
      </c>
      <c r="AI672" s="112">
        <v>13.815502808022968</v>
      </c>
      <c r="AJ672" s="112">
        <v>14.091812864183428</v>
      </c>
      <c r="AK672" s="112">
        <v>14.373649121467096</v>
      </c>
      <c r="AL672" s="112">
        <v>14.661122103896439</v>
      </c>
      <c r="AM672" s="112">
        <v>14.954344545974369</v>
      </c>
      <c r="AN672" s="112">
        <v>15.253431436893857</v>
      </c>
      <c r="AO672" s="112">
        <v>15.558500065631735</v>
      </c>
      <c r="AP672" s="112">
        <v>15.869670066944369</v>
      </c>
      <c r="AQ672" s="112">
        <v>16.187063468283256</v>
      </c>
      <c r="AR672" s="112">
        <v>16.510804737648922</v>
      </c>
      <c r="AS672" s="112">
        <v>16.841020832401899</v>
      </c>
      <c r="AT672" s="112">
        <v>17.177841249049937</v>
      </c>
      <c r="AU672" s="112">
        <v>17.521398074030937</v>
      </c>
      <c r="AV672" s="112">
        <v>17.871826035511557</v>
      </c>
      <c r="AW672" s="112">
        <v>18.229262556221787</v>
      </c>
      <c r="AX672" s="112">
        <v>18.593847807346222</v>
      </c>
      <c r="AY672" s="112">
        <v>18.965724763493146</v>
      </c>
      <c r="AZ672" s="112">
        <v>19.345039258763009</v>
      </c>
      <c r="BA672" s="112">
        <v>19.73194004393827</v>
      </c>
      <c r="BB672" s="112">
        <v>20.126578844817036</v>
      </c>
      <c r="BC672" s="112">
        <f t="shared" si="211"/>
        <v>20.529110421713376</v>
      </c>
      <c r="BD672" s="112">
        <f t="shared" si="211"/>
        <v>20.939692630147643</v>
      </c>
      <c r="BE672" s="112">
        <f t="shared" si="211"/>
        <v>21.358486482750596</v>
      </c>
      <c r="BF672" s="112">
        <f t="shared" si="211"/>
        <v>21.785656212405609</v>
      </c>
      <c r="BG672" s="112">
        <f t="shared" si="211"/>
        <v>22.221369336653723</v>
      </c>
    </row>
    <row r="673" spans="1:59" ht="13.75" customHeight="1" outlineLevel="1">
      <c r="A673" s="141" t="s">
        <v>166</v>
      </c>
      <c r="B673" s="170" t="s">
        <v>245</v>
      </c>
      <c r="C673" s="170"/>
      <c r="D673" s="170" t="s">
        <v>168</v>
      </c>
      <c r="E673" s="168"/>
      <c r="F673" s="168" t="s">
        <v>620</v>
      </c>
      <c r="G673" s="168" t="s">
        <v>4</v>
      </c>
      <c r="W673" s="112"/>
      <c r="X673" s="112"/>
      <c r="Y673" s="112">
        <v>11.038517710132222</v>
      </c>
      <c r="Z673" s="112">
        <v>12.47193044879112</v>
      </c>
      <c r="AA673" s="112">
        <v>15.332111357506392</v>
      </c>
      <c r="AB673" s="112">
        <v>18.455157746176841</v>
      </c>
      <c r="AC673" s="112">
        <v>21.375887021928882</v>
      </c>
      <c r="AD673" s="112">
        <v>30.430985127259774</v>
      </c>
      <c r="AE673" s="112">
        <v>27.120075194875419</v>
      </c>
      <c r="AF673" s="112">
        <v>24.299839089338761</v>
      </c>
      <c r="AG673" s="112">
        <v>23.084847134871822</v>
      </c>
      <c r="AH673" s="112">
        <v>23.560206267353138</v>
      </c>
      <c r="AI673" s="112">
        <v>24.045353911905305</v>
      </c>
      <c r="AJ673" s="112">
        <v>24.526260990143413</v>
      </c>
      <c r="AK673" s="112">
        <v>25.016786209946282</v>
      </c>
      <c r="AL673" s="112">
        <v>25.517121934145209</v>
      </c>
      <c r="AM673" s="112">
        <v>26.027464372828113</v>
      </c>
      <c r="AN673" s="112">
        <v>26.548013660284678</v>
      </c>
      <c r="AO673" s="112">
        <v>27.078973933490371</v>
      </c>
      <c r="AP673" s="112">
        <v>27.620553412160177</v>
      </c>
      <c r="AQ673" s="112">
        <v>28.17296448040338</v>
      </c>
      <c r="AR673" s="112">
        <v>28.736423770011449</v>
      </c>
      <c r="AS673" s="112">
        <v>29.311152245411677</v>
      </c>
      <c r="AT673" s="112">
        <v>29.897375290319911</v>
      </c>
      <c r="AU673" s="112">
        <v>30.49532279612631</v>
      </c>
      <c r="AV673" s="112">
        <v>31.105229252048836</v>
      </c>
      <c r="AW673" s="112">
        <v>31.727333837089812</v>
      </c>
      <c r="AX673" s="112">
        <v>32.361880513831608</v>
      </c>
      <c r="AY673" s="112">
        <v>33.009118124108241</v>
      </c>
      <c r="AZ673" s="112">
        <v>33.669300486590409</v>
      </c>
      <c r="BA673" s="112">
        <v>34.342686496322216</v>
      </c>
      <c r="BB673" s="112">
        <v>35.029540226248663</v>
      </c>
      <c r="BC673" s="112">
        <f t="shared" si="211"/>
        <v>35.730131030773634</v>
      </c>
      <c r="BD673" s="112">
        <f t="shared" si="211"/>
        <v>36.444733651389107</v>
      </c>
      <c r="BE673" s="112">
        <f t="shared" si="211"/>
        <v>37.173628324416889</v>
      </c>
      <c r="BF673" s="112">
        <f t="shared" si="211"/>
        <v>37.917100890905225</v>
      </c>
      <c r="BG673" s="112">
        <f t="shared" si="211"/>
        <v>38.675442908723333</v>
      </c>
    </row>
    <row r="674" spans="1:59" ht="13.75" customHeight="1" outlineLevel="1">
      <c r="A674" s="171" t="s">
        <v>166</v>
      </c>
      <c r="B674" s="165" t="s">
        <v>245</v>
      </c>
      <c r="C674" s="165"/>
      <c r="D674" s="165" t="s">
        <v>168</v>
      </c>
      <c r="E674" s="167"/>
      <c r="F674" s="168" t="s">
        <v>621</v>
      </c>
      <c r="G674" s="168" t="s">
        <v>247</v>
      </c>
      <c r="W674" s="112"/>
      <c r="X674" s="112">
        <v>155.9848484848485</v>
      </c>
      <c r="Y674" s="112">
        <v>171.43939393939394</v>
      </c>
      <c r="Z674" s="112">
        <v>171.89393939393935</v>
      </c>
      <c r="AA674" s="112">
        <v>218.63636363636363</v>
      </c>
      <c r="AB674" s="112">
        <v>237.19696969696969</v>
      </c>
      <c r="AC674" s="112">
        <v>199.84848484848484</v>
      </c>
      <c r="AD674" s="112">
        <v>204.24242424242422</v>
      </c>
      <c r="AE674" s="112">
        <v>237.84469696969697</v>
      </c>
      <c r="AF674" s="112">
        <v>245.92424242424241</v>
      </c>
      <c r="AG674" s="112">
        <v>246.35833333333335</v>
      </c>
      <c r="AH674" s="112">
        <v>268.63541666666669</v>
      </c>
      <c r="AI674" s="112">
        <v>275.61993750000005</v>
      </c>
      <c r="AJ674" s="112">
        <v>286.75498297500002</v>
      </c>
      <c r="AK674" s="112">
        <v>298.33988428719005</v>
      </c>
      <c r="AL674" s="112">
        <v>310.39281561239255</v>
      </c>
      <c r="AM674" s="112">
        <v>322.93268536313326</v>
      </c>
      <c r="AN674" s="112">
        <v>335.97916585180383</v>
      </c>
      <c r="AO674" s="112">
        <v>349.55272415221674</v>
      </c>
      <c r="AP674" s="112">
        <v>363.67465420796634</v>
      </c>
      <c r="AQ674" s="112">
        <v>378.36711023796818</v>
      </c>
      <c r="AR674" s="112">
        <v>393.65314149158212</v>
      </c>
      <c r="AS674" s="112">
        <v>409.55672840784206</v>
      </c>
      <c r="AT674" s="112">
        <v>426.10282023551889</v>
      </c>
      <c r="AU674" s="112">
        <v>443.31737417303384</v>
      </c>
      <c r="AV674" s="112">
        <v>461.22739608962445</v>
      </c>
      <c r="AW674" s="112">
        <v>479.86098289164534</v>
      </c>
      <c r="AX674" s="112">
        <v>499.24736660046784</v>
      </c>
      <c r="AY674" s="112">
        <v>519.41696021112682</v>
      </c>
      <c r="AZ674" s="112">
        <v>540.40140540365644</v>
      </c>
      <c r="BA674" s="112">
        <v>562.23362218196417</v>
      </c>
      <c r="BB674" s="112">
        <v>584.94786051811548</v>
      </c>
      <c r="BC674" s="112">
        <f t="shared" si="211"/>
        <v>608.57975408304731</v>
      </c>
      <c r="BD674" s="112">
        <f t="shared" si="211"/>
        <v>633.16637614800243</v>
      </c>
      <c r="BE674" s="112">
        <f t="shared" si="211"/>
        <v>658.74629774438176</v>
      </c>
      <c r="BF674" s="112">
        <f t="shared" si="211"/>
        <v>685.35964817325475</v>
      </c>
      <c r="BG674" s="112">
        <f t="shared" si="211"/>
        <v>713.04817795945428</v>
      </c>
    </row>
    <row r="675" spans="1:59" ht="13.75" customHeight="1" outlineLevel="1">
      <c r="A675" s="171" t="s">
        <v>166</v>
      </c>
      <c r="B675" s="165" t="s">
        <v>245</v>
      </c>
      <c r="C675" s="165"/>
      <c r="D675" s="165" t="s">
        <v>168</v>
      </c>
      <c r="E675" s="167"/>
      <c r="F675" s="168" t="s">
        <v>622</v>
      </c>
      <c r="G675" s="168" t="s">
        <v>247</v>
      </c>
      <c r="W675" s="112"/>
      <c r="X675" s="112"/>
      <c r="Y675" s="112"/>
      <c r="Z675" s="112">
        <v>143.25757575757575</v>
      </c>
      <c r="AA675" s="112">
        <v>141.47348484848484</v>
      </c>
      <c r="AB675" s="112">
        <v>104.52840909090908</v>
      </c>
      <c r="AC675" s="112">
        <v>136.68560606060606</v>
      </c>
      <c r="AD675" s="112">
        <v>202.87878787878788</v>
      </c>
      <c r="AE675" s="112">
        <v>170.625</v>
      </c>
      <c r="AF675" s="112">
        <v>214.15351162902914</v>
      </c>
      <c r="AG675" s="112">
        <v>128.32304752340278</v>
      </c>
      <c r="AH675" s="112">
        <v>140.90169647692599</v>
      </c>
      <c r="AI675" s="112">
        <v>145.66887524048255</v>
      </c>
      <c r="AJ675" s="112">
        <v>151.55389780019806</v>
      </c>
      <c r="AK675" s="112">
        <v>157.67667527132608</v>
      </c>
      <c r="AL675" s="112">
        <v>164.04681295228767</v>
      </c>
      <c r="AM675" s="112">
        <v>170.6743041955601</v>
      </c>
      <c r="AN675" s="112">
        <v>177.56954608506072</v>
      </c>
      <c r="AO675" s="112">
        <v>184.74335574689718</v>
      </c>
      <c r="AP675" s="112">
        <v>192.20698731907183</v>
      </c>
      <c r="AQ675" s="112">
        <v>199.97214960676234</v>
      </c>
      <c r="AR675" s="112">
        <v>208.05102445087553</v>
      </c>
      <c r="AS675" s="112">
        <v>216.45628583869092</v>
      </c>
      <c r="AT675" s="112">
        <v>225.20111978657405</v>
      </c>
      <c r="AU675" s="112">
        <v>234.29924502595165</v>
      </c>
      <c r="AV675" s="112">
        <v>243.76493452500009</v>
      </c>
      <c r="AW675" s="112">
        <v>253.61303787981012</v>
      </c>
      <c r="AX675" s="112">
        <v>263.85900461015444</v>
      </c>
      <c r="AY675" s="112">
        <v>274.5189083964047</v>
      </c>
      <c r="AZ675" s="112">
        <v>285.60947229561947</v>
      </c>
      <c r="BA675" s="112">
        <v>297.14809497636247</v>
      </c>
      <c r="BB675" s="112">
        <v>309.15287801340753</v>
      </c>
      <c r="BC675" s="112">
        <f t="shared" si="211"/>
        <v>321.64265428514921</v>
      </c>
      <c r="BD675" s="112">
        <f t="shared" si="211"/>
        <v>334.6370175182692</v>
      </c>
      <c r="BE675" s="112">
        <f t="shared" si="211"/>
        <v>348.15635302600725</v>
      </c>
      <c r="BF675" s="112">
        <f t="shared" si="211"/>
        <v>362.22186968825793</v>
      </c>
      <c r="BG675" s="112">
        <f t="shared" si="211"/>
        <v>376.85563322366352</v>
      </c>
    </row>
    <row r="676" spans="1:59" ht="13.75" customHeight="1" outlineLevel="1">
      <c r="B676" s="165"/>
      <c r="C676" s="165"/>
      <c r="F676" s="168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</row>
    <row r="677" spans="1:59" ht="13.75" customHeight="1" outlineLevel="1">
      <c r="B677" s="165"/>
      <c r="C677" s="165"/>
      <c r="F677" s="168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</row>
    <row r="678" spans="1:59" ht="13.75" customHeight="1" outlineLevel="1">
      <c r="B678" s="165"/>
      <c r="C678" s="165"/>
      <c r="F678" s="168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</row>
    <row r="679" spans="1:59" ht="13.75" customHeight="1" outlineLevel="1">
      <c r="B679" s="165"/>
      <c r="C679" s="165"/>
      <c r="F679" s="168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</row>
    <row r="680" spans="1:59" ht="13.75" customHeight="1" outlineLevel="1">
      <c r="B680" s="165"/>
      <c r="C680" s="165"/>
      <c r="F680" s="168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</row>
    <row r="681" spans="1:59" ht="13.75" customHeight="1" outlineLevel="1">
      <c r="B681" s="165"/>
      <c r="C681" s="165"/>
      <c r="F681" s="168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</row>
    <row r="682" spans="1:59" ht="13.75" customHeight="1" outlineLevel="1">
      <c r="B682" s="165"/>
      <c r="C682" s="165"/>
      <c r="F682" s="168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</row>
    <row r="683" spans="1:59" ht="13.75" customHeight="1" outlineLevel="1">
      <c r="B683" s="165"/>
      <c r="C683" s="165"/>
      <c r="F683" s="168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</row>
    <row r="684" spans="1:59" ht="13.75" customHeight="1" outlineLevel="1">
      <c r="B684" s="165"/>
      <c r="C684" s="165"/>
      <c r="F684" s="168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</row>
    <row r="685" spans="1:59" ht="13.75" customHeight="1" outlineLevel="1">
      <c r="B685" s="165"/>
      <c r="C685" s="165"/>
      <c r="F685" s="168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</row>
    <row r="686" spans="1:59" ht="13.75" customHeight="1" outlineLevel="1">
      <c r="B686" s="165"/>
      <c r="C686" s="165"/>
      <c r="F686" s="168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</row>
    <row r="687" spans="1:59" ht="13.75" customHeight="1" outlineLevel="1">
      <c r="B687" s="165"/>
      <c r="C687" s="165"/>
      <c r="F687" s="168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</row>
    <row r="688" spans="1:59" ht="13.75" customHeight="1">
      <c r="B688" s="165"/>
      <c r="C688" s="165"/>
      <c r="F688" s="168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</row>
    <row r="689" spans="1:59" ht="13.75" customHeight="1" outlineLevel="1">
      <c r="B689" s="165"/>
      <c r="C689" s="165"/>
      <c r="F689" s="168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</row>
    <row r="690" spans="1:59" ht="13.75" customHeight="1" outlineLevel="1">
      <c r="B690" s="165"/>
      <c r="C690" s="165"/>
      <c r="F690" s="168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</row>
    <row r="691" spans="1:59" ht="13.75" customHeight="1" outlineLevel="1">
      <c r="B691" s="165"/>
      <c r="C691" s="165"/>
      <c r="F691" s="168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</row>
    <row r="692" spans="1:59" ht="13.75" customHeight="1" outlineLevel="1">
      <c r="B692" s="165"/>
      <c r="C692" s="165"/>
      <c r="F692" s="168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</row>
    <row r="693" spans="1:59" ht="13.75" customHeight="1" outlineLevel="1">
      <c r="B693" s="165"/>
      <c r="C693" s="165"/>
      <c r="F693" s="168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</row>
    <row r="694" spans="1:59" ht="13.75" customHeight="1" outlineLevel="1">
      <c r="B694" s="165"/>
      <c r="C694" s="165"/>
      <c r="F694" s="168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</row>
    <row r="695" spans="1:59" ht="13.75" customHeight="1" outlineLevel="1">
      <c r="B695" s="165"/>
      <c r="C695" s="165"/>
      <c r="F695" s="168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</row>
    <row r="696" spans="1:59" ht="13.75" customHeight="1" outlineLevel="1">
      <c r="B696" s="165"/>
      <c r="C696" s="165"/>
      <c r="F696" s="168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</row>
    <row r="697" spans="1:59" ht="13.75" customHeight="1" outlineLevel="1">
      <c r="B697" s="165"/>
      <c r="C697" s="165"/>
      <c r="F697" s="168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</row>
    <row r="698" spans="1:59" ht="13.75" customHeight="1" outlineLevel="1">
      <c r="B698" s="165"/>
      <c r="C698" s="165"/>
      <c r="F698" s="168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</row>
    <row r="699" spans="1:59" ht="13.75" customHeight="1" outlineLevel="1">
      <c r="B699" s="165"/>
      <c r="C699" s="165"/>
      <c r="F699" s="168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7"/>
      <c r="AG699" s="107"/>
      <c r="AH699" s="107"/>
      <c r="AI699" s="107"/>
      <c r="AJ699" s="107"/>
      <c r="AK699" s="107"/>
      <c r="AL699" s="107"/>
      <c r="AM699" s="107"/>
      <c r="AN699" s="107"/>
      <c r="AO699" s="107"/>
      <c r="AP699" s="107"/>
      <c r="AQ699" s="107"/>
      <c r="AR699" s="107"/>
      <c r="AS699" s="107"/>
      <c r="AT699" s="107"/>
      <c r="AU699" s="107"/>
      <c r="AV699" s="107"/>
      <c r="AW699" s="107"/>
      <c r="AX699" s="107"/>
      <c r="AY699" s="107"/>
      <c r="AZ699" s="107"/>
      <c r="BA699" s="107"/>
      <c r="BB699" s="107"/>
      <c r="BC699" s="107"/>
      <c r="BD699" s="107"/>
      <c r="BE699" s="107"/>
      <c r="BF699" s="107"/>
      <c r="BG699" s="107"/>
    </row>
    <row r="700" spans="1:59" ht="13.75" customHeight="1" outlineLevel="1">
      <c r="A700" s="141" t="s">
        <v>166</v>
      </c>
      <c r="B700" s="165" t="s">
        <v>623</v>
      </c>
      <c r="C700" s="165"/>
      <c r="F700" s="168" t="s">
        <v>624</v>
      </c>
      <c r="G700" s="109" t="s">
        <v>625</v>
      </c>
      <c r="Q700" s="161">
        <v>22</v>
      </c>
      <c r="R700" s="161">
        <v>13</v>
      </c>
      <c r="S700" s="161">
        <v>15</v>
      </c>
      <c r="T700" s="161">
        <v>13</v>
      </c>
      <c r="U700" s="161">
        <v>7</v>
      </c>
      <c r="V700" s="161">
        <v>4</v>
      </c>
      <c r="W700" s="161">
        <v>6</v>
      </c>
      <c r="X700" s="161">
        <v>8</v>
      </c>
      <c r="Y700" s="161">
        <v>5</v>
      </c>
      <c r="Z700" s="161">
        <v>6</v>
      </c>
      <c r="AA700" s="161">
        <v>18</v>
      </c>
      <c r="AB700" s="161">
        <v>25</v>
      </c>
      <c r="AC700" s="161">
        <v>25</v>
      </c>
      <c r="AD700" s="119">
        <v>54</v>
      </c>
      <c r="AE700" s="119">
        <v>80</v>
      </c>
      <c r="AF700" s="119">
        <v>81.430492823964173</v>
      </c>
      <c r="AG700" s="119">
        <v>79.513923437179614</v>
      </c>
      <c r="AH700" s="119">
        <v>75.868430132716867</v>
      </c>
      <c r="AI700" s="119">
        <v>79.807325123172532</v>
      </c>
      <c r="AJ700" s="119">
        <v>82.205890672102655</v>
      </c>
      <c r="AK700" s="119">
        <v>82.909855763186783</v>
      </c>
      <c r="AL700" s="119">
        <v>83.789566225718815</v>
      </c>
      <c r="AM700" s="119">
        <v>83.491033510189197</v>
      </c>
      <c r="AN700" s="119">
        <v>85.85788998195531</v>
      </c>
      <c r="AO700" s="119">
        <v>91.826230389893738</v>
      </c>
      <c r="AP700" s="119">
        <v>99.628982469112259</v>
      </c>
      <c r="AQ700" s="119">
        <v>109.77754093286408</v>
      </c>
      <c r="AR700" s="119">
        <v>121.11420475779646</v>
      </c>
      <c r="AS700" s="119">
        <v>134.81223850327513</v>
      </c>
      <c r="AT700" s="119">
        <v>149.94677881207005</v>
      </c>
      <c r="AU700" s="119">
        <v>164.19746503941298</v>
      </c>
      <c r="AV700" s="119">
        <v>178.87613985442511</v>
      </c>
      <c r="AW700" s="119">
        <v>195.73145788983058</v>
      </c>
      <c r="AX700" s="119">
        <v>211.97820144226088</v>
      </c>
      <c r="AY700" s="119">
        <v>229.33520375664699</v>
      </c>
      <c r="AZ700" s="119">
        <v>247.96989378719115</v>
      </c>
      <c r="BA700" s="119">
        <v>268.4863743880112</v>
      </c>
      <c r="BB700" s="119">
        <v>289.37200569653379</v>
      </c>
      <c r="BC700" s="119">
        <f t="shared" ref="BC700:BG700" si="212">BB700*(1+((BB700-BA700)/BA700))</f>
        <v>311.8823361956571</v>
      </c>
      <c r="BD700" s="119">
        <f t="shared" si="212"/>
        <v>336.14375169680085</v>
      </c>
      <c r="BE700" s="119">
        <f t="shared" si="212"/>
        <v>362.29246959954605</v>
      </c>
      <c r="BF700" s="119">
        <f t="shared" si="212"/>
        <v>390.47530369367024</v>
      </c>
      <c r="BG700" s="119">
        <f t="shared" si="212"/>
        <v>420.85048845535005</v>
      </c>
    </row>
    <row r="701" spans="1:59" ht="13.75" customHeight="1" outlineLevel="1">
      <c r="B701" s="165"/>
      <c r="C701" s="165"/>
      <c r="F701" s="168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</row>
    <row r="702" spans="1:59" ht="13.75" customHeight="1" outlineLevel="1">
      <c r="B702" s="165"/>
      <c r="C702" s="165"/>
      <c r="F702" s="168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</row>
    <row r="703" spans="1:59" ht="13.75" customHeight="1" outlineLevel="1">
      <c r="B703" s="165"/>
      <c r="C703" s="165"/>
      <c r="F703" s="168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</row>
    <row r="704" spans="1:59" ht="13.75" customHeight="1" outlineLevel="1">
      <c r="B704" s="165"/>
      <c r="C704" s="165"/>
      <c r="F704" s="168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</row>
    <row r="705" spans="2:34" ht="13.75" customHeight="1" outlineLevel="1">
      <c r="B705" s="165"/>
      <c r="C705" s="165"/>
      <c r="F705" s="168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</row>
    <row r="706" spans="2:34" ht="13.75" customHeight="1" outlineLevel="1">
      <c r="B706" s="165"/>
      <c r="C706" s="165"/>
      <c r="F706" s="168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</row>
    <row r="707" spans="2:34" ht="13.75" customHeight="1" outlineLevel="1">
      <c r="B707" s="165"/>
      <c r="C707" s="165"/>
      <c r="F707" s="168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</row>
    <row r="708" spans="2:34" ht="13.75" customHeight="1">
      <c r="B708" s="165"/>
      <c r="C708" s="165"/>
      <c r="F708" s="168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</row>
    <row r="709" spans="2:34" ht="13.75" customHeight="1" outlineLevel="1">
      <c r="B709" s="165"/>
      <c r="C709" s="165"/>
      <c r="F709" s="168"/>
      <c r="W709" s="109"/>
      <c r="X709" s="109"/>
      <c r="Y709" s="109"/>
      <c r="Z709" s="109"/>
      <c r="AA709" s="109"/>
      <c r="AB709" s="109"/>
      <c r="AC709" s="140"/>
      <c r="AD709" s="140"/>
      <c r="AE709" s="109"/>
      <c r="AF709" s="109"/>
      <c r="AG709" s="109"/>
      <c r="AH709" s="109"/>
    </row>
    <row r="710" spans="2:34" ht="13.75" customHeight="1" outlineLevel="1">
      <c r="B710" s="165"/>
      <c r="C710" s="165"/>
      <c r="F710" s="168"/>
      <c r="W710" s="109"/>
      <c r="X710" s="109"/>
      <c r="Y710" s="109"/>
      <c r="Z710" s="109"/>
      <c r="AA710" s="109"/>
      <c r="AB710" s="109"/>
      <c r="AC710" s="140"/>
      <c r="AD710" s="140"/>
      <c r="AE710" s="109"/>
      <c r="AF710" s="109"/>
      <c r="AG710" s="109"/>
      <c r="AH710" s="109"/>
    </row>
    <row r="711" spans="2:34" ht="13.75" customHeight="1" outlineLevel="1">
      <c r="B711" s="165"/>
      <c r="C711" s="165"/>
      <c r="F711" s="168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</row>
    <row r="712" spans="2:34" ht="13.75" customHeight="1" outlineLevel="1">
      <c r="B712" s="165"/>
      <c r="C712" s="165"/>
      <c r="F712" s="168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</row>
    <row r="713" spans="2:34" ht="13.75" customHeight="1" outlineLevel="1">
      <c r="B713" s="165"/>
      <c r="C713" s="165"/>
      <c r="F713" s="168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</row>
    <row r="714" spans="2:34" ht="13.75" customHeight="1" outlineLevel="1">
      <c r="B714" s="165"/>
      <c r="C714" s="165"/>
      <c r="F714" s="168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</row>
    <row r="715" spans="2:34" ht="13.75" customHeight="1" outlineLevel="1">
      <c r="B715" s="165"/>
      <c r="C715" s="165"/>
      <c r="F715" s="168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</row>
    <row r="716" spans="2:34" ht="13.75" customHeight="1" outlineLevel="1">
      <c r="B716" s="165"/>
      <c r="C716" s="165"/>
      <c r="F716" s="168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</row>
    <row r="717" spans="2:34" ht="13.75" customHeight="1" outlineLevel="1">
      <c r="B717" s="165"/>
      <c r="C717" s="165"/>
      <c r="F717" s="168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</row>
    <row r="718" spans="2:34" ht="13.75" customHeight="1" outlineLevel="1">
      <c r="B718" s="165"/>
      <c r="C718" s="165"/>
      <c r="F718" s="168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</row>
    <row r="719" spans="2:34" ht="13.75" customHeight="1" outlineLevel="1">
      <c r="B719" s="165"/>
      <c r="C719" s="165"/>
      <c r="F719" s="168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</row>
    <row r="720" spans="2:34" ht="13.75" customHeight="1" outlineLevel="1">
      <c r="B720" s="165"/>
      <c r="C720" s="165"/>
      <c r="F720" s="168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</row>
    <row r="721" spans="2:34" ht="13.75" customHeight="1" outlineLevel="1">
      <c r="B721" s="165"/>
      <c r="C721" s="165"/>
      <c r="F721" s="168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</row>
    <row r="722" spans="2:34" ht="13.75" customHeight="1" outlineLevel="1">
      <c r="B722" s="165"/>
      <c r="C722" s="165"/>
      <c r="F722" s="168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</row>
    <row r="723" spans="2:34" ht="13.75" customHeight="1" outlineLevel="1">
      <c r="B723" s="165"/>
      <c r="C723" s="165"/>
      <c r="F723" s="168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</row>
    <row r="724" spans="2:34" ht="13.75" customHeight="1" outlineLevel="1">
      <c r="B724" s="165"/>
      <c r="C724" s="165"/>
      <c r="F724" s="168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</row>
    <row r="725" spans="2:34" ht="13.75" customHeight="1" outlineLevel="1">
      <c r="B725" s="165"/>
      <c r="C725" s="165"/>
      <c r="F725" s="168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</row>
    <row r="726" spans="2:34" ht="13.75" customHeight="1" outlineLevel="1">
      <c r="B726" s="165"/>
      <c r="C726" s="165"/>
      <c r="F726" s="168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</row>
    <row r="727" spans="2:34" ht="13.75" customHeight="1" outlineLevel="1">
      <c r="B727" s="165"/>
      <c r="C727" s="165"/>
      <c r="F727" s="168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</row>
    <row r="728" spans="2:34" ht="13.75" customHeight="1">
      <c r="B728" s="165"/>
      <c r="C728" s="165"/>
      <c r="F728" s="168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</row>
    <row r="729" spans="2:34" ht="13.75" customHeight="1" outlineLevel="1">
      <c r="B729" s="165"/>
      <c r="C729" s="165"/>
      <c r="F729" s="168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</row>
    <row r="730" spans="2:34" ht="13.75" customHeight="1" outlineLevel="1">
      <c r="B730" s="165"/>
      <c r="C730" s="165"/>
      <c r="F730" s="168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</row>
    <row r="731" spans="2:34" ht="13.75" customHeight="1" outlineLevel="1">
      <c r="B731" s="165"/>
      <c r="C731" s="165"/>
      <c r="F731" s="168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</row>
    <row r="732" spans="2:34" ht="13.75" customHeight="1" outlineLevel="1">
      <c r="B732" s="165"/>
      <c r="C732" s="165"/>
      <c r="F732" s="168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</row>
    <row r="733" spans="2:34" ht="13.75" customHeight="1" outlineLevel="1">
      <c r="B733" s="165"/>
      <c r="C733" s="165"/>
      <c r="F733" s="168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</row>
    <row r="734" spans="2:34" ht="13.75" customHeight="1" outlineLevel="1">
      <c r="B734" s="165"/>
      <c r="C734" s="165"/>
      <c r="F734" s="168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</row>
    <row r="735" spans="2:34" ht="13.75" customHeight="1" outlineLevel="1">
      <c r="B735" s="165"/>
      <c r="C735" s="165"/>
      <c r="F735" s="168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</row>
    <row r="736" spans="2:34" ht="13.75" customHeight="1" outlineLevel="1">
      <c r="B736" s="165"/>
      <c r="C736" s="165"/>
      <c r="F736" s="168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</row>
    <row r="737" spans="1:59" ht="13.75" customHeight="1" outlineLevel="1">
      <c r="B737" s="165"/>
      <c r="C737" s="165"/>
      <c r="F737" s="168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</row>
    <row r="738" spans="1:59" ht="13.75" customHeight="1" outlineLevel="1">
      <c r="B738" s="165"/>
      <c r="C738" s="165"/>
      <c r="F738" s="168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</row>
    <row r="739" spans="1:59" ht="13.75" customHeight="1" outlineLevel="1">
      <c r="B739" s="165"/>
      <c r="C739" s="165"/>
      <c r="F739" s="168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</row>
    <row r="740" spans="1:59" ht="13.75" customHeight="1" outlineLevel="1">
      <c r="B740" s="165"/>
      <c r="C740" s="165"/>
      <c r="F740" s="168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</row>
    <row r="741" spans="1:59" ht="13.75" customHeight="1" outlineLevel="1">
      <c r="B741" s="165"/>
      <c r="C741" s="165"/>
      <c r="F741" s="168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</row>
    <row r="742" spans="1:59" ht="13.75" customHeight="1" outlineLevel="1">
      <c r="B742" s="165"/>
      <c r="C742" s="165"/>
      <c r="F742" s="168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</row>
    <row r="743" spans="1:59" ht="13.75" customHeight="1" outlineLevel="1">
      <c r="B743" s="165"/>
      <c r="C743" s="165"/>
      <c r="F743" s="168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</row>
    <row r="744" spans="1:59" ht="13.75" customHeight="1" outlineLevel="1">
      <c r="B744" s="165"/>
      <c r="C744" s="165"/>
      <c r="F744" s="168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</row>
    <row r="745" spans="1:59" ht="13.75" customHeight="1" outlineLevel="1">
      <c r="B745" s="165"/>
      <c r="C745" s="165"/>
      <c r="F745" s="168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</row>
    <row r="746" spans="1:59" ht="13.75" customHeight="1" outlineLevel="1">
      <c r="B746" s="165"/>
      <c r="C746" s="165"/>
      <c r="F746" s="168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</row>
    <row r="747" spans="1:59" ht="13.75" customHeight="1" outlineLevel="1">
      <c r="B747" s="165"/>
      <c r="C747" s="165"/>
      <c r="F747" s="168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</row>
    <row r="748" spans="1:59" ht="13.75" customHeight="1">
      <c r="B748" s="165"/>
      <c r="C748" s="165"/>
      <c r="F748" s="168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</row>
    <row r="749" spans="1:59" ht="13.75" customHeight="1" outlineLevel="1">
      <c r="B749" s="165"/>
      <c r="C749" s="165"/>
      <c r="F749" s="168"/>
      <c r="W749" s="109"/>
      <c r="X749" s="123"/>
      <c r="Y749" s="123"/>
      <c r="Z749" s="123"/>
      <c r="AA749" s="123"/>
      <c r="AB749" s="123"/>
      <c r="AC749" s="123"/>
      <c r="AD749" s="123"/>
      <c r="AE749" s="109"/>
      <c r="AF749" s="109"/>
      <c r="AG749" s="109"/>
      <c r="AH749" s="109"/>
    </row>
    <row r="750" spans="1:59" ht="13.75" customHeight="1" outlineLevel="1">
      <c r="A750" s="141" t="s">
        <v>166</v>
      </c>
      <c r="B750" s="165" t="s">
        <v>626</v>
      </c>
      <c r="C750" s="165"/>
      <c r="D750" s="142" t="s">
        <v>168</v>
      </c>
      <c r="E750" s="109" t="s">
        <v>627</v>
      </c>
      <c r="F750" s="168" t="s">
        <v>627</v>
      </c>
      <c r="G750" s="109" t="s">
        <v>3</v>
      </c>
      <c r="H750" s="109" t="s">
        <v>628</v>
      </c>
      <c r="W750" s="109"/>
      <c r="X750" s="107">
        <v>-0.24060530444412909</v>
      </c>
      <c r="Y750" s="107">
        <v>-5.7138695298975639E-2</v>
      </c>
      <c r="Z750" s="107">
        <v>0.11973935298590788</v>
      </c>
      <c r="AA750" s="107">
        <v>5.9797316063086692E-2</v>
      </c>
      <c r="AB750" s="107">
        <v>-3.1308734691344431E-2</v>
      </c>
      <c r="AC750" s="107">
        <v>1.1460802108551604E-2</v>
      </c>
      <c r="AD750" s="107">
        <v>0.495564974588387</v>
      </c>
      <c r="AE750" s="107">
        <v>7.0624291330132927E-2</v>
      </c>
      <c r="AF750" s="107">
        <v>-0.17</v>
      </c>
      <c r="AG750" s="107">
        <v>0.04</v>
      </c>
      <c r="AH750" s="107">
        <v>3.5000000000000003E-2</v>
      </c>
      <c r="AI750" s="107">
        <v>1.54E-2</v>
      </c>
      <c r="AJ750" s="107">
        <v>1.54E-2</v>
      </c>
      <c r="AK750" s="107">
        <v>1.54E-2</v>
      </c>
      <c r="AL750" s="107">
        <v>1.54E-2</v>
      </c>
      <c r="AM750" s="107">
        <v>1.54E-2</v>
      </c>
      <c r="AN750" s="107">
        <f>+AM750</f>
        <v>1.54E-2</v>
      </c>
      <c r="AO750" s="107">
        <f t="shared" ref="AO750:BD750" si="213">+AN750</f>
        <v>1.54E-2</v>
      </c>
      <c r="AP750" s="107">
        <f t="shared" si="213"/>
        <v>1.54E-2</v>
      </c>
      <c r="AQ750" s="107">
        <f t="shared" si="213"/>
        <v>1.54E-2</v>
      </c>
      <c r="AR750" s="107">
        <f t="shared" si="213"/>
        <v>1.54E-2</v>
      </c>
      <c r="AS750" s="107">
        <f t="shared" si="213"/>
        <v>1.54E-2</v>
      </c>
      <c r="AT750" s="107">
        <f t="shared" si="213"/>
        <v>1.54E-2</v>
      </c>
      <c r="AU750" s="107">
        <f t="shared" si="213"/>
        <v>1.54E-2</v>
      </c>
      <c r="AV750" s="107">
        <f t="shared" si="213"/>
        <v>1.54E-2</v>
      </c>
      <c r="AW750" s="107">
        <f t="shared" si="213"/>
        <v>1.54E-2</v>
      </c>
      <c r="AX750" s="107">
        <f t="shared" si="213"/>
        <v>1.54E-2</v>
      </c>
      <c r="AY750" s="107">
        <f t="shared" si="213"/>
        <v>1.54E-2</v>
      </c>
      <c r="AZ750" s="107">
        <f t="shared" si="213"/>
        <v>1.54E-2</v>
      </c>
      <c r="BA750" s="107">
        <f t="shared" si="213"/>
        <v>1.54E-2</v>
      </c>
      <c r="BB750" s="107">
        <f t="shared" si="213"/>
        <v>1.54E-2</v>
      </c>
      <c r="BC750" s="107">
        <f t="shared" si="213"/>
        <v>1.54E-2</v>
      </c>
      <c r="BD750" s="107">
        <f t="shared" si="213"/>
        <v>1.54E-2</v>
      </c>
      <c r="BE750" s="107">
        <f t="shared" ref="AY750:BG756" si="214">+BD750</f>
        <v>1.54E-2</v>
      </c>
      <c r="BF750" s="107">
        <f t="shared" si="214"/>
        <v>1.54E-2</v>
      </c>
      <c r="BG750" s="107">
        <f t="shared" si="214"/>
        <v>1.54E-2</v>
      </c>
    </row>
    <row r="751" spans="1:59" ht="13.75" customHeight="1" outlineLevel="1">
      <c r="A751" s="141" t="s">
        <v>166</v>
      </c>
      <c r="B751" s="165" t="s">
        <v>626</v>
      </c>
      <c r="C751" s="165"/>
      <c r="D751" s="142" t="s">
        <v>168</v>
      </c>
      <c r="E751" s="109" t="s">
        <v>629</v>
      </c>
      <c r="F751" s="168" t="s">
        <v>629</v>
      </c>
      <c r="G751" s="109" t="s">
        <v>3</v>
      </c>
      <c r="H751" s="109" t="s">
        <v>630</v>
      </c>
      <c r="W751" s="109"/>
      <c r="X751" s="107">
        <v>-0.19164163611645157</v>
      </c>
      <c r="Y751" s="107">
        <v>-0.12624122808495675</v>
      </c>
      <c r="Z751" s="107">
        <v>0.12470586704411879</v>
      </c>
      <c r="AA751" s="107">
        <v>0.1226329484888582</v>
      </c>
      <c r="AB751" s="107">
        <v>-0.13765718279790518</v>
      </c>
      <c r="AC751" s="107">
        <v>-1.9079336718261897E-2</v>
      </c>
      <c r="AD751" s="107">
        <v>0.46661453684939214</v>
      </c>
      <c r="AE751" s="107">
        <v>-5.9771736050965307E-3</v>
      </c>
      <c r="AF751" s="107">
        <v>-0.2</v>
      </c>
      <c r="AG751" s="107">
        <v>6.5000000000000002E-2</v>
      </c>
      <c r="AH751" s="107">
        <v>4.4999999999999998E-2</v>
      </c>
      <c r="AI751" s="107">
        <v>1.3999999999999999E-2</v>
      </c>
      <c r="AJ751" s="107">
        <v>1.3999999999999999E-2</v>
      </c>
      <c r="AK751" s="107">
        <v>1.3999999999999999E-2</v>
      </c>
      <c r="AL751" s="107">
        <v>1.3999999999999999E-2</v>
      </c>
      <c r="AM751" s="107">
        <v>1.3999999999999999E-2</v>
      </c>
      <c r="AN751" s="107">
        <f t="shared" ref="AN751:BC760" si="215">+AM751</f>
        <v>1.3999999999999999E-2</v>
      </c>
      <c r="AO751" s="107">
        <f t="shared" si="215"/>
        <v>1.3999999999999999E-2</v>
      </c>
      <c r="AP751" s="107">
        <f t="shared" si="215"/>
        <v>1.3999999999999999E-2</v>
      </c>
      <c r="AQ751" s="107">
        <f t="shared" si="215"/>
        <v>1.3999999999999999E-2</v>
      </c>
      <c r="AR751" s="107">
        <f t="shared" si="215"/>
        <v>1.3999999999999999E-2</v>
      </c>
      <c r="AS751" s="107">
        <f t="shared" si="215"/>
        <v>1.3999999999999999E-2</v>
      </c>
      <c r="AT751" s="107">
        <f t="shared" si="215"/>
        <v>1.3999999999999999E-2</v>
      </c>
      <c r="AU751" s="107">
        <f t="shared" si="215"/>
        <v>1.3999999999999999E-2</v>
      </c>
      <c r="AV751" s="107">
        <f t="shared" si="215"/>
        <v>1.3999999999999999E-2</v>
      </c>
      <c r="AW751" s="107">
        <f t="shared" si="215"/>
        <v>1.3999999999999999E-2</v>
      </c>
      <c r="AX751" s="107">
        <f t="shared" si="215"/>
        <v>1.3999999999999999E-2</v>
      </c>
      <c r="AY751" s="107">
        <f t="shared" si="214"/>
        <v>1.3999999999999999E-2</v>
      </c>
      <c r="AZ751" s="107">
        <f t="shared" si="214"/>
        <v>1.3999999999999999E-2</v>
      </c>
      <c r="BA751" s="107">
        <f t="shared" si="214"/>
        <v>1.3999999999999999E-2</v>
      </c>
      <c r="BB751" s="107">
        <f t="shared" si="214"/>
        <v>1.3999999999999999E-2</v>
      </c>
      <c r="BC751" s="107">
        <f t="shared" si="214"/>
        <v>1.3999999999999999E-2</v>
      </c>
      <c r="BD751" s="107">
        <f t="shared" si="214"/>
        <v>1.3999999999999999E-2</v>
      </c>
      <c r="BE751" s="107">
        <f t="shared" si="214"/>
        <v>1.3999999999999999E-2</v>
      </c>
      <c r="BF751" s="107">
        <f t="shared" si="214"/>
        <v>1.3999999999999999E-2</v>
      </c>
      <c r="BG751" s="107">
        <f t="shared" si="214"/>
        <v>1.3999999999999999E-2</v>
      </c>
    </row>
    <row r="752" spans="1:59" ht="13.75" customHeight="1" outlineLevel="1">
      <c r="A752" s="141" t="s">
        <v>166</v>
      </c>
      <c r="B752" s="165" t="s">
        <v>626</v>
      </c>
      <c r="C752" s="165"/>
      <c r="D752" s="170" t="s">
        <v>168</v>
      </c>
      <c r="E752" s="109" t="s">
        <v>631</v>
      </c>
      <c r="F752" s="168" t="s">
        <v>631</v>
      </c>
      <c r="G752" s="109" t="s">
        <v>3</v>
      </c>
      <c r="H752" s="109" t="s">
        <v>630</v>
      </c>
      <c r="W752" s="109"/>
      <c r="X752" s="107">
        <v>-8.5655611966961698E-2</v>
      </c>
      <c r="Y752" s="107">
        <v>-0.10498924685030631</v>
      </c>
      <c r="Z752" s="107">
        <v>0.11276921767664239</v>
      </c>
      <c r="AA752" s="107">
        <v>0.36938169521787434</v>
      </c>
      <c r="AB752" s="107">
        <v>-0.31272441704725606</v>
      </c>
      <c r="AC752" s="107">
        <v>-9.4299367224451869E-2</v>
      </c>
      <c r="AD752" s="107">
        <v>0.50654120741936648</v>
      </c>
      <c r="AE752" s="107">
        <v>7.8846435388632674E-2</v>
      </c>
      <c r="AF752" s="107">
        <v>-0.2</v>
      </c>
      <c r="AG752" s="107">
        <v>1.3142857142857123E-2</v>
      </c>
      <c r="AH752" s="107">
        <v>0.10998307952622666</v>
      </c>
      <c r="AI752" s="107">
        <v>4.2682926829268331E-2</v>
      </c>
      <c r="AJ752" s="107">
        <v>1.4399999999999968E-2</v>
      </c>
      <c r="AK752" s="107">
        <v>1.4399999999999968E-2</v>
      </c>
      <c r="AL752" s="107">
        <v>1.4399999999999968E-2</v>
      </c>
      <c r="AM752" s="107">
        <v>1.4399999999999968E-2</v>
      </c>
      <c r="AN752" s="107">
        <f t="shared" si="215"/>
        <v>1.4399999999999968E-2</v>
      </c>
      <c r="AO752" s="107">
        <f t="shared" si="215"/>
        <v>1.4399999999999968E-2</v>
      </c>
      <c r="AP752" s="107">
        <f t="shared" si="215"/>
        <v>1.4399999999999968E-2</v>
      </c>
      <c r="AQ752" s="107">
        <f t="shared" si="215"/>
        <v>1.4399999999999968E-2</v>
      </c>
      <c r="AR752" s="107">
        <f t="shared" si="215"/>
        <v>1.4399999999999968E-2</v>
      </c>
      <c r="AS752" s="107">
        <f t="shared" si="215"/>
        <v>1.4399999999999968E-2</v>
      </c>
      <c r="AT752" s="107">
        <f t="shared" si="215"/>
        <v>1.4399999999999968E-2</v>
      </c>
      <c r="AU752" s="107">
        <f t="shared" si="215"/>
        <v>1.4399999999999968E-2</v>
      </c>
      <c r="AV752" s="107">
        <f t="shared" si="215"/>
        <v>1.4399999999999968E-2</v>
      </c>
      <c r="AW752" s="107">
        <f t="shared" si="215"/>
        <v>1.4399999999999968E-2</v>
      </c>
      <c r="AX752" s="107">
        <f t="shared" si="215"/>
        <v>1.4399999999999968E-2</v>
      </c>
      <c r="AY752" s="107">
        <f t="shared" si="214"/>
        <v>1.4399999999999968E-2</v>
      </c>
      <c r="AZ752" s="107">
        <f t="shared" si="214"/>
        <v>1.4399999999999968E-2</v>
      </c>
      <c r="BA752" s="107">
        <f t="shared" si="214"/>
        <v>1.4399999999999968E-2</v>
      </c>
      <c r="BB752" s="107">
        <f t="shared" si="214"/>
        <v>1.4399999999999968E-2</v>
      </c>
      <c r="BC752" s="107">
        <f t="shared" si="214"/>
        <v>1.4399999999999968E-2</v>
      </c>
      <c r="BD752" s="107">
        <f t="shared" si="214"/>
        <v>1.4399999999999968E-2</v>
      </c>
      <c r="BE752" s="107">
        <f t="shared" si="214"/>
        <v>1.4399999999999968E-2</v>
      </c>
      <c r="BF752" s="107">
        <f t="shared" si="214"/>
        <v>1.4399999999999968E-2</v>
      </c>
      <c r="BG752" s="107">
        <f t="shared" si="214"/>
        <v>1.4399999999999968E-2</v>
      </c>
    </row>
    <row r="753" spans="1:59" ht="13.75" customHeight="1" outlineLevel="1">
      <c r="A753" s="141" t="s">
        <v>166</v>
      </c>
      <c r="B753" s="165" t="s">
        <v>626</v>
      </c>
      <c r="C753" s="165"/>
      <c r="D753" s="142" t="s">
        <v>168</v>
      </c>
      <c r="E753" s="109" t="s">
        <v>632</v>
      </c>
      <c r="F753" s="168" t="s">
        <v>632</v>
      </c>
      <c r="G753" s="109" t="s">
        <v>3</v>
      </c>
      <c r="H753" s="109" t="s">
        <v>630</v>
      </c>
      <c r="W753" s="109"/>
      <c r="X753" s="107">
        <v>-5.0314239736676258E-2</v>
      </c>
      <c r="Y753" s="107">
        <v>-7.3835905383325962E-2</v>
      </c>
      <c r="Z753" s="107">
        <v>0.16064006384648377</v>
      </c>
      <c r="AA753" s="107">
        <v>0.2899839166908198</v>
      </c>
      <c r="AB753" s="107">
        <v>-0.25064239992974113</v>
      </c>
      <c r="AC753" s="107">
        <v>-0.21571183086213597</v>
      </c>
      <c r="AD753" s="107">
        <v>0.41374595520237367</v>
      </c>
      <c r="AE753" s="107">
        <v>0.13696280185315746</v>
      </c>
      <c r="AF753" s="107">
        <v>-0.25</v>
      </c>
      <c r="AG753" s="107">
        <v>-3.6576444769567118E-3</v>
      </c>
      <c r="AH753" s="107">
        <v>0.19823788546255505</v>
      </c>
      <c r="AI753" s="107">
        <v>1.4705882352941124E-2</v>
      </c>
      <c r="AJ753" s="107">
        <v>1.4399999999999968E-2</v>
      </c>
      <c r="AK753" s="107">
        <v>1.4399999999999968E-2</v>
      </c>
      <c r="AL753" s="107">
        <v>1.4399999999999968E-2</v>
      </c>
      <c r="AM753" s="107">
        <v>1.4399999999999968E-2</v>
      </c>
      <c r="AN753" s="107">
        <f t="shared" si="215"/>
        <v>1.4399999999999968E-2</v>
      </c>
      <c r="AO753" s="107">
        <f t="shared" si="215"/>
        <v>1.4399999999999968E-2</v>
      </c>
      <c r="AP753" s="107">
        <f t="shared" si="215"/>
        <v>1.4399999999999968E-2</v>
      </c>
      <c r="AQ753" s="107">
        <f t="shared" si="215"/>
        <v>1.4399999999999968E-2</v>
      </c>
      <c r="AR753" s="107">
        <f t="shared" si="215"/>
        <v>1.4399999999999968E-2</v>
      </c>
      <c r="AS753" s="107">
        <f t="shared" si="215"/>
        <v>1.4399999999999968E-2</v>
      </c>
      <c r="AT753" s="107">
        <f t="shared" si="215"/>
        <v>1.4399999999999968E-2</v>
      </c>
      <c r="AU753" s="107">
        <f t="shared" si="215"/>
        <v>1.4399999999999968E-2</v>
      </c>
      <c r="AV753" s="107">
        <f t="shared" si="215"/>
        <v>1.4399999999999968E-2</v>
      </c>
      <c r="AW753" s="107">
        <f t="shared" si="215"/>
        <v>1.4399999999999968E-2</v>
      </c>
      <c r="AX753" s="107">
        <f t="shared" si="215"/>
        <v>1.4399999999999968E-2</v>
      </c>
      <c r="AY753" s="107">
        <f t="shared" si="214"/>
        <v>1.4399999999999968E-2</v>
      </c>
      <c r="AZ753" s="107">
        <f t="shared" si="214"/>
        <v>1.4399999999999968E-2</v>
      </c>
      <c r="BA753" s="107">
        <f t="shared" si="214"/>
        <v>1.4399999999999968E-2</v>
      </c>
      <c r="BB753" s="107">
        <f t="shared" si="214"/>
        <v>1.4399999999999968E-2</v>
      </c>
      <c r="BC753" s="107">
        <f t="shared" si="214"/>
        <v>1.4399999999999968E-2</v>
      </c>
      <c r="BD753" s="107">
        <f t="shared" si="214"/>
        <v>1.4399999999999968E-2</v>
      </c>
      <c r="BE753" s="107">
        <f t="shared" si="214"/>
        <v>1.4399999999999968E-2</v>
      </c>
      <c r="BF753" s="107">
        <f t="shared" si="214"/>
        <v>1.4399999999999968E-2</v>
      </c>
      <c r="BG753" s="107">
        <f t="shared" si="214"/>
        <v>1.4399999999999968E-2</v>
      </c>
    </row>
    <row r="754" spans="1:59" ht="13.75" customHeight="1" outlineLevel="1">
      <c r="A754" s="141" t="s">
        <v>166</v>
      </c>
      <c r="B754" s="165" t="s">
        <v>626</v>
      </c>
      <c r="C754" s="165"/>
      <c r="D754" s="142" t="s">
        <v>168</v>
      </c>
      <c r="E754" s="109" t="s">
        <v>633</v>
      </c>
      <c r="F754" s="168" t="s">
        <v>633</v>
      </c>
      <c r="G754" s="109" t="s">
        <v>3</v>
      </c>
      <c r="H754" s="109" t="s">
        <v>630</v>
      </c>
      <c r="W754" s="109"/>
      <c r="X754" s="107">
        <v>-0.18478542697723521</v>
      </c>
      <c r="Y754" s="107">
        <v>-3.4354423245972598E-2</v>
      </c>
      <c r="Z754" s="107">
        <v>0.16777302989984633</v>
      </c>
      <c r="AA754" s="107">
        <v>0.31179042447746386</v>
      </c>
      <c r="AB754" s="107">
        <v>-0.2220932716184405</v>
      </c>
      <c r="AC754" s="107">
        <v>-0.22647187646199729</v>
      </c>
      <c r="AD754" s="107">
        <v>0.51110815705544743</v>
      </c>
      <c r="AE754" s="107">
        <v>-4.6978295867671327E-2</v>
      </c>
      <c r="AF754" s="107">
        <v>-0.14761999999999997</v>
      </c>
      <c r="AG754" s="107">
        <v>4.9771599999999985E-2</v>
      </c>
      <c r="AH754" s="107">
        <v>0.13945532994923851</v>
      </c>
      <c r="AI754" s="107">
        <v>7.7128658536585404E-2</v>
      </c>
      <c r="AJ754" s="107">
        <v>1.24E-2</v>
      </c>
      <c r="AK754" s="107">
        <v>1.24E-2</v>
      </c>
      <c r="AL754" s="107">
        <v>1.24E-2</v>
      </c>
      <c r="AM754" s="107">
        <v>1.24E-2</v>
      </c>
      <c r="AN754" s="107">
        <f t="shared" si="215"/>
        <v>1.24E-2</v>
      </c>
      <c r="AO754" s="107">
        <f t="shared" si="215"/>
        <v>1.24E-2</v>
      </c>
      <c r="AP754" s="107">
        <f t="shared" si="215"/>
        <v>1.24E-2</v>
      </c>
      <c r="AQ754" s="107">
        <f t="shared" si="215"/>
        <v>1.24E-2</v>
      </c>
      <c r="AR754" s="107">
        <f t="shared" si="215"/>
        <v>1.24E-2</v>
      </c>
      <c r="AS754" s="107">
        <f t="shared" si="215"/>
        <v>1.24E-2</v>
      </c>
      <c r="AT754" s="107">
        <f t="shared" si="215"/>
        <v>1.24E-2</v>
      </c>
      <c r="AU754" s="107">
        <f t="shared" si="215"/>
        <v>1.24E-2</v>
      </c>
      <c r="AV754" s="107">
        <f t="shared" si="215"/>
        <v>1.24E-2</v>
      </c>
      <c r="AW754" s="107">
        <f t="shared" si="215"/>
        <v>1.24E-2</v>
      </c>
      <c r="AX754" s="107">
        <f t="shared" si="215"/>
        <v>1.24E-2</v>
      </c>
      <c r="AY754" s="107">
        <f t="shared" si="214"/>
        <v>1.24E-2</v>
      </c>
      <c r="AZ754" s="107">
        <f t="shared" si="214"/>
        <v>1.24E-2</v>
      </c>
      <c r="BA754" s="107">
        <f t="shared" si="214"/>
        <v>1.24E-2</v>
      </c>
      <c r="BB754" s="107">
        <f t="shared" si="214"/>
        <v>1.24E-2</v>
      </c>
      <c r="BC754" s="107">
        <f t="shared" si="214"/>
        <v>1.24E-2</v>
      </c>
      <c r="BD754" s="107">
        <f t="shared" si="214"/>
        <v>1.24E-2</v>
      </c>
      <c r="BE754" s="107">
        <f t="shared" si="214"/>
        <v>1.24E-2</v>
      </c>
      <c r="BF754" s="107">
        <f t="shared" si="214"/>
        <v>1.24E-2</v>
      </c>
      <c r="BG754" s="107">
        <f t="shared" si="214"/>
        <v>1.24E-2</v>
      </c>
    </row>
    <row r="755" spans="1:59" ht="13.75" customHeight="1" outlineLevel="1">
      <c r="A755" s="141" t="s">
        <v>166</v>
      </c>
      <c r="B755" s="165" t="s">
        <v>626</v>
      </c>
      <c r="C755" s="165"/>
      <c r="D755" s="142" t="s">
        <v>168</v>
      </c>
      <c r="E755" s="109" t="s">
        <v>634</v>
      </c>
      <c r="F755" s="168" t="s">
        <v>634</v>
      </c>
      <c r="G755" s="109" t="s">
        <v>3</v>
      </c>
      <c r="H755" s="109" t="s">
        <v>630</v>
      </c>
      <c r="W755" s="109"/>
      <c r="X755" s="107">
        <v>-0.14607224672400509</v>
      </c>
      <c r="Y755" s="107">
        <v>-8.7019617347763867E-2</v>
      </c>
      <c r="Z755" s="107">
        <v>8.3136808896251857E-2</v>
      </c>
      <c r="AA755" s="107">
        <v>0.2161700742120336</v>
      </c>
      <c r="AB755" s="107">
        <v>-1.1329868789465958E-2</v>
      </c>
      <c r="AC755" s="107">
        <v>-0.1907095251025408</v>
      </c>
      <c r="AD755" s="107">
        <v>0.25162596412204841</v>
      </c>
      <c r="AE755" s="107">
        <v>0.24744950170240676</v>
      </c>
      <c r="AF755" s="107">
        <v>-0.20938599999999993</v>
      </c>
      <c r="AG755" s="107">
        <v>2.9532222857142833E-2</v>
      </c>
      <c r="AH755" s="107">
        <v>0.13808333333333325</v>
      </c>
      <c r="AI755" s="107">
        <v>6.2644573170731743E-2</v>
      </c>
      <c r="AJ755" s="107">
        <v>1.24E-2</v>
      </c>
      <c r="AK755" s="107">
        <v>1.24E-2</v>
      </c>
      <c r="AL755" s="107">
        <v>1.24E-2</v>
      </c>
      <c r="AM755" s="107">
        <v>1.24E-2</v>
      </c>
      <c r="AN755" s="107">
        <f t="shared" si="215"/>
        <v>1.24E-2</v>
      </c>
      <c r="AO755" s="107">
        <f t="shared" si="215"/>
        <v>1.24E-2</v>
      </c>
      <c r="AP755" s="107">
        <f t="shared" si="215"/>
        <v>1.24E-2</v>
      </c>
      <c r="AQ755" s="107">
        <f t="shared" si="215"/>
        <v>1.24E-2</v>
      </c>
      <c r="AR755" s="107">
        <f t="shared" si="215"/>
        <v>1.24E-2</v>
      </c>
      <c r="AS755" s="107">
        <f t="shared" si="215"/>
        <v>1.24E-2</v>
      </c>
      <c r="AT755" s="107">
        <f t="shared" si="215"/>
        <v>1.24E-2</v>
      </c>
      <c r="AU755" s="107">
        <f t="shared" si="215"/>
        <v>1.24E-2</v>
      </c>
      <c r="AV755" s="107">
        <f t="shared" si="215"/>
        <v>1.24E-2</v>
      </c>
      <c r="AW755" s="107">
        <f t="shared" si="215"/>
        <v>1.24E-2</v>
      </c>
      <c r="AX755" s="107">
        <f t="shared" si="215"/>
        <v>1.24E-2</v>
      </c>
      <c r="AY755" s="107">
        <f t="shared" si="214"/>
        <v>1.24E-2</v>
      </c>
      <c r="AZ755" s="107">
        <f t="shared" si="214"/>
        <v>1.24E-2</v>
      </c>
      <c r="BA755" s="107">
        <f t="shared" si="214"/>
        <v>1.24E-2</v>
      </c>
      <c r="BB755" s="107">
        <f t="shared" si="214"/>
        <v>1.24E-2</v>
      </c>
      <c r="BC755" s="107">
        <f t="shared" si="214"/>
        <v>1.24E-2</v>
      </c>
      <c r="BD755" s="107">
        <f t="shared" si="214"/>
        <v>1.24E-2</v>
      </c>
      <c r="BE755" s="107">
        <f t="shared" si="214"/>
        <v>1.24E-2</v>
      </c>
      <c r="BF755" s="107">
        <f t="shared" si="214"/>
        <v>1.24E-2</v>
      </c>
      <c r="BG755" s="107">
        <f t="shared" si="214"/>
        <v>1.24E-2</v>
      </c>
    </row>
    <row r="756" spans="1:59" ht="13.75" customHeight="1" outlineLevel="1">
      <c r="A756" s="141" t="s">
        <v>166</v>
      </c>
      <c r="B756" s="165" t="s">
        <v>626</v>
      </c>
      <c r="C756" s="165"/>
      <c r="D756" s="142" t="s">
        <v>168</v>
      </c>
      <c r="E756" s="109" t="s">
        <v>635</v>
      </c>
      <c r="F756" s="168" t="s">
        <v>635</v>
      </c>
      <c r="G756" s="109" t="s">
        <v>3</v>
      </c>
      <c r="H756" s="109" t="s">
        <v>630</v>
      </c>
      <c r="W756" s="109"/>
      <c r="X756" s="107">
        <v>-0.21166955777901131</v>
      </c>
      <c r="Y756" s="107">
        <v>-2.4111321226262916E-2</v>
      </c>
      <c r="Z756" s="107">
        <v>0.17704977657392029</v>
      </c>
      <c r="AA756" s="107">
        <v>0.17172773495189664</v>
      </c>
      <c r="AB756" s="107">
        <v>-0.1584286555004093</v>
      </c>
      <c r="AC756" s="107">
        <v>-0.22629852956405783</v>
      </c>
      <c r="AD756" s="107">
        <v>0.40980419185987471</v>
      </c>
      <c r="AE756" s="107">
        <v>5.5164621288595894E-2</v>
      </c>
      <c r="AF756" s="107">
        <v>-0.17529999999999996</v>
      </c>
      <c r="AG756" s="107">
        <v>5.7878285714285688E-2</v>
      </c>
      <c r="AH756" s="107">
        <v>0.16382148900169197</v>
      </c>
      <c r="AI756" s="107">
        <v>9.0195121951219565E-2</v>
      </c>
      <c r="AJ756" s="107">
        <v>1.24E-2</v>
      </c>
      <c r="AK756" s="107">
        <v>1.24E-2</v>
      </c>
      <c r="AL756" s="107">
        <v>1.24E-2</v>
      </c>
      <c r="AM756" s="107">
        <v>1.24E-2</v>
      </c>
      <c r="AN756" s="107">
        <f t="shared" si="215"/>
        <v>1.24E-2</v>
      </c>
      <c r="AO756" s="107">
        <f t="shared" si="215"/>
        <v>1.24E-2</v>
      </c>
      <c r="AP756" s="107">
        <f t="shared" si="215"/>
        <v>1.24E-2</v>
      </c>
      <c r="AQ756" s="107">
        <f t="shared" si="215"/>
        <v>1.24E-2</v>
      </c>
      <c r="AR756" s="107">
        <f t="shared" si="215"/>
        <v>1.24E-2</v>
      </c>
      <c r="AS756" s="107">
        <f t="shared" si="215"/>
        <v>1.24E-2</v>
      </c>
      <c r="AT756" s="107">
        <f t="shared" si="215"/>
        <v>1.24E-2</v>
      </c>
      <c r="AU756" s="107">
        <f t="shared" si="215"/>
        <v>1.24E-2</v>
      </c>
      <c r="AV756" s="107">
        <f t="shared" si="215"/>
        <v>1.24E-2</v>
      </c>
      <c r="AW756" s="107">
        <f t="shared" si="215"/>
        <v>1.24E-2</v>
      </c>
      <c r="AX756" s="107">
        <f t="shared" si="215"/>
        <v>1.24E-2</v>
      </c>
      <c r="AY756" s="107">
        <f t="shared" si="214"/>
        <v>1.24E-2</v>
      </c>
      <c r="AZ756" s="107">
        <f t="shared" si="214"/>
        <v>1.24E-2</v>
      </c>
      <c r="BA756" s="107">
        <f t="shared" si="214"/>
        <v>1.24E-2</v>
      </c>
      <c r="BB756" s="107">
        <f t="shared" si="214"/>
        <v>1.24E-2</v>
      </c>
      <c r="BC756" s="107">
        <f t="shared" si="214"/>
        <v>1.24E-2</v>
      </c>
      <c r="BD756" s="107">
        <f t="shared" si="214"/>
        <v>1.24E-2</v>
      </c>
      <c r="BE756" s="107">
        <f t="shared" si="214"/>
        <v>1.24E-2</v>
      </c>
      <c r="BF756" s="107">
        <f t="shared" si="214"/>
        <v>1.24E-2</v>
      </c>
      <c r="BG756" s="107">
        <f t="shared" si="214"/>
        <v>1.24E-2</v>
      </c>
    </row>
    <row r="757" spans="1:59" ht="13.75" customHeight="1" outlineLevel="1">
      <c r="A757" s="141" t="s">
        <v>166</v>
      </c>
      <c r="B757" s="165" t="s">
        <v>626</v>
      </c>
      <c r="C757" s="165"/>
      <c r="D757" s="142" t="s">
        <v>168</v>
      </c>
      <c r="E757" s="109" t="s">
        <v>636</v>
      </c>
      <c r="F757" s="168" t="s">
        <v>636</v>
      </c>
      <c r="G757" s="109" t="s">
        <v>3</v>
      </c>
      <c r="H757" s="109" t="s">
        <v>637</v>
      </c>
      <c r="W757" s="109"/>
      <c r="X757" s="107">
        <v>0.24308202748753494</v>
      </c>
      <c r="Y757" s="107">
        <v>0.13899870763363276</v>
      </c>
      <c r="Z757" s="107">
        <v>-2.003073179713688E-2</v>
      </c>
      <c r="AA757" s="107">
        <v>6.0517335273295281E-2</v>
      </c>
      <c r="AB757" s="107">
        <v>8.77976247175003E-2</v>
      </c>
      <c r="AC757" s="107">
        <v>-9.7064757311052352E-2</v>
      </c>
      <c r="AD757" s="107">
        <v>0.13879391384278095</v>
      </c>
      <c r="AE757" s="107">
        <v>0.24178548539933065</v>
      </c>
      <c r="AF757" s="107">
        <f t="shared" ref="AF757:AG757" si="216">AF3</f>
        <v>7.0965337750225954E-2</v>
      </c>
      <c r="AG757" s="107">
        <f t="shared" si="216"/>
        <v>6.3441420107429369E-2</v>
      </c>
      <c r="AH757" s="107">
        <f>AH3/2</f>
        <v>1.579481171250563E-2</v>
      </c>
      <c r="AI757" s="107">
        <f t="shared" ref="AI757:BG757" si="217">AI3/2</f>
        <v>1.9832822040830145E-2</v>
      </c>
      <c r="AJ757" s="107">
        <f t="shared" si="217"/>
        <v>0.02</v>
      </c>
      <c r="AK757" s="107">
        <f t="shared" si="217"/>
        <v>0.02</v>
      </c>
      <c r="AL757" s="107">
        <f t="shared" si="217"/>
        <v>0.02</v>
      </c>
      <c r="AM757" s="107">
        <f t="shared" si="217"/>
        <v>0.02</v>
      </c>
      <c r="AN757" s="107">
        <f t="shared" si="217"/>
        <v>0.02</v>
      </c>
      <c r="AO757" s="107">
        <f t="shared" si="217"/>
        <v>0.02</v>
      </c>
      <c r="AP757" s="107">
        <f t="shared" si="217"/>
        <v>0.02</v>
      </c>
      <c r="AQ757" s="107">
        <f t="shared" si="217"/>
        <v>0.02</v>
      </c>
      <c r="AR757" s="107">
        <f t="shared" si="217"/>
        <v>0.02</v>
      </c>
      <c r="AS757" s="107">
        <f t="shared" si="217"/>
        <v>0.02</v>
      </c>
      <c r="AT757" s="107">
        <f t="shared" si="217"/>
        <v>0.02</v>
      </c>
      <c r="AU757" s="107">
        <f t="shared" si="217"/>
        <v>0.02</v>
      </c>
      <c r="AV757" s="107">
        <f t="shared" si="217"/>
        <v>0.02</v>
      </c>
      <c r="AW757" s="107">
        <f t="shared" si="217"/>
        <v>0.02</v>
      </c>
      <c r="AX757" s="107">
        <f t="shared" si="217"/>
        <v>0.02</v>
      </c>
      <c r="AY757" s="107">
        <f t="shared" si="217"/>
        <v>0.02</v>
      </c>
      <c r="AZ757" s="107">
        <f t="shared" si="217"/>
        <v>0.02</v>
      </c>
      <c r="BA757" s="107">
        <f t="shared" si="217"/>
        <v>0.02</v>
      </c>
      <c r="BB757" s="107">
        <f t="shared" si="217"/>
        <v>0.02</v>
      </c>
      <c r="BC757" s="107">
        <f t="shared" si="217"/>
        <v>0.02</v>
      </c>
      <c r="BD757" s="107">
        <f t="shared" si="217"/>
        <v>0.02</v>
      </c>
      <c r="BE757" s="107">
        <f t="shared" si="217"/>
        <v>0.02</v>
      </c>
      <c r="BF757" s="107">
        <f t="shared" si="217"/>
        <v>0.02</v>
      </c>
      <c r="BG757" s="107">
        <f t="shared" si="217"/>
        <v>0.02</v>
      </c>
    </row>
    <row r="758" spans="1:59" ht="13.75" customHeight="1" outlineLevel="1">
      <c r="A758" s="141" t="s">
        <v>166</v>
      </c>
      <c r="B758" s="165" t="s">
        <v>626</v>
      </c>
      <c r="C758" s="165"/>
      <c r="D758" s="142" t="s">
        <v>168</v>
      </c>
      <c r="E758" s="109" t="s">
        <v>638</v>
      </c>
      <c r="F758" s="168" t="s">
        <v>639</v>
      </c>
      <c r="G758" s="109" t="s">
        <v>3</v>
      </c>
      <c r="H758" s="109" t="s">
        <v>640</v>
      </c>
      <c r="W758" s="109"/>
      <c r="X758" s="107">
        <v>6.5485797740845175E-2</v>
      </c>
      <c r="Y758" s="107">
        <v>-3.3424596655658889E-2</v>
      </c>
      <c r="Z758" s="107">
        <v>9.7976155239153373E-2</v>
      </c>
      <c r="AA758" s="107">
        <v>6.6898582353910552E-2</v>
      </c>
      <c r="AB758" s="107">
        <v>-6.6748932777744741E-2</v>
      </c>
      <c r="AC758" s="107">
        <v>5.5863463716705475E-2</v>
      </c>
      <c r="AD758" s="107">
        <v>0.42300291225592868</v>
      </c>
      <c r="AE758" s="107">
        <v>7.6299065102370278E-2</v>
      </c>
      <c r="AF758" s="107">
        <v>-0.1</v>
      </c>
      <c r="AG758" s="107">
        <v>0.04</v>
      </c>
      <c r="AH758" s="107">
        <f>AH3</f>
        <v>3.158962342501126E-2</v>
      </c>
      <c r="AI758" s="107">
        <f>AI3/2</f>
        <v>1.9832822040830145E-2</v>
      </c>
      <c r="AJ758" s="107">
        <f t="shared" ref="AJ758:BG758" si="218">AJ3/2</f>
        <v>0.02</v>
      </c>
      <c r="AK758" s="107">
        <f t="shared" si="218"/>
        <v>0.02</v>
      </c>
      <c r="AL758" s="107">
        <f t="shared" si="218"/>
        <v>0.02</v>
      </c>
      <c r="AM758" s="107">
        <f t="shared" si="218"/>
        <v>0.02</v>
      </c>
      <c r="AN758" s="107">
        <f t="shared" si="218"/>
        <v>0.02</v>
      </c>
      <c r="AO758" s="107">
        <f t="shared" si="218"/>
        <v>0.02</v>
      </c>
      <c r="AP758" s="107">
        <f t="shared" si="218"/>
        <v>0.02</v>
      </c>
      <c r="AQ758" s="107">
        <f t="shared" si="218"/>
        <v>0.02</v>
      </c>
      <c r="AR758" s="107">
        <f t="shared" si="218"/>
        <v>0.02</v>
      </c>
      <c r="AS758" s="107">
        <f t="shared" si="218"/>
        <v>0.02</v>
      </c>
      <c r="AT758" s="107">
        <f t="shared" si="218"/>
        <v>0.02</v>
      </c>
      <c r="AU758" s="107">
        <f t="shared" si="218"/>
        <v>0.02</v>
      </c>
      <c r="AV758" s="107">
        <f t="shared" si="218"/>
        <v>0.02</v>
      </c>
      <c r="AW758" s="107">
        <f t="shared" si="218"/>
        <v>0.02</v>
      </c>
      <c r="AX758" s="107">
        <f t="shared" si="218"/>
        <v>0.02</v>
      </c>
      <c r="AY758" s="107">
        <f t="shared" si="218"/>
        <v>0.02</v>
      </c>
      <c r="AZ758" s="107">
        <f t="shared" si="218"/>
        <v>0.02</v>
      </c>
      <c r="BA758" s="107">
        <f t="shared" si="218"/>
        <v>0.02</v>
      </c>
      <c r="BB758" s="107">
        <f t="shared" si="218"/>
        <v>0.02</v>
      </c>
      <c r="BC758" s="107">
        <f t="shared" si="218"/>
        <v>0.02</v>
      </c>
      <c r="BD758" s="107">
        <f t="shared" si="218"/>
        <v>0.02</v>
      </c>
      <c r="BE758" s="107">
        <f t="shared" si="218"/>
        <v>0.02</v>
      </c>
      <c r="BF758" s="107">
        <f t="shared" si="218"/>
        <v>0.02</v>
      </c>
      <c r="BG758" s="107">
        <f t="shared" si="218"/>
        <v>0.02</v>
      </c>
    </row>
    <row r="759" spans="1:59" ht="13.75" customHeight="1" outlineLevel="1">
      <c r="A759" s="141" t="s">
        <v>166</v>
      </c>
      <c r="B759" s="165" t="s">
        <v>626</v>
      </c>
      <c r="C759" s="165"/>
      <c r="D759" s="142" t="s">
        <v>168</v>
      </c>
      <c r="E759" s="109" t="s">
        <v>641</v>
      </c>
      <c r="F759" s="168" t="s">
        <v>642</v>
      </c>
      <c r="G759" s="109" t="s">
        <v>3</v>
      </c>
      <c r="H759" s="109" t="s">
        <v>640</v>
      </c>
      <c r="W759" s="109"/>
      <c r="X759" s="107">
        <v>2.2932168524773644E-2</v>
      </c>
      <c r="Y759" s="107">
        <v>-6.4672293942403258E-2</v>
      </c>
      <c r="Z759" s="107">
        <v>0.390537491705375</v>
      </c>
      <c r="AA759" s="107">
        <v>-0.28272426200406575</v>
      </c>
      <c r="AB759" s="107">
        <v>0.65404369694227826</v>
      </c>
      <c r="AC759" s="107">
        <v>-1.5308749235769192E-2</v>
      </c>
      <c r="AD759" s="107">
        <v>0.43786610024100314</v>
      </c>
      <c r="AE759" s="107">
        <v>0.30578061612936214</v>
      </c>
      <c r="AF759" s="107">
        <v>-0.15</v>
      </c>
      <c r="AG759" s="107">
        <v>0.05</v>
      </c>
      <c r="AH759" s="107">
        <f>AH3</f>
        <v>3.158962342501126E-2</v>
      </c>
      <c r="AI759" s="107">
        <f>AI3/2</f>
        <v>1.9832822040830145E-2</v>
      </c>
      <c r="AJ759" s="107">
        <f t="shared" ref="AJ759:BG759" si="219">AJ3/2</f>
        <v>0.02</v>
      </c>
      <c r="AK759" s="107">
        <f t="shared" si="219"/>
        <v>0.02</v>
      </c>
      <c r="AL759" s="107">
        <f t="shared" si="219"/>
        <v>0.02</v>
      </c>
      <c r="AM759" s="107">
        <f t="shared" si="219"/>
        <v>0.02</v>
      </c>
      <c r="AN759" s="107">
        <f t="shared" si="219"/>
        <v>0.02</v>
      </c>
      <c r="AO759" s="107">
        <f t="shared" si="219"/>
        <v>0.02</v>
      </c>
      <c r="AP759" s="107">
        <f t="shared" si="219"/>
        <v>0.02</v>
      </c>
      <c r="AQ759" s="107">
        <f t="shared" si="219"/>
        <v>0.02</v>
      </c>
      <c r="AR759" s="107">
        <f t="shared" si="219"/>
        <v>0.02</v>
      </c>
      <c r="AS759" s="107">
        <f t="shared" si="219"/>
        <v>0.02</v>
      </c>
      <c r="AT759" s="107">
        <f t="shared" si="219"/>
        <v>0.02</v>
      </c>
      <c r="AU759" s="107">
        <f t="shared" si="219"/>
        <v>0.02</v>
      </c>
      <c r="AV759" s="107">
        <f t="shared" si="219"/>
        <v>0.02</v>
      </c>
      <c r="AW759" s="107">
        <f t="shared" si="219"/>
        <v>0.02</v>
      </c>
      <c r="AX759" s="107">
        <f t="shared" si="219"/>
        <v>0.02</v>
      </c>
      <c r="AY759" s="107">
        <f t="shared" si="219"/>
        <v>0.02</v>
      </c>
      <c r="AZ759" s="107">
        <f t="shared" si="219"/>
        <v>0.02</v>
      </c>
      <c r="BA759" s="107">
        <f t="shared" si="219"/>
        <v>0.02</v>
      </c>
      <c r="BB759" s="107">
        <f t="shared" si="219"/>
        <v>0.02</v>
      </c>
      <c r="BC759" s="107">
        <f t="shared" si="219"/>
        <v>0.02</v>
      </c>
      <c r="BD759" s="107">
        <f t="shared" si="219"/>
        <v>0.02</v>
      </c>
      <c r="BE759" s="107">
        <f t="shared" si="219"/>
        <v>0.02</v>
      </c>
      <c r="BF759" s="107">
        <f t="shared" si="219"/>
        <v>0.02</v>
      </c>
      <c r="BG759" s="107">
        <f t="shared" si="219"/>
        <v>0.02</v>
      </c>
    </row>
    <row r="760" spans="1:59" ht="13.75" customHeight="1" outlineLevel="1">
      <c r="A760" s="141" t="s">
        <v>166</v>
      </c>
      <c r="B760" s="165" t="s">
        <v>626</v>
      </c>
      <c r="C760" s="165"/>
      <c r="D760" s="142" t="s">
        <v>168</v>
      </c>
      <c r="E760" s="109" t="s">
        <v>643</v>
      </c>
      <c r="F760" s="168" t="s">
        <v>643</v>
      </c>
      <c r="G760" s="109" t="s">
        <v>3</v>
      </c>
      <c r="H760" s="109" t="s">
        <v>630</v>
      </c>
      <c r="W760" s="109"/>
      <c r="X760" s="107">
        <v>-0.32424994973755972</v>
      </c>
      <c r="Y760" s="107">
        <v>-6.2653951352830695E-2</v>
      </c>
      <c r="Z760" s="107">
        <v>3.291649518986639E-2</v>
      </c>
      <c r="AA760" s="107">
        <v>0.13398569145386086</v>
      </c>
      <c r="AB760" s="107">
        <v>-0.10378683560189783</v>
      </c>
      <c r="AC760" s="107">
        <v>-0.1153151984378924</v>
      </c>
      <c r="AD760" s="107">
        <v>0.71222908321158007</v>
      </c>
      <c r="AE760" s="107">
        <v>-0.17600590603085531</v>
      </c>
      <c r="AF760" s="107">
        <v>-0.19</v>
      </c>
      <c r="AG760" s="107">
        <v>0.05</v>
      </c>
      <c r="AH760" s="107">
        <v>0.03</v>
      </c>
      <c r="AI760" s="107">
        <v>1.540000000000008E-2</v>
      </c>
      <c r="AJ760" s="107">
        <v>1.540000000000008E-2</v>
      </c>
      <c r="AK760" s="107">
        <v>1.540000000000008E-2</v>
      </c>
      <c r="AL760" s="107">
        <v>1.540000000000008E-2</v>
      </c>
      <c r="AM760" s="107">
        <v>1.540000000000008E-2</v>
      </c>
      <c r="AN760" s="107">
        <f t="shared" si="215"/>
        <v>1.540000000000008E-2</v>
      </c>
      <c r="AO760" s="107">
        <f t="shared" si="215"/>
        <v>1.540000000000008E-2</v>
      </c>
      <c r="AP760" s="107">
        <f t="shared" si="215"/>
        <v>1.540000000000008E-2</v>
      </c>
      <c r="AQ760" s="107">
        <f t="shared" si="215"/>
        <v>1.540000000000008E-2</v>
      </c>
      <c r="AR760" s="107">
        <f t="shared" si="215"/>
        <v>1.540000000000008E-2</v>
      </c>
      <c r="AS760" s="107">
        <f t="shared" si="215"/>
        <v>1.540000000000008E-2</v>
      </c>
      <c r="AT760" s="107">
        <f t="shared" si="215"/>
        <v>1.540000000000008E-2</v>
      </c>
      <c r="AU760" s="107">
        <f t="shared" si="215"/>
        <v>1.540000000000008E-2</v>
      </c>
      <c r="AV760" s="107">
        <f t="shared" si="215"/>
        <v>1.540000000000008E-2</v>
      </c>
      <c r="AW760" s="107">
        <f t="shared" si="215"/>
        <v>1.540000000000008E-2</v>
      </c>
      <c r="AX760" s="107">
        <f t="shared" si="215"/>
        <v>1.540000000000008E-2</v>
      </c>
      <c r="AY760" s="107">
        <f t="shared" si="215"/>
        <v>1.540000000000008E-2</v>
      </c>
      <c r="AZ760" s="107">
        <f t="shared" si="215"/>
        <v>1.540000000000008E-2</v>
      </c>
      <c r="BA760" s="107">
        <f t="shared" si="215"/>
        <v>1.540000000000008E-2</v>
      </c>
      <c r="BB760" s="107">
        <f t="shared" si="215"/>
        <v>1.540000000000008E-2</v>
      </c>
      <c r="BC760" s="107">
        <f t="shared" si="215"/>
        <v>1.540000000000008E-2</v>
      </c>
      <c r="BD760" s="107">
        <f t="shared" ref="BD760:BG760" si="220">+BC760</f>
        <v>1.540000000000008E-2</v>
      </c>
      <c r="BE760" s="107">
        <f t="shared" si="220"/>
        <v>1.540000000000008E-2</v>
      </c>
      <c r="BF760" s="107">
        <f t="shared" si="220"/>
        <v>1.540000000000008E-2</v>
      </c>
      <c r="BG760" s="107">
        <f t="shared" si="220"/>
        <v>1.540000000000008E-2</v>
      </c>
    </row>
    <row r="761" spans="1:59" ht="13.75" customHeight="1" outlineLevel="1">
      <c r="B761" s="165"/>
      <c r="C761" s="165"/>
      <c r="F761" s="168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</row>
    <row r="762" spans="1:59" ht="13.75" customHeight="1" outlineLevel="1">
      <c r="B762" s="165"/>
      <c r="C762" s="165"/>
      <c r="F762" s="168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</row>
    <row r="763" spans="1:59" ht="13.75" customHeight="1" outlineLevel="1">
      <c r="B763" s="165"/>
      <c r="C763" s="165"/>
      <c r="F763" s="168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</row>
    <row r="764" spans="1:59" ht="13.75" customHeight="1" outlineLevel="1">
      <c r="B764" s="165"/>
      <c r="C764" s="165"/>
      <c r="F764" s="168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</row>
    <row r="765" spans="1:59" ht="13.75" customHeight="1" outlineLevel="1">
      <c r="B765" s="165"/>
      <c r="C765" s="165"/>
      <c r="F765" s="168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</row>
    <row r="766" spans="1:59" ht="13.75" customHeight="1" outlineLevel="1">
      <c r="B766" s="165"/>
      <c r="C766" s="165"/>
      <c r="F766" s="168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</row>
    <row r="767" spans="1:59" ht="13.75" customHeight="1" outlineLevel="1">
      <c r="B767" s="165"/>
      <c r="C767" s="165"/>
      <c r="F767" s="168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</row>
    <row r="768" spans="1:59" ht="13.75" customHeight="1">
      <c r="B768" s="165"/>
      <c r="C768" s="165"/>
      <c r="F768" s="168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</row>
    <row r="769" spans="2:34" ht="13.75" customHeight="1" outlineLevel="1">
      <c r="B769" s="165"/>
      <c r="C769" s="165"/>
      <c r="F769" s="168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</row>
    <row r="770" spans="2:34" ht="13.75" customHeight="1" outlineLevel="1">
      <c r="B770" s="165"/>
      <c r="C770" s="165"/>
      <c r="F770" s="168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</row>
    <row r="771" spans="2:34" ht="13.75" customHeight="1" outlineLevel="1">
      <c r="B771" s="165"/>
      <c r="C771" s="165"/>
      <c r="F771" s="168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</row>
    <row r="772" spans="2:34" ht="13.75" customHeight="1" outlineLevel="1">
      <c r="B772" s="165"/>
      <c r="C772" s="165"/>
      <c r="F772" s="168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</row>
    <row r="773" spans="2:34" ht="13.75" customHeight="1" outlineLevel="1">
      <c r="B773" s="165"/>
      <c r="C773" s="165"/>
      <c r="F773" s="168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</row>
    <row r="774" spans="2:34" ht="13.75" customHeight="1" outlineLevel="1">
      <c r="B774" s="165"/>
      <c r="C774" s="165"/>
      <c r="F774" s="168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</row>
    <row r="775" spans="2:34" ht="13.75" customHeight="1" outlineLevel="1">
      <c r="B775" s="165"/>
      <c r="C775" s="165"/>
      <c r="F775" s="168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</row>
    <row r="776" spans="2:34" ht="13.75" customHeight="1" outlineLevel="1">
      <c r="B776" s="165"/>
      <c r="C776" s="165"/>
      <c r="F776" s="168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</row>
    <row r="777" spans="2:34" ht="13.75" customHeight="1" outlineLevel="1">
      <c r="B777" s="165"/>
      <c r="C777" s="165"/>
      <c r="F777" s="168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</row>
    <row r="778" spans="2:34" ht="13.75" customHeight="1" outlineLevel="1">
      <c r="B778" s="165"/>
      <c r="C778" s="165"/>
      <c r="F778" s="168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</row>
    <row r="779" spans="2:34" ht="13.75" customHeight="1" outlineLevel="1">
      <c r="B779" s="165"/>
      <c r="C779" s="165"/>
      <c r="F779" s="168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</row>
    <row r="780" spans="2:34" ht="13.75" customHeight="1" outlineLevel="1">
      <c r="B780" s="165"/>
      <c r="C780" s="165"/>
      <c r="F780" s="168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</row>
    <row r="781" spans="2:34" ht="13.75" customHeight="1" outlineLevel="1">
      <c r="B781" s="165"/>
      <c r="C781" s="165"/>
      <c r="F781" s="168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</row>
    <row r="782" spans="2:34" ht="13.75" customHeight="1" outlineLevel="1">
      <c r="B782" s="165"/>
      <c r="C782" s="165"/>
      <c r="F782" s="168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</row>
    <row r="783" spans="2:34" ht="13.75" customHeight="1" outlineLevel="1">
      <c r="B783" s="165"/>
      <c r="C783" s="165"/>
      <c r="F783" s="168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</row>
    <row r="784" spans="2:34" ht="13.75" customHeight="1" outlineLevel="1">
      <c r="B784" s="165"/>
      <c r="C784" s="165"/>
      <c r="F784" s="168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</row>
    <row r="785" spans="2:34" ht="13.75" customHeight="1" outlineLevel="1">
      <c r="B785" s="165"/>
      <c r="C785" s="165"/>
      <c r="F785" s="168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</row>
    <row r="786" spans="2:34" ht="13.75" customHeight="1" outlineLevel="1">
      <c r="B786" s="165"/>
      <c r="C786" s="165"/>
      <c r="F786" s="168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</row>
    <row r="787" spans="2:34" ht="13.75" customHeight="1" outlineLevel="1">
      <c r="B787" s="165"/>
      <c r="C787" s="165"/>
      <c r="F787" s="168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</row>
    <row r="788" spans="2:34" ht="13.75" customHeight="1">
      <c r="B788" s="165"/>
      <c r="C788" s="165"/>
      <c r="F788" s="168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</row>
    <row r="789" spans="2:34" ht="13.75" customHeight="1" outlineLevel="1">
      <c r="B789" s="165"/>
      <c r="C789" s="165"/>
      <c r="F789" s="168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</row>
    <row r="790" spans="2:34" ht="13.75" customHeight="1" outlineLevel="1">
      <c r="B790" s="165"/>
      <c r="C790" s="165"/>
      <c r="F790" s="168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</row>
    <row r="791" spans="2:34" ht="13.75" customHeight="1" outlineLevel="1">
      <c r="B791" s="165"/>
      <c r="C791" s="165"/>
      <c r="F791" s="168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</row>
    <row r="792" spans="2:34" ht="13.75" customHeight="1" outlineLevel="1">
      <c r="B792" s="165"/>
      <c r="C792" s="165"/>
      <c r="F792" s="168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</row>
    <row r="793" spans="2:34" ht="13.75" customHeight="1" outlineLevel="1">
      <c r="B793" s="165"/>
      <c r="C793" s="165"/>
      <c r="F793" s="168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</row>
    <row r="794" spans="2:34" ht="13.75" customHeight="1" outlineLevel="1">
      <c r="B794" s="165"/>
      <c r="C794" s="165"/>
      <c r="F794" s="168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</row>
    <row r="795" spans="2:34" ht="13.75" customHeight="1" outlineLevel="1">
      <c r="B795" s="165"/>
      <c r="C795" s="165"/>
      <c r="F795" s="168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</row>
    <row r="796" spans="2:34" ht="13.75" customHeight="1" outlineLevel="1">
      <c r="B796" s="165"/>
      <c r="C796" s="165"/>
      <c r="F796" s="168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</row>
    <row r="797" spans="2:34" ht="13.75" customHeight="1" outlineLevel="1">
      <c r="B797" s="165"/>
      <c r="C797" s="165"/>
      <c r="F797" s="168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</row>
    <row r="798" spans="2:34" ht="13.75" customHeight="1" outlineLevel="1">
      <c r="B798" s="165"/>
      <c r="C798" s="165"/>
      <c r="F798" s="168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</row>
    <row r="799" spans="2:34" ht="13.75" customHeight="1" outlineLevel="1">
      <c r="B799" s="165"/>
      <c r="C799" s="165"/>
      <c r="F799" s="168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</row>
    <row r="800" spans="2:34" ht="13.75" customHeight="1" outlineLevel="1">
      <c r="B800" s="165"/>
      <c r="C800" s="165"/>
      <c r="F800" s="168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</row>
    <row r="801" spans="2:34" ht="13.75" customHeight="1" outlineLevel="1">
      <c r="B801" s="165"/>
      <c r="C801" s="165"/>
      <c r="F801" s="168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</row>
    <row r="802" spans="2:34" ht="13.75" customHeight="1" outlineLevel="1">
      <c r="B802" s="165"/>
      <c r="C802" s="165"/>
      <c r="F802" s="168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</row>
    <row r="803" spans="2:34" ht="13.75" customHeight="1" outlineLevel="1">
      <c r="B803" s="165"/>
      <c r="C803" s="165"/>
      <c r="F803" s="168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</row>
    <row r="804" spans="2:34" ht="13.75" customHeight="1" outlineLevel="1">
      <c r="B804" s="165"/>
      <c r="C804" s="165"/>
      <c r="F804" s="168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</row>
    <row r="805" spans="2:34" ht="13.75" customHeight="1" outlineLevel="1">
      <c r="B805" s="165"/>
      <c r="C805" s="165"/>
      <c r="F805" s="168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</row>
    <row r="806" spans="2:34" ht="13.75" customHeight="1" outlineLevel="1">
      <c r="B806" s="165"/>
      <c r="C806" s="165"/>
      <c r="F806" s="168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</row>
    <row r="807" spans="2:34" ht="13.75" customHeight="1" outlineLevel="1">
      <c r="B807" s="165"/>
      <c r="C807" s="165"/>
      <c r="F807" s="168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</row>
    <row r="808" spans="2:34" ht="13.75" customHeight="1">
      <c r="B808" s="165"/>
      <c r="C808" s="165"/>
      <c r="F808" s="168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</row>
    <row r="809" spans="2:34" ht="13.75" customHeight="1" outlineLevel="1">
      <c r="B809" s="165"/>
      <c r="C809" s="165"/>
      <c r="F809" s="168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</row>
    <row r="810" spans="2:34" ht="13.75" customHeight="1" outlineLevel="1">
      <c r="B810" s="165"/>
      <c r="C810" s="165"/>
      <c r="F810" s="168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</row>
    <row r="811" spans="2:34" ht="13.75" customHeight="1" outlineLevel="1">
      <c r="B811" s="165"/>
      <c r="C811" s="165"/>
      <c r="F811" s="168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</row>
    <row r="812" spans="2:34" ht="13.75" customHeight="1" outlineLevel="1">
      <c r="B812" s="165"/>
      <c r="C812" s="165"/>
      <c r="F812" s="168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</row>
    <row r="813" spans="2:34" ht="13.75" customHeight="1" outlineLevel="1">
      <c r="B813" s="165"/>
      <c r="C813" s="165"/>
      <c r="F813" s="168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</row>
    <row r="814" spans="2:34" ht="13.75" customHeight="1" outlineLevel="1">
      <c r="B814" s="165"/>
      <c r="C814" s="165"/>
      <c r="F814" s="168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</row>
    <row r="815" spans="2:34" ht="13.75" customHeight="1" outlineLevel="1">
      <c r="B815" s="165"/>
      <c r="C815" s="165"/>
      <c r="F815" s="168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</row>
    <row r="816" spans="2:34" ht="13.75" customHeight="1" outlineLevel="1">
      <c r="B816" s="165"/>
      <c r="C816" s="165"/>
      <c r="F816" s="168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</row>
    <row r="817" spans="2:34" ht="13.75" customHeight="1" outlineLevel="1">
      <c r="B817" s="165"/>
      <c r="C817" s="165"/>
      <c r="F817" s="168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</row>
    <row r="818" spans="2:34" ht="13.75" customHeight="1" outlineLevel="1">
      <c r="B818" s="165"/>
      <c r="C818" s="165"/>
      <c r="F818" s="168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</row>
    <row r="819" spans="2:34" ht="13.75" customHeight="1" outlineLevel="1">
      <c r="B819" s="165"/>
      <c r="C819" s="165"/>
      <c r="F819" s="168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</row>
    <row r="820" spans="2:34" ht="13.75" customHeight="1" outlineLevel="1">
      <c r="B820" s="165"/>
      <c r="C820" s="165"/>
      <c r="F820" s="168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</row>
    <row r="821" spans="2:34" ht="13.75" customHeight="1" outlineLevel="1">
      <c r="B821" s="165"/>
      <c r="C821" s="165"/>
      <c r="F821" s="168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</row>
    <row r="822" spans="2:34" ht="13.75" customHeight="1" outlineLevel="1">
      <c r="B822" s="165"/>
      <c r="C822" s="165"/>
      <c r="F822" s="168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</row>
    <row r="823" spans="2:34" ht="13.75" customHeight="1" outlineLevel="1">
      <c r="B823" s="165"/>
      <c r="C823" s="165"/>
      <c r="F823" s="168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</row>
    <row r="824" spans="2:34" ht="13.75" customHeight="1" outlineLevel="1">
      <c r="B824" s="165"/>
      <c r="C824" s="165"/>
      <c r="F824" s="168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</row>
    <row r="825" spans="2:34" ht="13.75" customHeight="1" outlineLevel="1">
      <c r="B825" s="165"/>
      <c r="C825" s="165"/>
      <c r="F825" s="168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</row>
    <row r="826" spans="2:34" ht="13.75" customHeight="1" outlineLevel="1">
      <c r="B826" s="165"/>
      <c r="C826" s="165"/>
      <c r="F826" s="168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</row>
    <row r="827" spans="2:34" ht="13.75" customHeight="1" outlineLevel="1">
      <c r="B827" s="165"/>
      <c r="C827" s="165"/>
      <c r="F827" s="168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</row>
    <row r="828" spans="2:34" ht="13.75" customHeight="1">
      <c r="B828" s="165"/>
      <c r="C828" s="165"/>
      <c r="F828" s="168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</row>
    <row r="829" spans="2:34" ht="13.75" customHeight="1" outlineLevel="1">
      <c r="B829" s="165"/>
      <c r="C829" s="165"/>
      <c r="F829" s="168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</row>
    <row r="830" spans="2:34" ht="13.75" customHeight="1" outlineLevel="1">
      <c r="B830" s="165"/>
      <c r="C830" s="165"/>
      <c r="F830" s="168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</row>
    <row r="831" spans="2:34" ht="13.75" customHeight="1" outlineLevel="1">
      <c r="B831" s="165"/>
      <c r="C831" s="165"/>
      <c r="F831" s="168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</row>
    <row r="832" spans="2:34" ht="13.75" customHeight="1" outlineLevel="1">
      <c r="B832" s="165"/>
      <c r="C832" s="165"/>
      <c r="F832" s="168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</row>
    <row r="833" spans="2:34" ht="13.75" customHeight="1" outlineLevel="1">
      <c r="B833" s="165"/>
      <c r="C833" s="165"/>
      <c r="F833" s="168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</row>
    <row r="834" spans="2:34" ht="13.75" customHeight="1" outlineLevel="1">
      <c r="B834" s="165"/>
      <c r="C834" s="165"/>
      <c r="F834" s="168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</row>
    <row r="835" spans="2:34" ht="13.75" customHeight="1" outlineLevel="1">
      <c r="B835" s="165"/>
      <c r="C835" s="165"/>
      <c r="F835" s="168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</row>
    <row r="836" spans="2:34" ht="13.75" customHeight="1" outlineLevel="1">
      <c r="B836" s="165"/>
      <c r="C836" s="165"/>
      <c r="F836" s="168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</row>
    <row r="837" spans="2:34" ht="13.75" customHeight="1" outlineLevel="1">
      <c r="B837" s="165"/>
      <c r="C837" s="165"/>
      <c r="F837" s="168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</row>
    <row r="838" spans="2:34" ht="13.75" customHeight="1" outlineLevel="1">
      <c r="B838" s="165"/>
      <c r="C838" s="165"/>
      <c r="F838" s="168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</row>
    <row r="839" spans="2:34" ht="13.75" customHeight="1" outlineLevel="1">
      <c r="B839" s="165"/>
      <c r="C839" s="165"/>
      <c r="F839" s="168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</row>
    <row r="840" spans="2:34" ht="13.75" customHeight="1" outlineLevel="1">
      <c r="B840" s="165"/>
      <c r="C840" s="165"/>
      <c r="F840" s="168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</row>
    <row r="841" spans="2:34" ht="13.75" customHeight="1" outlineLevel="1">
      <c r="B841" s="165"/>
      <c r="C841" s="165"/>
      <c r="F841" s="168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</row>
    <row r="842" spans="2:34" ht="13.75" customHeight="1" outlineLevel="1">
      <c r="B842" s="165"/>
      <c r="C842" s="165"/>
      <c r="F842" s="168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</row>
    <row r="843" spans="2:34" ht="13.75" customHeight="1" outlineLevel="1">
      <c r="B843" s="165"/>
      <c r="C843" s="165"/>
      <c r="F843" s="168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</row>
    <row r="844" spans="2:34" ht="13.75" customHeight="1" outlineLevel="1">
      <c r="B844" s="165"/>
      <c r="C844" s="165"/>
      <c r="F844" s="168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</row>
    <row r="845" spans="2:34" ht="13.75" customHeight="1" outlineLevel="1">
      <c r="B845" s="165"/>
      <c r="C845" s="165"/>
      <c r="F845" s="168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</row>
    <row r="846" spans="2:34" ht="13.75" customHeight="1" outlineLevel="1">
      <c r="B846" s="165"/>
      <c r="C846" s="165"/>
      <c r="F846" s="168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</row>
    <row r="847" spans="2:34" ht="13.75" customHeight="1" outlineLevel="1">
      <c r="B847" s="165"/>
      <c r="C847" s="165"/>
      <c r="F847" s="168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</row>
    <row r="848" spans="2:34" ht="13.75" customHeight="1">
      <c r="F848" s="168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</row>
    <row r="849" spans="6:34" ht="13.75" customHeight="1" outlineLevel="1">
      <c r="F849" s="168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</row>
    <row r="850" spans="6:34" ht="13.75" customHeight="1" outlineLevel="1">
      <c r="F850" s="168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</row>
    <row r="851" spans="6:34" ht="13.75" customHeight="1" outlineLevel="1">
      <c r="F851" s="168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</row>
    <row r="852" spans="6:34" ht="13.75" customHeight="1" outlineLevel="1">
      <c r="F852" s="168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</row>
    <row r="853" spans="6:34" ht="13.75" customHeight="1" outlineLevel="1">
      <c r="F853" s="168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</row>
    <row r="854" spans="6:34" ht="13.75" customHeight="1" outlineLevel="1">
      <c r="F854" s="168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</row>
    <row r="855" spans="6:34" ht="13.75" customHeight="1" outlineLevel="1">
      <c r="F855" s="168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</row>
    <row r="856" spans="6:34" ht="13.75" customHeight="1" outlineLevel="1">
      <c r="F856" s="168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</row>
    <row r="857" spans="6:34" ht="13.75" customHeight="1" outlineLevel="1">
      <c r="F857" s="168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</row>
    <row r="858" spans="6:34" ht="13.75" customHeight="1" outlineLevel="1">
      <c r="F858" s="168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</row>
    <row r="859" spans="6:34" ht="13.75" customHeight="1" outlineLevel="1">
      <c r="F859" s="168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</row>
    <row r="860" spans="6:34" ht="13.75" customHeight="1" outlineLevel="1">
      <c r="F860" s="168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</row>
    <row r="861" spans="6:34" ht="13.75" customHeight="1" outlineLevel="1">
      <c r="F861" s="168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</row>
    <row r="862" spans="6:34" ht="13.75" customHeight="1" outlineLevel="1">
      <c r="F862" s="168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</row>
    <row r="863" spans="6:34" ht="13.75" customHeight="1" outlineLevel="1">
      <c r="F863" s="168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</row>
    <row r="864" spans="6:34" ht="13.75" customHeight="1" outlineLevel="1">
      <c r="F864" s="168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</row>
    <row r="865" spans="6:34" ht="13.75" customHeight="1" outlineLevel="1">
      <c r="F865" s="168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</row>
    <row r="866" spans="6:34" ht="13.75" customHeight="1" outlineLevel="1">
      <c r="F866" s="168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</row>
    <row r="867" spans="6:34" ht="13.75" customHeight="1" outlineLevel="1">
      <c r="F867" s="168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</row>
    <row r="868" spans="6:34" ht="13.75" customHeight="1">
      <c r="F868" s="168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</row>
    <row r="869" spans="6:34" ht="13.75" customHeight="1" outlineLevel="1">
      <c r="F869" s="168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</row>
    <row r="870" spans="6:34" ht="13.75" customHeight="1" outlineLevel="1">
      <c r="F870" s="168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</row>
    <row r="871" spans="6:34" ht="13.75" customHeight="1" outlineLevel="1">
      <c r="F871" s="168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</row>
    <row r="872" spans="6:34" ht="13.75" customHeight="1" outlineLevel="1">
      <c r="F872" s="168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</row>
    <row r="873" spans="6:34" ht="13.75" customHeight="1" outlineLevel="1">
      <c r="F873" s="168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</row>
    <row r="874" spans="6:34" ht="13.75" customHeight="1" outlineLevel="1">
      <c r="F874" s="168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</row>
    <row r="875" spans="6:34" ht="13.75" customHeight="1" outlineLevel="1">
      <c r="F875" s="168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</row>
    <row r="876" spans="6:34" ht="13.75" customHeight="1" outlineLevel="1">
      <c r="F876" s="168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</row>
    <row r="877" spans="6:34" ht="13.75" customHeight="1" outlineLevel="1">
      <c r="F877" s="168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</row>
    <row r="878" spans="6:34" ht="13.75" customHeight="1" outlineLevel="1">
      <c r="F878" s="168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</row>
    <row r="879" spans="6:34" ht="13.75" customHeight="1" outlineLevel="1">
      <c r="F879" s="168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</row>
    <row r="880" spans="6:34" ht="13.75" customHeight="1" outlineLevel="1">
      <c r="F880" s="168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</row>
    <row r="881" spans="6:34" ht="13.75" customHeight="1" outlineLevel="1">
      <c r="F881" s="168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</row>
    <row r="882" spans="6:34" ht="13.75" customHeight="1" outlineLevel="1">
      <c r="F882" s="168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</row>
    <row r="883" spans="6:34" ht="13.75" customHeight="1" outlineLevel="1">
      <c r="F883" s="168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</row>
    <row r="884" spans="6:34" ht="13.75" customHeight="1" outlineLevel="1">
      <c r="F884" s="168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</row>
    <row r="885" spans="6:34" ht="13.75" customHeight="1" outlineLevel="1">
      <c r="F885" s="168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</row>
    <row r="886" spans="6:34" ht="13.75" customHeight="1" outlineLevel="1">
      <c r="F886" s="168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</row>
    <row r="887" spans="6:34" ht="13.75" customHeight="1" outlineLevel="1">
      <c r="F887" s="168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</row>
    <row r="888" spans="6:34" ht="13.75" customHeight="1">
      <c r="F888" s="168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</row>
    <row r="889" spans="6:34" ht="13.75" customHeight="1" outlineLevel="1">
      <c r="F889" s="168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</row>
    <row r="890" spans="6:34" ht="13.75" customHeight="1" outlineLevel="1">
      <c r="F890" s="168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</row>
    <row r="891" spans="6:34" ht="13.75" customHeight="1" outlineLevel="1">
      <c r="F891" s="168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</row>
    <row r="892" spans="6:34" ht="13.75" customHeight="1" outlineLevel="1">
      <c r="F892" s="168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</row>
    <row r="893" spans="6:34" ht="13.75" customHeight="1" outlineLevel="1">
      <c r="F893" s="168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</row>
    <row r="894" spans="6:34" ht="13.75" customHeight="1" outlineLevel="1">
      <c r="F894" s="168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</row>
    <row r="895" spans="6:34" ht="13.75" customHeight="1" outlineLevel="1">
      <c r="F895" s="168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</row>
    <row r="896" spans="6:34" ht="13.75" customHeight="1" outlineLevel="1">
      <c r="F896" s="168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</row>
    <row r="897" spans="6:34" ht="13.75" customHeight="1" outlineLevel="1">
      <c r="F897" s="168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</row>
    <row r="898" spans="6:34" ht="13.75" customHeight="1" outlineLevel="1">
      <c r="F898" s="168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</row>
    <row r="899" spans="6:34" ht="13.75" customHeight="1" outlineLevel="1">
      <c r="F899" s="168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</row>
    <row r="900" spans="6:34" ht="13.75" customHeight="1" outlineLevel="1">
      <c r="F900" s="168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</row>
    <row r="901" spans="6:34" ht="13.75" customHeight="1" outlineLevel="1">
      <c r="F901" s="168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</row>
    <row r="902" spans="6:34" ht="13.75" customHeight="1" outlineLevel="1">
      <c r="F902" s="168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</row>
    <row r="903" spans="6:34" ht="13.75" customHeight="1" outlineLevel="1">
      <c r="F903" s="168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</row>
    <row r="904" spans="6:34" ht="13.75" customHeight="1" outlineLevel="1">
      <c r="F904" s="168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</row>
    <row r="905" spans="6:34" ht="13.75" customHeight="1" outlineLevel="1">
      <c r="F905" s="168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</row>
    <row r="906" spans="6:34" ht="13.75" customHeight="1" outlineLevel="1">
      <c r="F906" s="168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</row>
    <row r="907" spans="6:34" ht="13.75" customHeight="1" outlineLevel="1">
      <c r="F907" s="168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</row>
    <row r="908" spans="6:34" ht="13.75" customHeight="1">
      <c r="F908" s="168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</row>
    <row r="909" spans="6:34" ht="13.75" customHeight="1" outlineLevel="1">
      <c r="F909" s="168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</row>
    <row r="910" spans="6:34" ht="13.75" customHeight="1" outlineLevel="1">
      <c r="F910" s="168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</row>
    <row r="911" spans="6:34" ht="13.75" customHeight="1" outlineLevel="1">
      <c r="F911" s="168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</row>
    <row r="912" spans="6:34" ht="13.75" customHeight="1" outlineLevel="1">
      <c r="F912" s="168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</row>
    <row r="913" spans="6:34" ht="13.75" customHeight="1" outlineLevel="1">
      <c r="F913" s="168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</row>
    <row r="914" spans="6:34" ht="13.75" customHeight="1" outlineLevel="1">
      <c r="F914" s="168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</row>
    <row r="915" spans="6:34" ht="13.75" customHeight="1" outlineLevel="1">
      <c r="F915" s="168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</row>
    <row r="916" spans="6:34" ht="13.75" customHeight="1" outlineLevel="1">
      <c r="F916" s="168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</row>
    <row r="917" spans="6:34" ht="13.75" customHeight="1" outlineLevel="1">
      <c r="F917" s="168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</row>
    <row r="918" spans="6:34" ht="13.75" customHeight="1" outlineLevel="1">
      <c r="F918" s="168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</row>
    <row r="919" spans="6:34" ht="13.75" customHeight="1" outlineLevel="1">
      <c r="F919" s="168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</row>
    <row r="920" spans="6:34" ht="13.75" customHeight="1" outlineLevel="1">
      <c r="F920" s="168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</row>
    <row r="921" spans="6:34" ht="13.75" customHeight="1" outlineLevel="1">
      <c r="F921" s="168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</row>
    <row r="922" spans="6:34" ht="13.75" customHeight="1" outlineLevel="1">
      <c r="F922" s="168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</row>
    <row r="923" spans="6:34" ht="13.75" customHeight="1" outlineLevel="1">
      <c r="F923" s="168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</row>
    <row r="924" spans="6:34" ht="13.75" customHeight="1" outlineLevel="1">
      <c r="F924" s="168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</row>
    <row r="925" spans="6:34" ht="13.75" customHeight="1" outlineLevel="1">
      <c r="F925" s="168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</row>
    <row r="926" spans="6:34" ht="13.75" customHeight="1" outlineLevel="1">
      <c r="F926" s="168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</row>
    <row r="927" spans="6:34" ht="13.75" customHeight="1" outlineLevel="1">
      <c r="F927" s="168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</row>
    <row r="928" spans="6:34" ht="13.75" customHeight="1">
      <c r="F928" s="168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</row>
    <row r="929" spans="6:34" ht="13.75" customHeight="1" outlineLevel="1">
      <c r="F929" s="168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</row>
    <row r="930" spans="6:34" ht="13.75" customHeight="1" outlineLevel="1">
      <c r="F930" s="168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</row>
    <row r="931" spans="6:34" ht="13.75" customHeight="1" outlineLevel="1">
      <c r="F931" s="168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</row>
    <row r="932" spans="6:34" ht="13.75" customHeight="1" outlineLevel="1">
      <c r="F932" s="168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</row>
    <row r="933" spans="6:34" ht="13.75" customHeight="1" outlineLevel="1">
      <c r="F933" s="168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</row>
    <row r="934" spans="6:34" ht="13.75" customHeight="1" outlineLevel="1">
      <c r="F934" s="168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</row>
    <row r="935" spans="6:34" ht="13.75" customHeight="1" outlineLevel="1">
      <c r="F935" s="168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</row>
    <row r="936" spans="6:34" ht="13.75" customHeight="1" outlineLevel="1">
      <c r="F936" s="168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</row>
    <row r="937" spans="6:34" ht="13.75" customHeight="1" outlineLevel="1">
      <c r="F937" s="168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</row>
    <row r="938" spans="6:34" ht="13.75" customHeight="1" outlineLevel="1">
      <c r="F938" s="168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</row>
    <row r="939" spans="6:34" ht="13.75" customHeight="1" outlineLevel="1">
      <c r="F939" s="168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</row>
    <row r="940" spans="6:34" ht="13.75" customHeight="1" outlineLevel="1">
      <c r="F940" s="168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</row>
    <row r="941" spans="6:34" ht="13.75" customHeight="1" outlineLevel="1">
      <c r="F941" s="168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</row>
    <row r="942" spans="6:34" ht="13.75" customHeight="1" outlineLevel="1">
      <c r="F942" s="168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</row>
    <row r="943" spans="6:34" ht="13.75" customHeight="1" outlineLevel="1">
      <c r="F943" s="168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</row>
    <row r="944" spans="6:34" ht="13.75" customHeight="1" outlineLevel="1">
      <c r="F944" s="168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</row>
    <row r="945" spans="6:34" ht="13.75" customHeight="1" outlineLevel="1">
      <c r="F945" s="168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</row>
    <row r="946" spans="6:34" ht="13.75" customHeight="1" outlineLevel="1">
      <c r="F946" s="168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</row>
    <row r="947" spans="6:34" ht="13.75" customHeight="1" outlineLevel="1">
      <c r="F947" s="168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</row>
    <row r="948" spans="6:34" ht="13.75" customHeight="1">
      <c r="F948" s="168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</row>
    <row r="949" spans="6:34" ht="13.75" customHeight="1" outlineLevel="1">
      <c r="F949" s="168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</row>
    <row r="950" spans="6:34" ht="13.75" customHeight="1" outlineLevel="1">
      <c r="F950" s="168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</row>
    <row r="951" spans="6:34" ht="13.75" customHeight="1" outlineLevel="1">
      <c r="F951" s="168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</row>
    <row r="952" spans="6:34" ht="13.75" customHeight="1" outlineLevel="1">
      <c r="F952" s="168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</row>
    <row r="953" spans="6:34" ht="13.75" customHeight="1" outlineLevel="1">
      <c r="F953" s="168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</row>
    <row r="954" spans="6:34" ht="13.75" customHeight="1" outlineLevel="1">
      <c r="F954" s="168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</row>
    <row r="955" spans="6:34" ht="13.75" customHeight="1" outlineLevel="1">
      <c r="F955" s="168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</row>
    <row r="956" spans="6:34" ht="13.75" customHeight="1" outlineLevel="1">
      <c r="F956" s="168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</row>
    <row r="957" spans="6:34" ht="13.75" customHeight="1" outlineLevel="1">
      <c r="F957" s="168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</row>
    <row r="958" spans="6:34" ht="13.75" customHeight="1" outlineLevel="1">
      <c r="F958" s="168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</row>
    <row r="959" spans="6:34" ht="13.75" customHeight="1" outlineLevel="1">
      <c r="F959" s="168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</row>
    <row r="960" spans="6:34" ht="13.75" customHeight="1" outlineLevel="1">
      <c r="F960" s="168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</row>
    <row r="961" spans="1:34" ht="13.75" customHeight="1" outlineLevel="1">
      <c r="F961" s="168"/>
    </row>
    <row r="962" spans="1:34" ht="13.75" customHeight="1" outlineLevel="1">
      <c r="F962" s="168"/>
    </row>
    <row r="963" spans="1:34" ht="13.75" customHeight="1" outlineLevel="1">
      <c r="F963" s="168"/>
    </row>
    <row r="964" spans="1:34" ht="13.75" customHeight="1" outlineLevel="1">
      <c r="F964" s="168"/>
    </row>
    <row r="965" spans="1:34" ht="13.75" customHeight="1" outlineLevel="1">
      <c r="F965" s="168"/>
    </row>
    <row r="966" spans="1:34" ht="13.75" customHeight="1" outlineLevel="1">
      <c r="F966" s="168"/>
    </row>
    <row r="967" spans="1:34" ht="13.75" customHeight="1" outlineLevel="1">
      <c r="F967" s="168"/>
    </row>
    <row r="968" spans="1:34" ht="13.75" customHeight="1">
      <c r="A968" s="170"/>
      <c r="F968" s="168"/>
      <c r="W968" s="109"/>
    </row>
    <row r="969" spans="1:34" outlineLevel="1">
      <c r="A969" s="170"/>
      <c r="F969" s="168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</row>
    <row r="970" spans="1:34" outlineLevel="1">
      <c r="A970" s="170"/>
      <c r="F970" s="168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</row>
    <row r="971" spans="1:34" outlineLevel="1">
      <c r="A971" s="170"/>
      <c r="F971" s="168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</row>
    <row r="972" spans="1:34" outlineLevel="1">
      <c r="A972" s="170"/>
      <c r="F972" s="168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</row>
    <row r="973" spans="1:34" outlineLevel="1">
      <c r="A973" s="170"/>
      <c r="F973" s="168"/>
    </row>
    <row r="974" spans="1:34" outlineLevel="1">
      <c r="A974" s="170"/>
      <c r="F974" s="168"/>
    </row>
    <row r="975" spans="1:34" outlineLevel="1">
      <c r="A975" s="170"/>
      <c r="F975" s="168"/>
    </row>
    <row r="976" spans="1:34" outlineLevel="1">
      <c r="A976" s="170"/>
      <c r="F976" s="168"/>
    </row>
    <row r="977" spans="1:59" outlineLevel="1">
      <c r="A977" s="170"/>
      <c r="F977" s="168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</row>
    <row r="978" spans="1:59" outlineLevel="1">
      <c r="A978" s="170"/>
      <c r="F978" s="168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</row>
    <row r="979" spans="1:59" outlineLevel="1">
      <c r="A979" s="170"/>
      <c r="F979" s="168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</row>
    <row r="980" spans="1:59" outlineLevel="1">
      <c r="A980" s="170"/>
      <c r="F980" s="168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</row>
    <row r="981" spans="1:59" outlineLevel="1">
      <c r="A981" s="170"/>
      <c r="F981" s="168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</row>
    <row r="982" spans="1:59" outlineLevel="1">
      <c r="A982" s="170"/>
      <c r="F982" s="168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</row>
    <row r="983" spans="1:59" outlineLevel="1">
      <c r="A983" s="170"/>
      <c r="F983" s="168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</row>
    <row r="984" spans="1:59" outlineLevel="1">
      <c r="A984" s="170"/>
      <c r="F984" s="168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</row>
    <row r="985" spans="1:59" outlineLevel="1">
      <c r="A985" s="170"/>
      <c r="F985" s="168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</row>
    <row r="986" spans="1:59" outlineLevel="1">
      <c r="A986" s="170"/>
      <c r="F986" s="168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</row>
    <row r="987" spans="1:59" outlineLevel="1">
      <c r="A987" s="170"/>
      <c r="F987" s="168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</row>
    <row r="988" spans="1:59" outlineLevel="1">
      <c r="A988" s="141" t="s">
        <v>644</v>
      </c>
      <c r="F988" s="168" t="s">
        <v>645</v>
      </c>
      <c r="G988" s="109" t="s">
        <v>3</v>
      </c>
      <c r="J988" s="131">
        <v>1</v>
      </c>
      <c r="K988" s="131">
        <v>1</v>
      </c>
      <c r="L988" s="131">
        <v>1</v>
      </c>
      <c r="M988" s="131">
        <v>1</v>
      </c>
      <c r="N988" s="131">
        <v>1</v>
      </c>
      <c r="O988" s="131">
        <v>1</v>
      </c>
      <c r="P988" s="131">
        <v>1</v>
      </c>
      <c r="Q988" s="131">
        <v>1</v>
      </c>
      <c r="R988" s="131">
        <v>1</v>
      </c>
      <c r="S988" s="131">
        <v>1</v>
      </c>
      <c r="T988" s="131">
        <v>1</v>
      </c>
      <c r="U988" s="131">
        <v>1</v>
      </c>
      <c r="V988" s="131">
        <v>1</v>
      </c>
      <c r="W988" s="131">
        <v>1</v>
      </c>
      <c r="X988" s="131">
        <v>1</v>
      </c>
      <c r="Y988" s="131">
        <v>1</v>
      </c>
      <c r="Z988" s="131">
        <v>1</v>
      </c>
      <c r="AA988" s="131">
        <v>1</v>
      </c>
      <c r="AB988" s="131">
        <v>1</v>
      </c>
      <c r="AC988" s="131">
        <v>1</v>
      </c>
      <c r="AD988" s="131">
        <v>1</v>
      </c>
      <c r="AE988" s="131">
        <v>1</v>
      </c>
      <c r="AF988" s="131">
        <v>1</v>
      </c>
      <c r="AG988" s="131">
        <v>1</v>
      </c>
      <c r="AH988" s="131">
        <v>1</v>
      </c>
      <c r="AI988" s="131">
        <v>1</v>
      </c>
      <c r="AJ988" s="131">
        <v>1</v>
      </c>
      <c r="AK988" s="131">
        <v>1</v>
      </c>
      <c r="AL988" s="131">
        <v>1</v>
      </c>
      <c r="AM988" s="131">
        <v>1</v>
      </c>
      <c r="AN988" s="131">
        <v>1</v>
      </c>
      <c r="AO988" s="131">
        <v>1</v>
      </c>
      <c r="AP988" s="131">
        <v>1</v>
      </c>
      <c r="AQ988" s="131">
        <v>1</v>
      </c>
      <c r="AR988" s="131">
        <v>1</v>
      </c>
      <c r="AS988" s="131">
        <v>1</v>
      </c>
      <c r="AT988" s="131">
        <v>1</v>
      </c>
      <c r="AU988" s="131">
        <v>1</v>
      </c>
      <c r="AV988" s="131">
        <v>1</v>
      </c>
      <c r="AW988" s="131">
        <v>1</v>
      </c>
      <c r="AX988" s="131">
        <v>1</v>
      </c>
      <c r="AY988" s="131">
        <v>1</v>
      </c>
      <c r="AZ988" s="131">
        <v>1</v>
      </c>
      <c r="BA988" s="131">
        <v>1</v>
      </c>
      <c r="BB988" s="131">
        <v>1</v>
      </c>
      <c r="BC988" s="131">
        <f>BB988</f>
        <v>1</v>
      </c>
      <c r="BD988" s="131">
        <f t="shared" ref="BD988:BG988" si="221">BC988</f>
        <v>1</v>
      </c>
      <c r="BE988" s="131">
        <f t="shared" si="221"/>
        <v>1</v>
      </c>
      <c r="BF988" s="131">
        <f t="shared" si="221"/>
        <v>1</v>
      </c>
      <c r="BG988" s="131">
        <f t="shared" si="221"/>
        <v>1</v>
      </c>
    </row>
    <row r="989" spans="1:59">
      <c r="A989" s="141" t="s">
        <v>644</v>
      </c>
      <c r="F989" s="168" t="s">
        <v>646</v>
      </c>
      <c r="G989" s="109" t="s">
        <v>3</v>
      </c>
      <c r="J989" s="131">
        <v>1</v>
      </c>
      <c r="K989" s="131">
        <v>1</v>
      </c>
      <c r="L989" s="131">
        <v>1</v>
      </c>
      <c r="M989" s="131">
        <v>1</v>
      </c>
      <c r="N989" s="131">
        <v>1</v>
      </c>
      <c r="O989" s="131">
        <v>1</v>
      </c>
      <c r="P989" s="131">
        <v>1</v>
      </c>
      <c r="Q989" s="131">
        <v>1</v>
      </c>
      <c r="R989" s="131">
        <v>1</v>
      </c>
      <c r="S989" s="131">
        <v>1</v>
      </c>
      <c r="T989" s="131">
        <v>1</v>
      </c>
      <c r="U989" s="131">
        <v>1</v>
      </c>
      <c r="V989" s="131">
        <v>1</v>
      </c>
      <c r="W989" s="131">
        <v>1</v>
      </c>
      <c r="X989" s="131">
        <v>1</v>
      </c>
      <c r="Y989" s="131">
        <v>1</v>
      </c>
      <c r="Z989" s="131">
        <v>1</v>
      </c>
      <c r="AA989" s="131">
        <v>1</v>
      </c>
      <c r="AB989" s="131">
        <v>1</v>
      </c>
      <c r="AC989" s="131">
        <v>1</v>
      </c>
      <c r="AD989" s="131">
        <v>1</v>
      </c>
      <c r="AE989" s="131">
        <v>1</v>
      </c>
      <c r="AF989" s="131">
        <v>1</v>
      </c>
      <c r="AG989" s="131">
        <v>1</v>
      </c>
      <c r="AH989" s="131">
        <v>1</v>
      </c>
      <c r="AI989" s="131">
        <v>1</v>
      </c>
      <c r="AJ989" s="131">
        <v>1</v>
      </c>
      <c r="AK989" s="131">
        <v>1</v>
      </c>
      <c r="AL989" s="131">
        <v>1</v>
      </c>
      <c r="AM989" s="131">
        <v>1</v>
      </c>
      <c r="AN989" s="131">
        <v>1</v>
      </c>
      <c r="AO989" s="131">
        <v>1</v>
      </c>
      <c r="AP989" s="131">
        <v>1</v>
      </c>
      <c r="AQ989" s="131">
        <v>1</v>
      </c>
      <c r="AR989" s="131">
        <v>1</v>
      </c>
      <c r="AS989" s="131">
        <v>1</v>
      </c>
      <c r="AT989" s="131">
        <v>1</v>
      </c>
      <c r="AU989" s="131">
        <v>1</v>
      </c>
      <c r="AV989" s="131">
        <v>1</v>
      </c>
      <c r="AW989" s="131">
        <v>1</v>
      </c>
      <c r="AX989" s="131">
        <v>1</v>
      </c>
      <c r="AY989" s="131">
        <v>1</v>
      </c>
      <c r="AZ989" s="131">
        <v>1</v>
      </c>
      <c r="BA989" s="131">
        <v>1</v>
      </c>
      <c r="BB989" s="131">
        <v>1</v>
      </c>
      <c r="BC989" s="131">
        <f t="shared" ref="BC989:BG998" si="222">BB989</f>
        <v>1</v>
      </c>
      <c r="BD989" s="131">
        <f t="shared" si="222"/>
        <v>1</v>
      </c>
      <c r="BE989" s="131">
        <f t="shared" si="222"/>
        <v>1</v>
      </c>
      <c r="BF989" s="131">
        <f t="shared" si="222"/>
        <v>1</v>
      </c>
      <c r="BG989" s="131">
        <f t="shared" si="222"/>
        <v>1</v>
      </c>
    </row>
    <row r="990" spans="1:59">
      <c r="A990" s="141" t="s">
        <v>644</v>
      </c>
      <c r="F990" s="168" t="s">
        <v>647</v>
      </c>
      <c r="G990" s="109" t="s">
        <v>3</v>
      </c>
      <c r="J990" s="131">
        <v>1</v>
      </c>
      <c r="K990" s="131">
        <v>1</v>
      </c>
      <c r="L990" s="131">
        <v>1</v>
      </c>
      <c r="M990" s="131">
        <v>1</v>
      </c>
      <c r="N990" s="131">
        <v>1</v>
      </c>
      <c r="O990" s="131">
        <v>1</v>
      </c>
      <c r="P990" s="131">
        <v>1</v>
      </c>
      <c r="Q990" s="131">
        <v>1</v>
      </c>
      <c r="R990" s="131">
        <v>1</v>
      </c>
      <c r="S990" s="131">
        <v>1</v>
      </c>
      <c r="T990" s="131">
        <v>1</v>
      </c>
      <c r="U990" s="131">
        <v>1</v>
      </c>
      <c r="V990" s="131">
        <v>1</v>
      </c>
      <c r="W990" s="131">
        <v>1</v>
      </c>
      <c r="X990" s="131">
        <v>1</v>
      </c>
      <c r="Y990" s="131">
        <v>1</v>
      </c>
      <c r="Z990" s="131">
        <v>1</v>
      </c>
      <c r="AA990" s="131">
        <v>1</v>
      </c>
      <c r="AB990" s="131">
        <v>1</v>
      </c>
      <c r="AC990" s="131">
        <v>1</v>
      </c>
      <c r="AD990" s="131">
        <v>1</v>
      </c>
      <c r="AE990" s="131">
        <v>1</v>
      </c>
      <c r="AF990" s="131">
        <v>1</v>
      </c>
      <c r="AG990" s="131">
        <v>1</v>
      </c>
      <c r="AH990" s="131">
        <v>1</v>
      </c>
      <c r="AI990" s="131">
        <v>1</v>
      </c>
      <c r="AJ990" s="131">
        <v>1</v>
      </c>
      <c r="AK990" s="131">
        <v>1</v>
      </c>
      <c r="AL990" s="131">
        <v>1</v>
      </c>
      <c r="AM990" s="131">
        <v>1</v>
      </c>
      <c r="AN990" s="131">
        <v>1</v>
      </c>
      <c r="AO990" s="131">
        <v>1</v>
      </c>
      <c r="AP990" s="131">
        <v>1</v>
      </c>
      <c r="AQ990" s="131">
        <v>1</v>
      </c>
      <c r="AR990" s="131">
        <v>1</v>
      </c>
      <c r="AS990" s="131">
        <v>1</v>
      </c>
      <c r="AT990" s="131">
        <v>1</v>
      </c>
      <c r="AU990" s="131">
        <v>1</v>
      </c>
      <c r="AV990" s="131">
        <v>1</v>
      </c>
      <c r="AW990" s="131">
        <v>1</v>
      </c>
      <c r="AX990" s="131">
        <v>1</v>
      </c>
      <c r="AY990" s="131">
        <v>1</v>
      </c>
      <c r="AZ990" s="131">
        <v>1</v>
      </c>
      <c r="BA990" s="131">
        <v>1</v>
      </c>
      <c r="BB990" s="131">
        <v>1</v>
      </c>
      <c r="BC990" s="131">
        <f t="shared" si="222"/>
        <v>1</v>
      </c>
      <c r="BD990" s="131">
        <f t="shared" si="222"/>
        <v>1</v>
      </c>
      <c r="BE990" s="131">
        <f t="shared" si="222"/>
        <v>1</v>
      </c>
      <c r="BF990" s="131">
        <f t="shared" si="222"/>
        <v>1</v>
      </c>
      <c r="BG990" s="131">
        <f t="shared" si="222"/>
        <v>1</v>
      </c>
    </row>
    <row r="991" spans="1:59">
      <c r="A991" s="141" t="s">
        <v>644</v>
      </c>
      <c r="F991" s="168" t="s">
        <v>648</v>
      </c>
      <c r="G991" s="109" t="s">
        <v>3</v>
      </c>
      <c r="J991" s="131">
        <v>1</v>
      </c>
      <c r="K991" s="131">
        <v>1</v>
      </c>
      <c r="L991" s="131">
        <v>1</v>
      </c>
      <c r="M991" s="131">
        <v>1</v>
      </c>
      <c r="N991" s="131">
        <v>1</v>
      </c>
      <c r="O991" s="131">
        <v>1</v>
      </c>
      <c r="P991" s="131">
        <v>1</v>
      </c>
      <c r="Q991" s="131">
        <v>1</v>
      </c>
      <c r="R991" s="131">
        <v>1</v>
      </c>
      <c r="S991" s="131">
        <v>1</v>
      </c>
      <c r="T991" s="131">
        <v>1</v>
      </c>
      <c r="U991" s="131">
        <v>1</v>
      </c>
      <c r="V991" s="131">
        <v>1</v>
      </c>
      <c r="W991" s="131">
        <v>1</v>
      </c>
      <c r="X991" s="131">
        <v>1</v>
      </c>
      <c r="Y991" s="131">
        <v>1</v>
      </c>
      <c r="Z991" s="131">
        <v>1</v>
      </c>
      <c r="AA991" s="131">
        <v>1</v>
      </c>
      <c r="AB991" s="131">
        <v>1</v>
      </c>
      <c r="AC991" s="131">
        <v>1</v>
      </c>
      <c r="AD991" s="131">
        <v>1</v>
      </c>
      <c r="AE991" s="131">
        <v>1</v>
      </c>
      <c r="AF991" s="131">
        <v>1</v>
      </c>
      <c r="AG991" s="131">
        <v>1</v>
      </c>
      <c r="AH991" s="131">
        <v>1</v>
      </c>
      <c r="AI991" s="131">
        <v>1</v>
      </c>
      <c r="AJ991" s="131">
        <v>1</v>
      </c>
      <c r="AK991" s="131">
        <v>1</v>
      </c>
      <c r="AL991" s="131">
        <v>1</v>
      </c>
      <c r="AM991" s="131">
        <v>1</v>
      </c>
      <c r="AN991" s="131">
        <v>1</v>
      </c>
      <c r="AO991" s="131">
        <v>1</v>
      </c>
      <c r="AP991" s="131">
        <v>1</v>
      </c>
      <c r="AQ991" s="131">
        <v>1</v>
      </c>
      <c r="AR991" s="131">
        <v>1</v>
      </c>
      <c r="AS991" s="131">
        <v>1</v>
      </c>
      <c r="AT991" s="131">
        <v>1</v>
      </c>
      <c r="AU991" s="131">
        <v>1</v>
      </c>
      <c r="AV991" s="131">
        <v>1</v>
      </c>
      <c r="AW991" s="131">
        <v>1</v>
      </c>
      <c r="AX991" s="131">
        <v>1</v>
      </c>
      <c r="AY991" s="131">
        <v>1</v>
      </c>
      <c r="AZ991" s="131">
        <v>1</v>
      </c>
      <c r="BA991" s="131">
        <v>1</v>
      </c>
      <c r="BB991" s="131">
        <v>1</v>
      </c>
      <c r="BC991" s="131">
        <f t="shared" si="222"/>
        <v>1</v>
      </c>
      <c r="BD991" s="131">
        <f t="shared" si="222"/>
        <v>1</v>
      </c>
      <c r="BE991" s="131">
        <f t="shared" si="222"/>
        <v>1</v>
      </c>
      <c r="BF991" s="131">
        <f t="shared" si="222"/>
        <v>1</v>
      </c>
      <c r="BG991" s="131">
        <f t="shared" si="222"/>
        <v>1</v>
      </c>
    </row>
    <row r="992" spans="1:59">
      <c r="A992" s="141" t="s">
        <v>644</v>
      </c>
      <c r="F992" s="168" t="s">
        <v>649</v>
      </c>
      <c r="G992" s="109" t="s">
        <v>3</v>
      </c>
      <c r="J992" s="131">
        <v>1</v>
      </c>
      <c r="K992" s="131">
        <v>1</v>
      </c>
      <c r="L992" s="131">
        <v>1</v>
      </c>
      <c r="M992" s="131">
        <v>1</v>
      </c>
      <c r="N992" s="131">
        <v>1</v>
      </c>
      <c r="O992" s="131">
        <v>1</v>
      </c>
      <c r="P992" s="131">
        <v>1</v>
      </c>
      <c r="Q992" s="131">
        <v>1</v>
      </c>
      <c r="R992" s="131">
        <v>1</v>
      </c>
      <c r="S992" s="131">
        <v>1</v>
      </c>
      <c r="T992" s="131">
        <v>1</v>
      </c>
      <c r="U992" s="131">
        <v>1</v>
      </c>
      <c r="V992" s="131">
        <v>1</v>
      </c>
      <c r="W992" s="131">
        <v>1</v>
      </c>
      <c r="X992" s="131">
        <v>1</v>
      </c>
      <c r="Y992" s="131">
        <v>1</v>
      </c>
      <c r="Z992" s="131">
        <v>1</v>
      </c>
      <c r="AA992" s="131">
        <v>1</v>
      </c>
      <c r="AB992" s="131">
        <v>1</v>
      </c>
      <c r="AC992" s="131">
        <v>1</v>
      </c>
      <c r="AD992" s="131">
        <v>1</v>
      </c>
      <c r="AE992" s="131">
        <v>1</v>
      </c>
      <c r="AF992" s="131">
        <v>1</v>
      </c>
      <c r="AG992" s="131">
        <v>1</v>
      </c>
      <c r="AH992" s="131">
        <v>1</v>
      </c>
      <c r="AI992" s="131">
        <v>1</v>
      </c>
      <c r="AJ992" s="131">
        <v>1</v>
      </c>
      <c r="AK992" s="131">
        <v>1</v>
      </c>
      <c r="AL992" s="131">
        <v>1</v>
      </c>
      <c r="AM992" s="131">
        <v>1</v>
      </c>
      <c r="AN992" s="131">
        <v>1</v>
      </c>
      <c r="AO992" s="131">
        <v>1</v>
      </c>
      <c r="AP992" s="131">
        <v>1</v>
      </c>
      <c r="AQ992" s="131">
        <v>1</v>
      </c>
      <c r="AR992" s="131">
        <v>1</v>
      </c>
      <c r="AS992" s="131">
        <v>1</v>
      </c>
      <c r="AT992" s="131">
        <v>1</v>
      </c>
      <c r="AU992" s="131">
        <v>1</v>
      </c>
      <c r="AV992" s="131">
        <v>1</v>
      </c>
      <c r="AW992" s="131">
        <v>1</v>
      </c>
      <c r="AX992" s="131">
        <v>1</v>
      </c>
      <c r="AY992" s="131">
        <v>1</v>
      </c>
      <c r="AZ992" s="131">
        <v>1</v>
      </c>
      <c r="BA992" s="131">
        <v>1</v>
      </c>
      <c r="BB992" s="131">
        <v>1</v>
      </c>
      <c r="BC992" s="131">
        <f t="shared" si="222"/>
        <v>1</v>
      </c>
      <c r="BD992" s="131">
        <f t="shared" si="222"/>
        <v>1</v>
      </c>
      <c r="BE992" s="131">
        <f t="shared" si="222"/>
        <v>1</v>
      </c>
      <c r="BF992" s="131">
        <f t="shared" si="222"/>
        <v>1</v>
      </c>
      <c r="BG992" s="131">
        <f t="shared" si="222"/>
        <v>1</v>
      </c>
    </row>
    <row r="993" spans="1:59">
      <c r="A993" s="141" t="s">
        <v>644</v>
      </c>
      <c r="F993" s="168" t="s">
        <v>650</v>
      </c>
      <c r="G993" s="109" t="s">
        <v>3</v>
      </c>
      <c r="J993" s="131">
        <v>1</v>
      </c>
      <c r="K993" s="131">
        <v>1</v>
      </c>
      <c r="L993" s="131">
        <v>1</v>
      </c>
      <c r="M993" s="131">
        <v>1</v>
      </c>
      <c r="N993" s="131">
        <v>1</v>
      </c>
      <c r="O993" s="131">
        <v>1</v>
      </c>
      <c r="P993" s="131">
        <v>1</v>
      </c>
      <c r="Q993" s="131">
        <v>1</v>
      </c>
      <c r="R993" s="131">
        <v>1</v>
      </c>
      <c r="S993" s="131">
        <v>1</v>
      </c>
      <c r="T993" s="131">
        <v>1</v>
      </c>
      <c r="U993" s="131">
        <v>1</v>
      </c>
      <c r="V993" s="131">
        <v>1</v>
      </c>
      <c r="W993" s="131">
        <v>1</v>
      </c>
      <c r="X993" s="131">
        <v>1</v>
      </c>
      <c r="Y993" s="131">
        <v>1</v>
      </c>
      <c r="Z993" s="131">
        <v>1</v>
      </c>
      <c r="AA993" s="131">
        <v>1</v>
      </c>
      <c r="AB993" s="131">
        <v>1</v>
      </c>
      <c r="AC993" s="131">
        <v>1</v>
      </c>
      <c r="AD993" s="131">
        <v>1</v>
      </c>
      <c r="AE993" s="131">
        <v>1</v>
      </c>
      <c r="AF993" s="131">
        <v>1</v>
      </c>
      <c r="AG993" s="131">
        <v>1</v>
      </c>
      <c r="AH993" s="131">
        <v>1</v>
      </c>
      <c r="AI993" s="131">
        <v>1</v>
      </c>
      <c r="AJ993" s="131">
        <v>1</v>
      </c>
      <c r="AK993" s="131">
        <v>1</v>
      </c>
      <c r="AL993" s="131">
        <v>1</v>
      </c>
      <c r="AM993" s="131">
        <v>1</v>
      </c>
      <c r="AN993" s="131">
        <v>1</v>
      </c>
      <c r="AO993" s="131">
        <v>1</v>
      </c>
      <c r="AP993" s="131">
        <v>1</v>
      </c>
      <c r="AQ993" s="131">
        <v>1</v>
      </c>
      <c r="AR993" s="131">
        <v>1</v>
      </c>
      <c r="AS993" s="131">
        <v>1</v>
      </c>
      <c r="AT993" s="131">
        <v>1</v>
      </c>
      <c r="AU993" s="131">
        <v>1</v>
      </c>
      <c r="AV993" s="131">
        <v>1</v>
      </c>
      <c r="AW993" s="131">
        <v>1</v>
      </c>
      <c r="AX993" s="131">
        <v>1</v>
      </c>
      <c r="AY993" s="131">
        <v>1</v>
      </c>
      <c r="AZ993" s="131">
        <v>1</v>
      </c>
      <c r="BA993" s="131">
        <v>1</v>
      </c>
      <c r="BB993" s="131">
        <v>1</v>
      </c>
      <c r="BC993" s="131">
        <f t="shared" si="222"/>
        <v>1</v>
      </c>
      <c r="BD993" s="131">
        <f t="shared" si="222"/>
        <v>1</v>
      </c>
      <c r="BE993" s="131">
        <f t="shared" si="222"/>
        <v>1</v>
      </c>
      <c r="BF993" s="131">
        <f t="shared" si="222"/>
        <v>1</v>
      </c>
      <c r="BG993" s="131">
        <f t="shared" si="222"/>
        <v>1</v>
      </c>
    </row>
    <row r="994" spans="1:59">
      <c r="A994" s="141" t="s">
        <v>644</v>
      </c>
      <c r="F994" s="168" t="s">
        <v>651</v>
      </c>
      <c r="G994" s="109" t="s">
        <v>3</v>
      </c>
      <c r="J994" s="131">
        <v>1</v>
      </c>
      <c r="K994" s="131">
        <v>1</v>
      </c>
      <c r="L994" s="131">
        <v>1</v>
      </c>
      <c r="M994" s="131">
        <v>1</v>
      </c>
      <c r="N994" s="131">
        <v>1</v>
      </c>
      <c r="O994" s="131">
        <v>1</v>
      </c>
      <c r="P994" s="131">
        <v>1</v>
      </c>
      <c r="Q994" s="131">
        <v>1</v>
      </c>
      <c r="R994" s="131">
        <v>1</v>
      </c>
      <c r="S994" s="131">
        <v>1</v>
      </c>
      <c r="T994" s="131">
        <v>1</v>
      </c>
      <c r="U994" s="131">
        <v>1</v>
      </c>
      <c r="V994" s="131">
        <v>1</v>
      </c>
      <c r="W994" s="131">
        <v>1</v>
      </c>
      <c r="X994" s="131">
        <v>1</v>
      </c>
      <c r="Y994" s="131">
        <v>1</v>
      </c>
      <c r="Z994" s="131">
        <v>1</v>
      </c>
      <c r="AA994" s="131">
        <v>1</v>
      </c>
      <c r="AB994" s="131">
        <v>1</v>
      </c>
      <c r="AC994" s="131">
        <v>1</v>
      </c>
      <c r="AD994" s="131">
        <v>1</v>
      </c>
      <c r="AE994" s="131">
        <v>1</v>
      </c>
      <c r="AF994" s="131">
        <v>1</v>
      </c>
      <c r="AG994" s="131">
        <v>1</v>
      </c>
      <c r="AH994" s="131">
        <v>1</v>
      </c>
      <c r="AI994" s="131">
        <v>1</v>
      </c>
      <c r="AJ994" s="131">
        <v>1</v>
      </c>
      <c r="AK994" s="131">
        <v>1</v>
      </c>
      <c r="AL994" s="131">
        <v>1</v>
      </c>
      <c r="AM994" s="131">
        <v>1</v>
      </c>
      <c r="AN994" s="131">
        <v>1</v>
      </c>
      <c r="AO994" s="131">
        <v>1</v>
      </c>
      <c r="AP994" s="131">
        <v>1</v>
      </c>
      <c r="AQ994" s="131">
        <v>1</v>
      </c>
      <c r="AR994" s="131">
        <v>1</v>
      </c>
      <c r="AS994" s="131">
        <v>1</v>
      </c>
      <c r="AT994" s="131">
        <v>1</v>
      </c>
      <c r="AU994" s="131">
        <v>1</v>
      </c>
      <c r="AV994" s="131">
        <v>1</v>
      </c>
      <c r="AW994" s="131">
        <v>1</v>
      </c>
      <c r="AX994" s="131">
        <v>1</v>
      </c>
      <c r="AY994" s="131">
        <v>1</v>
      </c>
      <c r="AZ994" s="131">
        <v>1</v>
      </c>
      <c r="BA994" s="131">
        <v>1</v>
      </c>
      <c r="BB994" s="131">
        <v>1</v>
      </c>
      <c r="BC994" s="131">
        <f t="shared" si="222"/>
        <v>1</v>
      </c>
      <c r="BD994" s="131">
        <f t="shared" si="222"/>
        <v>1</v>
      </c>
      <c r="BE994" s="131">
        <f t="shared" si="222"/>
        <v>1</v>
      </c>
      <c r="BF994" s="131">
        <f t="shared" si="222"/>
        <v>1</v>
      </c>
      <c r="BG994" s="131">
        <f t="shared" si="222"/>
        <v>1</v>
      </c>
    </row>
    <row r="995" spans="1:59">
      <c r="A995" s="141" t="s">
        <v>644</v>
      </c>
      <c r="F995" s="168" t="s">
        <v>652</v>
      </c>
      <c r="G995" s="109" t="s">
        <v>3</v>
      </c>
      <c r="J995" s="131">
        <v>1</v>
      </c>
      <c r="K995" s="131">
        <v>1</v>
      </c>
      <c r="L995" s="131">
        <v>1</v>
      </c>
      <c r="M995" s="131">
        <v>1</v>
      </c>
      <c r="N995" s="131">
        <v>1</v>
      </c>
      <c r="O995" s="131">
        <v>1</v>
      </c>
      <c r="P995" s="131">
        <v>1</v>
      </c>
      <c r="Q995" s="131">
        <v>1</v>
      </c>
      <c r="R995" s="131">
        <v>1</v>
      </c>
      <c r="S995" s="131">
        <v>1</v>
      </c>
      <c r="T995" s="131">
        <v>1</v>
      </c>
      <c r="U995" s="131">
        <v>1</v>
      </c>
      <c r="V995" s="131">
        <v>1</v>
      </c>
      <c r="W995" s="131">
        <v>1</v>
      </c>
      <c r="X995" s="131">
        <v>1</v>
      </c>
      <c r="Y995" s="131">
        <v>1</v>
      </c>
      <c r="Z995" s="131">
        <v>1</v>
      </c>
      <c r="AA995" s="131">
        <v>1</v>
      </c>
      <c r="AB995" s="131">
        <v>1</v>
      </c>
      <c r="AC995" s="131">
        <v>1</v>
      </c>
      <c r="AD995" s="131">
        <v>1</v>
      </c>
      <c r="AE995" s="131">
        <v>1</v>
      </c>
      <c r="AF995" s="131">
        <v>1</v>
      </c>
      <c r="AG995" s="131">
        <v>1</v>
      </c>
      <c r="AH995" s="131">
        <v>1</v>
      </c>
      <c r="AI995" s="131">
        <v>1</v>
      </c>
      <c r="AJ995" s="131">
        <v>1</v>
      </c>
      <c r="AK995" s="131">
        <v>1</v>
      </c>
      <c r="AL995" s="131">
        <v>1</v>
      </c>
      <c r="AM995" s="131">
        <v>1</v>
      </c>
      <c r="AN995" s="131">
        <v>1</v>
      </c>
      <c r="AO995" s="131">
        <v>1</v>
      </c>
      <c r="AP995" s="131">
        <v>1</v>
      </c>
      <c r="AQ995" s="131">
        <v>1</v>
      </c>
      <c r="AR995" s="131">
        <v>1</v>
      </c>
      <c r="AS995" s="131">
        <v>1</v>
      </c>
      <c r="AT995" s="131">
        <v>1</v>
      </c>
      <c r="AU995" s="131">
        <v>1</v>
      </c>
      <c r="AV995" s="131">
        <v>1</v>
      </c>
      <c r="AW995" s="131">
        <v>1</v>
      </c>
      <c r="AX995" s="131">
        <v>1</v>
      </c>
      <c r="AY995" s="131">
        <v>1</v>
      </c>
      <c r="AZ995" s="131">
        <v>1</v>
      </c>
      <c r="BA995" s="131">
        <v>1</v>
      </c>
      <c r="BB995" s="131">
        <v>1</v>
      </c>
      <c r="BC995" s="131">
        <f t="shared" si="222"/>
        <v>1</v>
      </c>
      <c r="BD995" s="131">
        <f t="shared" si="222"/>
        <v>1</v>
      </c>
      <c r="BE995" s="131">
        <f t="shared" si="222"/>
        <v>1</v>
      </c>
      <c r="BF995" s="131">
        <f t="shared" si="222"/>
        <v>1</v>
      </c>
      <c r="BG995" s="131">
        <f t="shared" si="222"/>
        <v>1</v>
      </c>
    </row>
    <row r="996" spans="1:59">
      <c r="A996" s="141" t="s">
        <v>644</v>
      </c>
      <c r="F996" s="168" t="s">
        <v>653</v>
      </c>
      <c r="G996" s="109" t="s">
        <v>3</v>
      </c>
      <c r="J996" s="131">
        <v>1</v>
      </c>
      <c r="K996" s="131">
        <v>1</v>
      </c>
      <c r="L996" s="131">
        <v>1</v>
      </c>
      <c r="M996" s="131">
        <v>1</v>
      </c>
      <c r="N996" s="131">
        <v>1</v>
      </c>
      <c r="O996" s="131">
        <v>1</v>
      </c>
      <c r="P996" s="131">
        <v>1</v>
      </c>
      <c r="Q996" s="131">
        <v>1</v>
      </c>
      <c r="R996" s="131">
        <v>1</v>
      </c>
      <c r="S996" s="131">
        <v>1</v>
      </c>
      <c r="T996" s="131">
        <v>1</v>
      </c>
      <c r="U996" s="131">
        <v>1</v>
      </c>
      <c r="V996" s="131">
        <v>1</v>
      </c>
      <c r="W996" s="131">
        <v>1</v>
      </c>
      <c r="X996" s="131">
        <v>1</v>
      </c>
      <c r="Y996" s="131">
        <v>1</v>
      </c>
      <c r="Z996" s="131">
        <v>1</v>
      </c>
      <c r="AA996" s="131">
        <v>1</v>
      </c>
      <c r="AB996" s="131">
        <v>1</v>
      </c>
      <c r="AC996" s="131">
        <v>1</v>
      </c>
      <c r="AD996" s="131">
        <v>1</v>
      </c>
      <c r="AE996" s="131">
        <v>1</v>
      </c>
      <c r="AF996" s="131">
        <v>1</v>
      </c>
      <c r="AG996" s="131">
        <v>1</v>
      </c>
      <c r="AH996" s="131">
        <v>1</v>
      </c>
      <c r="AI996" s="131">
        <v>1</v>
      </c>
      <c r="AJ996" s="131">
        <v>1</v>
      </c>
      <c r="AK996" s="131">
        <v>1</v>
      </c>
      <c r="AL996" s="131">
        <v>1</v>
      </c>
      <c r="AM996" s="131">
        <v>1</v>
      </c>
      <c r="AN996" s="131">
        <v>1</v>
      </c>
      <c r="AO996" s="131">
        <v>1</v>
      </c>
      <c r="AP996" s="131">
        <v>1</v>
      </c>
      <c r="AQ996" s="131">
        <v>1</v>
      </c>
      <c r="AR996" s="131">
        <v>1</v>
      </c>
      <c r="AS996" s="131">
        <v>1</v>
      </c>
      <c r="AT996" s="131">
        <v>1</v>
      </c>
      <c r="AU996" s="131">
        <v>1</v>
      </c>
      <c r="AV996" s="131">
        <v>1</v>
      </c>
      <c r="AW996" s="131">
        <v>1</v>
      </c>
      <c r="AX996" s="131">
        <v>1</v>
      </c>
      <c r="AY996" s="131">
        <v>1</v>
      </c>
      <c r="AZ996" s="131">
        <v>1</v>
      </c>
      <c r="BA996" s="131">
        <v>1</v>
      </c>
      <c r="BB996" s="131">
        <v>1</v>
      </c>
      <c r="BC996" s="131">
        <f t="shared" si="222"/>
        <v>1</v>
      </c>
      <c r="BD996" s="131">
        <f t="shared" si="222"/>
        <v>1</v>
      </c>
      <c r="BE996" s="131">
        <f t="shared" si="222"/>
        <v>1</v>
      </c>
      <c r="BF996" s="131">
        <f t="shared" si="222"/>
        <v>1</v>
      </c>
      <c r="BG996" s="131">
        <f t="shared" si="222"/>
        <v>1</v>
      </c>
    </row>
    <row r="997" spans="1:59">
      <c r="A997" s="141" t="s">
        <v>644</v>
      </c>
      <c r="F997" s="168" t="s">
        <v>654</v>
      </c>
      <c r="G997" s="109" t="s">
        <v>3</v>
      </c>
      <c r="J997" s="131">
        <v>1</v>
      </c>
      <c r="K997" s="131">
        <v>1</v>
      </c>
      <c r="L997" s="131">
        <v>1</v>
      </c>
      <c r="M997" s="131">
        <v>1</v>
      </c>
      <c r="N997" s="131">
        <v>1</v>
      </c>
      <c r="O997" s="131">
        <v>1</v>
      </c>
      <c r="P997" s="131">
        <v>1</v>
      </c>
      <c r="Q997" s="131">
        <v>1</v>
      </c>
      <c r="R997" s="131">
        <v>1</v>
      </c>
      <c r="S997" s="131">
        <v>1</v>
      </c>
      <c r="T997" s="131">
        <v>1</v>
      </c>
      <c r="U997" s="131">
        <v>1</v>
      </c>
      <c r="V997" s="131">
        <v>1</v>
      </c>
      <c r="W997" s="131">
        <v>1</v>
      </c>
      <c r="X997" s="131">
        <v>1</v>
      </c>
      <c r="Y997" s="131">
        <v>1</v>
      </c>
      <c r="Z997" s="131">
        <v>1</v>
      </c>
      <c r="AA997" s="131">
        <v>1</v>
      </c>
      <c r="AB997" s="131">
        <v>1</v>
      </c>
      <c r="AC997" s="131">
        <v>1</v>
      </c>
      <c r="AD997" s="131">
        <v>1</v>
      </c>
      <c r="AE997" s="131">
        <v>1</v>
      </c>
      <c r="AF997" s="131">
        <v>1</v>
      </c>
      <c r="AG997" s="131">
        <v>1</v>
      </c>
      <c r="AH997" s="131">
        <v>1</v>
      </c>
      <c r="AI997" s="131">
        <v>1</v>
      </c>
      <c r="AJ997" s="131">
        <v>1</v>
      </c>
      <c r="AK997" s="131">
        <v>1</v>
      </c>
      <c r="AL997" s="131">
        <v>1</v>
      </c>
      <c r="AM997" s="131">
        <v>1</v>
      </c>
      <c r="AN997" s="131">
        <v>1</v>
      </c>
      <c r="AO997" s="131">
        <v>1</v>
      </c>
      <c r="AP997" s="131">
        <v>1</v>
      </c>
      <c r="AQ997" s="131">
        <v>1</v>
      </c>
      <c r="AR997" s="131">
        <v>1</v>
      </c>
      <c r="AS997" s="131">
        <v>1</v>
      </c>
      <c r="AT997" s="131">
        <v>1</v>
      </c>
      <c r="AU997" s="131">
        <v>1</v>
      </c>
      <c r="AV997" s="131">
        <v>1</v>
      </c>
      <c r="AW997" s="131">
        <v>1</v>
      </c>
      <c r="AX997" s="131">
        <v>1</v>
      </c>
      <c r="AY997" s="131">
        <v>1</v>
      </c>
      <c r="AZ997" s="131">
        <v>1</v>
      </c>
      <c r="BA997" s="131">
        <v>1</v>
      </c>
      <c r="BB997" s="131">
        <v>1</v>
      </c>
      <c r="BC997" s="131">
        <f t="shared" si="222"/>
        <v>1</v>
      </c>
      <c r="BD997" s="131">
        <f t="shared" si="222"/>
        <v>1</v>
      </c>
      <c r="BE997" s="131">
        <f t="shared" si="222"/>
        <v>1</v>
      </c>
      <c r="BF997" s="131">
        <f t="shared" si="222"/>
        <v>1</v>
      </c>
      <c r="BG997" s="131">
        <f t="shared" si="222"/>
        <v>1</v>
      </c>
    </row>
    <row r="998" spans="1:59">
      <c r="A998" s="141" t="s">
        <v>644</v>
      </c>
      <c r="F998" s="168" t="s">
        <v>655</v>
      </c>
      <c r="G998" s="109" t="s">
        <v>656</v>
      </c>
      <c r="J998" s="109">
        <v>0</v>
      </c>
      <c r="K998" s="109">
        <v>0</v>
      </c>
      <c r="L998" s="109">
        <v>0</v>
      </c>
      <c r="M998" s="109">
        <v>0</v>
      </c>
      <c r="N998" s="109">
        <v>0</v>
      </c>
      <c r="O998" s="109">
        <v>0</v>
      </c>
      <c r="P998" s="109">
        <v>0</v>
      </c>
      <c r="Q998" s="109">
        <v>0</v>
      </c>
      <c r="R998" s="109">
        <v>0</v>
      </c>
      <c r="S998" s="109">
        <v>0</v>
      </c>
      <c r="T998" s="109">
        <v>0</v>
      </c>
      <c r="U998" s="109">
        <v>0</v>
      </c>
      <c r="V998" s="109">
        <v>0</v>
      </c>
      <c r="W998" s="109">
        <v>0</v>
      </c>
      <c r="X998" s="109">
        <v>0</v>
      </c>
      <c r="Y998" s="109">
        <v>0</v>
      </c>
      <c r="Z998" s="109">
        <v>0</v>
      </c>
      <c r="AA998" s="109">
        <v>0</v>
      </c>
      <c r="AB998" s="109">
        <v>0</v>
      </c>
      <c r="AC998" s="109">
        <v>0</v>
      </c>
      <c r="AD998" s="109">
        <v>0</v>
      </c>
      <c r="AE998" s="109">
        <v>0</v>
      </c>
      <c r="AF998" s="109">
        <v>0</v>
      </c>
      <c r="AG998" s="109">
        <v>0</v>
      </c>
      <c r="AH998" s="109">
        <v>0</v>
      </c>
      <c r="AI998" s="109">
        <v>0</v>
      </c>
      <c r="AJ998" s="109">
        <v>0</v>
      </c>
      <c r="AK998" s="109">
        <v>0</v>
      </c>
      <c r="AL998" s="109">
        <v>0</v>
      </c>
      <c r="AM998" s="109">
        <v>0</v>
      </c>
      <c r="AN998" s="109">
        <v>0</v>
      </c>
      <c r="AO998" s="109">
        <v>0</v>
      </c>
      <c r="AP998" s="109">
        <v>0</v>
      </c>
      <c r="AQ998" s="109">
        <v>0</v>
      </c>
      <c r="AR998" s="109">
        <v>0</v>
      </c>
      <c r="AS998" s="109">
        <v>0</v>
      </c>
      <c r="AT998" s="109">
        <v>0</v>
      </c>
      <c r="AU998" s="109">
        <v>0</v>
      </c>
      <c r="AV998" s="109">
        <v>0</v>
      </c>
      <c r="AW998" s="109">
        <v>0</v>
      </c>
      <c r="AX998" s="109">
        <v>0</v>
      </c>
      <c r="AY998" s="109">
        <v>0</v>
      </c>
      <c r="AZ998" s="109">
        <v>0</v>
      </c>
      <c r="BA998" s="109">
        <v>0</v>
      </c>
      <c r="BB998" s="109">
        <v>0</v>
      </c>
      <c r="BC998" s="109">
        <f t="shared" si="222"/>
        <v>0</v>
      </c>
      <c r="BD998" s="109">
        <f t="shared" si="222"/>
        <v>0</v>
      </c>
      <c r="BE998" s="109">
        <f t="shared" si="222"/>
        <v>0</v>
      </c>
      <c r="BF998" s="109">
        <f t="shared" si="222"/>
        <v>0</v>
      </c>
      <c r="BG998" s="109">
        <f t="shared" si="222"/>
        <v>0</v>
      </c>
    </row>
    <row r="999" spans="1:59">
      <c r="A999" s="141" t="s">
        <v>644</v>
      </c>
      <c r="F999" s="168"/>
    </row>
    <row r="1000" spans="1:59" ht="15" customHeight="1">
      <c r="A1000" s="141" t="s">
        <v>644</v>
      </c>
      <c r="F1000" s="168" t="s">
        <v>657</v>
      </c>
      <c r="G1000" s="109" t="s">
        <v>3</v>
      </c>
      <c r="J1000" s="131">
        <v>1</v>
      </c>
      <c r="K1000" s="131">
        <v>1</v>
      </c>
      <c r="L1000" s="131">
        <v>1</v>
      </c>
      <c r="M1000" s="131">
        <v>1</v>
      </c>
      <c r="N1000" s="131">
        <v>1</v>
      </c>
      <c r="O1000" s="131">
        <v>1</v>
      </c>
      <c r="P1000" s="131">
        <v>1</v>
      </c>
      <c r="Q1000" s="131">
        <v>1</v>
      </c>
      <c r="R1000" s="131">
        <v>1</v>
      </c>
      <c r="S1000" s="131">
        <v>1</v>
      </c>
      <c r="T1000" s="131">
        <v>1</v>
      </c>
      <c r="U1000" s="131">
        <v>1</v>
      </c>
      <c r="V1000" s="131">
        <v>1</v>
      </c>
      <c r="W1000" s="131">
        <v>1</v>
      </c>
      <c r="X1000" s="131">
        <v>1</v>
      </c>
      <c r="Y1000" s="131">
        <v>1</v>
      </c>
      <c r="Z1000" s="131">
        <v>1</v>
      </c>
      <c r="AA1000" s="131">
        <v>1</v>
      </c>
      <c r="AB1000" s="131">
        <v>1</v>
      </c>
      <c r="AC1000" s="131">
        <v>1</v>
      </c>
      <c r="AD1000" s="131">
        <v>1</v>
      </c>
      <c r="AE1000" s="131">
        <v>1</v>
      </c>
      <c r="AF1000" s="131">
        <v>1</v>
      </c>
      <c r="AG1000" s="131">
        <v>1</v>
      </c>
      <c r="AH1000" s="131">
        <v>1</v>
      </c>
      <c r="AI1000" s="131">
        <v>1</v>
      </c>
      <c r="AJ1000" s="131">
        <v>1</v>
      </c>
      <c r="AK1000" s="131">
        <v>1</v>
      </c>
      <c r="AL1000" s="131">
        <v>1</v>
      </c>
      <c r="AM1000" s="131">
        <v>1</v>
      </c>
      <c r="AN1000" s="131">
        <v>1</v>
      </c>
      <c r="AO1000" s="131">
        <v>1</v>
      </c>
      <c r="AP1000" s="131">
        <v>1</v>
      </c>
      <c r="AQ1000" s="131">
        <v>1</v>
      </c>
      <c r="AR1000" s="131">
        <v>1</v>
      </c>
      <c r="AS1000" s="131">
        <v>1</v>
      </c>
      <c r="AT1000" s="131">
        <v>1</v>
      </c>
      <c r="AU1000" s="131">
        <v>1</v>
      </c>
      <c r="AV1000" s="131">
        <v>1</v>
      </c>
      <c r="AW1000" s="131">
        <v>1</v>
      </c>
      <c r="AX1000" s="131">
        <v>1</v>
      </c>
      <c r="AY1000" s="131">
        <v>1</v>
      </c>
      <c r="AZ1000" s="131">
        <v>1</v>
      </c>
      <c r="BA1000" s="131">
        <v>1</v>
      </c>
      <c r="BB1000" s="131">
        <v>1</v>
      </c>
      <c r="BC1000" s="131">
        <v>1</v>
      </c>
      <c r="BD1000" s="131">
        <v>1</v>
      </c>
      <c r="BE1000" s="131">
        <v>1</v>
      </c>
      <c r="BF1000" s="131">
        <v>1</v>
      </c>
      <c r="BG1000" s="131">
        <v>1</v>
      </c>
    </row>
    <row r="1001" spans="1:59" ht="15" customHeight="1">
      <c r="A1001" s="141" t="s">
        <v>644</v>
      </c>
      <c r="F1001" s="168" t="s">
        <v>658</v>
      </c>
      <c r="G1001" s="109" t="s">
        <v>3</v>
      </c>
      <c r="J1001" s="131">
        <v>1</v>
      </c>
      <c r="K1001" s="131">
        <v>1</v>
      </c>
      <c r="L1001" s="131">
        <v>1</v>
      </c>
      <c r="M1001" s="131">
        <v>1</v>
      </c>
      <c r="N1001" s="131">
        <v>1</v>
      </c>
      <c r="O1001" s="131">
        <v>1</v>
      </c>
      <c r="P1001" s="131">
        <v>1</v>
      </c>
      <c r="Q1001" s="131">
        <v>1</v>
      </c>
      <c r="R1001" s="131">
        <v>1</v>
      </c>
      <c r="S1001" s="131">
        <v>1</v>
      </c>
      <c r="T1001" s="131">
        <v>1</v>
      </c>
      <c r="U1001" s="131">
        <v>1</v>
      </c>
      <c r="V1001" s="131">
        <v>1</v>
      </c>
      <c r="W1001" s="131">
        <v>1</v>
      </c>
      <c r="X1001" s="131">
        <v>1</v>
      </c>
      <c r="Y1001" s="131">
        <v>1</v>
      </c>
      <c r="Z1001" s="131">
        <v>1</v>
      </c>
      <c r="AA1001" s="131">
        <v>1</v>
      </c>
      <c r="AB1001" s="131">
        <v>1</v>
      </c>
      <c r="AC1001" s="131">
        <v>1</v>
      </c>
      <c r="AD1001" s="131">
        <v>1</v>
      </c>
      <c r="AE1001" s="131">
        <v>1</v>
      </c>
      <c r="AF1001" s="131">
        <v>1</v>
      </c>
      <c r="AG1001" s="131">
        <v>1</v>
      </c>
      <c r="AH1001" s="131">
        <v>1</v>
      </c>
      <c r="AI1001" s="131">
        <v>1</v>
      </c>
      <c r="AJ1001" s="131">
        <v>1</v>
      </c>
      <c r="AK1001" s="131">
        <v>1</v>
      </c>
      <c r="AL1001" s="131">
        <v>1</v>
      </c>
      <c r="AM1001" s="131">
        <v>1</v>
      </c>
      <c r="AN1001" s="131">
        <v>1</v>
      </c>
      <c r="AO1001" s="131">
        <v>1</v>
      </c>
      <c r="AP1001" s="131">
        <v>1</v>
      </c>
      <c r="AQ1001" s="131">
        <v>1</v>
      </c>
      <c r="AR1001" s="131">
        <v>1</v>
      </c>
      <c r="AS1001" s="131">
        <v>1</v>
      </c>
      <c r="AT1001" s="131">
        <v>1</v>
      </c>
      <c r="AU1001" s="131">
        <v>1</v>
      </c>
      <c r="AV1001" s="131">
        <v>1</v>
      </c>
      <c r="AW1001" s="131">
        <v>1</v>
      </c>
      <c r="AX1001" s="131">
        <v>1</v>
      </c>
      <c r="AY1001" s="131">
        <v>1</v>
      </c>
      <c r="AZ1001" s="131">
        <v>1</v>
      </c>
      <c r="BA1001" s="131">
        <v>1</v>
      </c>
      <c r="BB1001" s="131">
        <v>1</v>
      </c>
      <c r="BC1001" s="131">
        <v>1</v>
      </c>
      <c r="BD1001" s="131">
        <v>1</v>
      </c>
      <c r="BE1001" s="131">
        <v>1</v>
      </c>
      <c r="BF1001" s="131">
        <v>1</v>
      </c>
      <c r="BG1001" s="131">
        <v>1</v>
      </c>
    </row>
    <row r="1002" spans="1:59" ht="15" customHeight="1">
      <c r="A1002" s="141" t="s">
        <v>644</v>
      </c>
      <c r="F1002" s="168" t="s">
        <v>659</v>
      </c>
      <c r="G1002" s="109" t="s">
        <v>3</v>
      </c>
      <c r="J1002" s="131">
        <v>1</v>
      </c>
      <c r="K1002" s="131">
        <v>1</v>
      </c>
      <c r="L1002" s="131">
        <v>1</v>
      </c>
      <c r="M1002" s="131">
        <v>1</v>
      </c>
      <c r="N1002" s="131">
        <v>1</v>
      </c>
      <c r="O1002" s="131">
        <v>1</v>
      </c>
      <c r="P1002" s="131">
        <v>1</v>
      </c>
      <c r="Q1002" s="131">
        <v>1</v>
      </c>
      <c r="R1002" s="131">
        <v>1</v>
      </c>
      <c r="S1002" s="131">
        <v>1</v>
      </c>
      <c r="T1002" s="131">
        <v>1</v>
      </c>
      <c r="U1002" s="131">
        <v>1</v>
      </c>
      <c r="V1002" s="131">
        <v>1</v>
      </c>
      <c r="W1002" s="131">
        <v>1</v>
      </c>
      <c r="X1002" s="131">
        <v>1</v>
      </c>
      <c r="Y1002" s="131">
        <v>1</v>
      </c>
      <c r="Z1002" s="131">
        <v>1</v>
      </c>
      <c r="AA1002" s="131">
        <v>1</v>
      </c>
      <c r="AB1002" s="131">
        <v>1</v>
      </c>
      <c r="AC1002" s="131">
        <v>1</v>
      </c>
      <c r="AD1002" s="131">
        <v>1</v>
      </c>
      <c r="AE1002" s="131">
        <v>1</v>
      </c>
      <c r="AF1002" s="131">
        <v>1</v>
      </c>
      <c r="AG1002" s="131">
        <v>1</v>
      </c>
      <c r="AH1002" s="131">
        <v>1</v>
      </c>
      <c r="AI1002" s="131">
        <v>1</v>
      </c>
      <c r="AJ1002" s="131">
        <v>1</v>
      </c>
      <c r="AK1002" s="131">
        <v>1</v>
      </c>
      <c r="AL1002" s="131">
        <v>1</v>
      </c>
      <c r="AM1002" s="131">
        <v>1</v>
      </c>
      <c r="AN1002" s="131">
        <v>1</v>
      </c>
      <c r="AO1002" s="131">
        <v>1</v>
      </c>
      <c r="AP1002" s="131">
        <v>1</v>
      </c>
      <c r="AQ1002" s="131">
        <v>1</v>
      </c>
      <c r="AR1002" s="131">
        <v>1</v>
      </c>
      <c r="AS1002" s="131">
        <v>1</v>
      </c>
      <c r="AT1002" s="131">
        <v>1</v>
      </c>
      <c r="AU1002" s="131">
        <v>1</v>
      </c>
      <c r="AV1002" s="131">
        <v>1</v>
      </c>
      <c r="AW1002" s="131">
        <v>1</v>
      </c>
      <c r="AX1002" s="131">
        <v>1</v>
      </c>
      <c r="AY1002" s="131">
        <v>1</v>
      </c>
      <c r="AZ1002" s="131">
        <v>1</v>
      </c>
      <c r="BA1002" s="131">
        <v>1</v>
      </c>
      <c r="BB1002" s="131">
        <v>1</v>
      </c>
      <c r="BC1002" s="131">
        <v>1</v>
      </c>
      <c r="BD1002" s="131">
        <v>1</v>
      </c>
      <c r="BE1002" s="131">
        <v>1</v>
      </c>
      <c r="BF1002" s="131">
        <v>1</v>
      </c>
      <c r="BG1002" s="131">
        <v>1</v>
      </c>
    </row>
    <row r="1003" spans="1:59" ht="15" customHeight="1">
      <c r="A1003" s="141" t="s">
        <v>644</v>
      </c>
      <c r="F1003" s="168" t="s">
        <v>660</v>
      </c>
      <c r="G1003" s="109" t="s">
        <v>3</v>
      </c>
      <c r="J1003" s="131">
        <v>1</v>
      </c>
      <c r="K1003" s="131">
        <v>1</v>
      </c>
      <c r="L1003" s="131">
        <v>1</v>
      </c>
      <c r="M1003" s="131">
        <v>1</v>
      </c>
      <c r="N1003" s="131">
        <v>1</v>
      </c>
      <c r="O1003" s="131">
        <v>1</v>
      </c>
      <c r="P1003" s="131">
        <v>1</v>
      </c>
      <c r="Q1003" s="131">
        <v>1</v>
      </c>
      <c r="R1003" s="131">
        <v>1</v>
      </c>
      <c r="S1003" s="131">
        <v>1</v>
      </c>
      <c r="T1003" s="131">
        <v>1</v>
      </c>
      <c r="U1003" s="131">
        <v>1</v>
      </c>
      <c r="V1003" s="131">
        <v>1</v>
      </c>
      <c r="W1003" s="131">
        <v>1</v>
      </c>
      <c r="X1003" s="131">
        <v>1</v>
      </c>
      <c r="Y1003" s="131">
        <v>1</v>
      </c>
      <c r="Z1003" s="131">
        <v>1</v>
      </c>
      <c r="AA1003" s="131">
        <v>1</v>
      </c>
      <c r="AB1003" s="131">
        <v>1</v>
      </c>
      <c r="AC1003" s="131">
        <v>1</v>
      </c>
      <c r="AD1003" s="131">
        <v>1</v>
      </c>
      <c r="AE1003" s="131">
        <v>1</v>
      </c>
      <c r="AF1003" s="131">
        <v>1</v>
      </c>
      <c r="AG1003" s="131">
        <v>1</v>
      </c>
      <c r="AH1003" s="131">
        <v>1</v>
      </c>
      <c r="AI1003" s="131">
        <v>1</v>
      </c>
      <c r="AJ1003" s="131">
        <v>1</v>
      </c>
      <c r="AK1003" s="131">
        <v>1</v>
      </c>
      <c r="AL1003" s="131">
        <v>1</v>
      </c>
      <c r="AM1003" s="131">
        <v>1</v>
      </c>
      <c r="AN1003" s="131">
        <v>1</v>
      </c>
      <c r="AO1003" s="131">
        <v>1</v>
      </c>
      <c r="AP1003" s="131">
        <v>1</v>
      </c>
      <c r="AQ1003" s="131">
        <v>1</v>
      </c>
      <c r="AR1003" s="131">
        <v>1</v>
      </c>
      <c r="AS1003" s="131">
        <v>1</v>
      </c>
      <c r="AT1003" s="131">
        <v>1</v>
      </c>
      <c r="AU1003" s="131">
        <v>1</v>
      </c>
      <c r="AV1003" s="131">
        <v>1</v>
      </c>
      <c r="AW1003" s="131">
        <v>1</v>
      </c>
      <c r="AX1003" s="131">
        <v>1</v>
      </c>
      <c r="AY1003" s="131">
        <v>1</v>
      </c>
      <c r="AZ1003" s="131">
        <v>1</v>
      </c>
      <c r="BA1003" s="131">
        <v>1</v>
      </c>
      <c r="BB1003" s="131">
        <v>1</v>
      </c>
      <c r="BC1003" s="131">
        <v>1</v>
      </c>
      <c r="BD1003" s="131">
        <v>1</v>
      </c>
      <c r="BE1003" s="131">
        <v>1</v>
      </c>
      <c r="BF1003" s="131">
        <v>1</v>
      </c>
      <c r="BG1003" s="131">
        <v>1</v>
      </c>
    </row>
    <row r="1004" spans="1:59" ht="15" customHeight="1">
      <c r="A1004" s="141" t="s">
        <v>644</v>
      </c>
      <c r="F1004" s="168" t="s">
        <v>661</v>
      </c>
      <c r="G1004" s="109" t="s">
        <v>3</v>
      </c>
      <c r="J1004" s="131">
        <v>1</v>
      </c>
      <c r="K1004" s="131">
        <v>1</v>
      </c>
      <c r="L1004" s="131">
        <v>1</v>
      </c>
      <c r="M1004" s="131">
        <v>1</v>
      </c>
      <c r="N1004" s="131">
        <v>1</v>
      </c>
      <c r="O1004" s="131">
        <v>1</v>
      </c>
      <c r="P1004" s="131">
        <v>1</v>
      </c>
      <c r="Q1004" s="131">
        <v>1</v>
      </c>
      <c r="R1004" s="131">
        <v>1</v>
      </c>
      <c r="S1004" s="131">
        <v>1</v>
      </c>
      <c r="T1004" s="131">
        <v>1</v>
      </c>
      <c r="U1004" s="131">
        <v>1</v>
      </c>
      <c r="V1004" s="131">
        <v>1</v>
      </c>
      <c r="W1004" s="131">
        <v>1</v>
      </c>
      <c r="X1004" s="131">
        <v>1</v>
      </c>
      <c r="Y1004" s="131">
        <v>1</v>
      </c>
      <c r="Z1004" s="131">
        <v>1</v>
      </c>
      <c r="AA1004" s="131">
        <v>1</v>
      </c>
      <c r="AB1004" s="131">
        <v>1</v>
      </c>
      <c r="AC1004" s="131">
        <v>1</v>
      </c>
      <c r="AD1004" s="131">
        <v>1</v>
      </c>
      <c r="AE1004" s="131">
        <v>1</v>
      </c>
      <c r="AF1004" s="131">
        <v>1</v>
      </c>
      <c r="AG1004" s="131">
        <v>1</v>
      </c>
      <c r="AH1004" s="131">
        <v>1</v>
      </c>
      <c r="AI1004" s="131">
        <v>1</v>
      </c>
      <c r="AJ1004" s="131">
        <v>1</v>
      </c>
      <c r="AK1004" s="131">
        <v>1</v>
      </c>
      <c r="AL1004" s="131">
        <v>1</v>
      </c>
      <c r="AM1004" s="131">
        <v>1</v>
      </c>
      <c r="AN1004" s="131">
        <v>1</v>
      </c>
      <c r="AO1004" s="131">
        <v>1</v>
      </c>
      <c r="AP1004" s="131">
        <v>1</v>
      </c>
      <c r="AQ1004" s="131">
        <v>1</v>
      </c>
      <c r="AR1004" s="131">
        <v>1</v>
      </c>
      <c r="AS1004" s="131">
        <v>1</v>
      </c>
      <c r="AT1004" s="131">
        <v>1</v>
      </c>
      <c r="AU1004" s="131">
        <v>1</v>
      </c>
      <c r="AV1004" s="131">
        <v>1</v>
      </c>
      <c r="AW1004" s="131">
        <v>1</v>
      </c>
      <c r="AX1004" s="131">
        <v>1</v>
      </c>
      <c r="AY1004" s="131">
        <v>1</v>
      </c>
      <c r="AZ1004" s="131">
        <v>1</v>
      </c>
      <c r="BA1004" s="131">
        <v>1</v>
      </c>
      <c r="BB1004" s="131">
        <v>1</v>
      </c>
      <c r="BC1004" s="131">
        <v>1</v>
      </c>
      <c r="BD1004" s="131">
        <v>1</v>
      </c>
      <c r="BE1004" s="131">
        <v>1</v>
      </c>
      <c r="BF1004" s="131">
        <v>1</v>
      </c>
      <c r="BG1004" s="131">
        <v>1</v>
      </c>
    </row>
    <row r="1005" spans="1:59" ht="15" customHeight="1">
      <c r="A1005" s="141" t="s">
        <v>644</v>
      </c>
      <c r="F1005" s="168" t="s">
        <v>662</v>
      </c>
      <c r="G1005" s="109" t="s">
        <v>3</v>
      </c>
      <c r="J1005" s="131">
        <v>1</v>
      </c>
      <c r="K1005" s="131">
        <v>1</v>
      </c>
      <c r="L1005" s="131">
        <v>1</v>
      </c>
      <c r="M1005" s="131">
        <v>1</v>
      </c>
      <c r="N1005" s="131">
        <v>1</v>
      </c>
      <c r="O1005" s="131">
        <v>1</v>
      </c>
      <c r="P1005" s="131">
        <v>1</v>
      </c>
      <c r="Q1005" s="131">
        <v>1</v>
      </c>
      <c r="R1005" s="131">
        <v>1</v>
      </c>
      <c r="S1005" s="131">
        <v>1</v>
      </c>
      <c r="T1005" s="131">
        <v>1</v>
      </c>
      <c r="U1005" s="131">
        <v>1</v>
      </c>
      <c r="V1005" s="131">
        <v>1</v>
      </c>
      <c r="W1005" s="131">
        <v>1</v>
      </c>
      <c r="X1005" s="131">
        <v>1</v>
      </c>
      <c r="Y1005" s="131">
        <v>1</v>
      </c>
      <c r="Z1005" s="131">
        <v>1</v>
      </c>
      <c r="AA1005" s="131">
        <v>1</v>
      </c>
      <c r="AB1005" s="131">
        <v>1</v>
      </c>
      <c r="AC1005" s="131">
        <v>1</v>
      </c>
      <c r="AD1005" s="131">
        <v>1</v>
      </c>
      <c r="AE1005" s="131">
        <v>1</v>
      </c>
      <c r="AF1005" s="131">
        <v>1</v>
      </c>
      <c r="AG1005" s="131">
        <v>1</v>
      </c>
      <c r="AH1005" s="131">
        <v>1</v>
      </c>
      <c r="AI1005" s="131">
        <v>1</v>
      </c>
      <c r="AJ1005" s="131">
        <v>1</v>
      </c>
      <c r="AK1005" s="131">
        <v>1</v>
      </c>
      <c r="AL1005" s="131">
        <v>1</v>
      </c>
      <c r="AM1005" s="131">
        <v>1</v>
      </c>
      <c r="AN1005" s="131">
        <v>1</v>
      </c>
      <c r="AO1005" s="131">
        <v>1</v>
      </c>
      <c r="AP1005" s="131">
        <v>1</v>
      </c>
      <c r="AQ1005" s="131">
        <v>1</v>
      </c>
      <c r="AR1005" s="131">
        <v>1</v>
      </c>
      <c r="AS1005" s="131">
        <v>1</v>
      </c>
      <c r="AT1005" s="131">
        <v>1</v>
      </c>
      <c r="AU1005" s="131">
        <v>1</v>
      </c>
      <c r="AV1005" s="131">
        <v>1</v>
      </c>
      <c r="AW1005" s="131">
        <v>1</v>
      </c>
      <c r="AX1005" s="131">
        <v>1</v>
      </c>
      <c r="AY1005" s="131">
        <v>1</v>
      </c>
      <c r="AZ1005" s="131">
        <v>1</v>
      </c>
      <c r="BA1005" s="131">
        <v>1</v>
      </c>
      <c r="BB1005" s="131">
        <v>1</v>
      </c>
      <c r="BC1005" s="131">
        <v>1</v>
      </c>
      <c r="BD1005" s="131">
        <v>1</v>
      </c>
      <c r="BE1005" s="131">
        <v>1</v>
      </c>
      <c r="BF1005" s="131">
        <v>1</v>
      </c>
      <c r="BG1005" s="131">
        <v>1</v>
      </c>
    </row>
    <row r="1006" spans="1:59" ht="15" customHeight="1">
      <c r="A1006" s="141" t="s">
        <v>644</v>
      </c>
      <c r="F1006" s="168" t="s">
        <v>663</v>
      </c>
      <c r="G1006" s="109" t="s">
        <v>3</v>
      </c>
      <c r="J1006" s="131">
        <v>1</v>
      </c>
      <c r="K1006" s="131">
        <v>1</v>
      </c>
      <c r="L1006" s="131">
        <v>1</v>
      </c>
      <c r="M1006" s="131">
        <v>1</v>
      </c>
      <c r="N1006" s="131">
        <v>1</v>
      </c>
      <c r="O1006" s="131">
        <v>1</v>
      </c>
      <c r="P1006" s="131">
        <v>1</v>
      </c>
      <c r="Q1006" s="131">
        <v>1</v>
      </c>
      <c r="R1006" s="131">
        <v>1</v>
      </c>
      <c r="S1006" s="131">
        <v>1</v>
      </c>
      <c r="T1006" s="131">
        <v>1</v>
      </c>
      <c r="U1006" s="131">
        <v>1</v>
      </c>
      <c r="V1006" s="131">
        <v>1</v>
      </c>
      <c r="W1006" s="131">
        <v>1</v>
      </c>
      <c r="X1006" s="131">
        <v>1</v>
      </c>
      <c r="Y1006" s="131">
        <v>1</v>
      </c>
      <c r="Z1006" s="131">
        <v>1</v>
      </c>
      <c r="AA1006" s="131">
        <v>1</v>
      </c>
      <c r="AB1006" s="131">
        <v>1</v>
      </c>
      <c r="AC1006" s="131">
        <v>1</v>
      </c>
      <c r="AD1006" s="131">
        <v>1</v>
      </c>
      <c r="AE1006" s="131">
        <v>1</v>
      </c>
      <c r="AF1006" s="131">
        <v>1</v>
      </c>
      <c r="AG1006" s="131">
        <v>1</v>
      </c>
      <c r="AH1006" s="131">
        <v>1</v>
      </c>
      <c r="AI1006" s="131">
        <v>1</v>
      </c>
      <c r="AJ1006" s="131">
        <v>1</v>
      </c>
      <c r="AK1006" s="131">
        <v>1</v>
      </c>
      <c r="AL1006" s="131">
        <v>1</v>
      </c>
      <c r="AM1006" s="131">
        <v>1</v>
      </c>
      <c r="AN1006" s="131">
        <v>1</v>
      </c>
      <c r="AO1006" s="131">
        <v>1</v>
      </c>
      <c r="AP1006" s="131">
        <v>1</v>
      </c>
      <c r="AQ1006" s="131">
        <v>1</v>
      </c>
      <c r="AR1006" s="131">
        <v>1</v>
      </c>
      <c r="AS1006" s="131">
        <v>1</v>
      </c>
      <c r="AT1006" s="131">
        <v>1</v>
      </c>
      <c r="AU1006" s="131">
        <v>1</v>
      </c>
      <c r="AV1006" s="131">
        <v>1</v>
      </c>
      <c r="AW1006" s="131">
        <v>1</v>
      </c>
      <c r="AX1006" s="131">
        <v>1</v>
      </c>
      <c r="AY1006" s="131">
        <v>1</v>
      </c>
      <c r="AZ1006" s="131">
        <v>1</v>
      </c>
      <c r="BA1006" s="131">
        <v>1</v>
      </c>
      <c r="BB1006" s="131">
        <v>1</v>
      </c>
      <c r="BC1006" s="131">
        <v>1</v>
      </c>
      <c r="BD1006" s="131">
        <v>1</v>
      </c>
      <c r="BE1006" s="131">
        <v>1</v>
      </c>
      <c r="BF1006" s="131">
        <v>1</v>
      </c>
      <c r="BG1006" s="131">
        <v>1</v>
      </c>
    </row>
    <row r="1007" spans="1:59" ht="15" customHeight="1">
      <c r="A1007" s="141" t="s">
        <v>644</v>
      </c>
      <c r="F1007" s="168" t="s">
        <v>664</v>
      </c>
      <c r="G1007" s="109" t="s">
        <v>3</v>
      </c>
      <c r="J1007" s="131">
        <v>1</v>
      </c>
      <c r="K1007" s="131">
        <v>1</v>
      </c>
      <c r="L1007" s="131">
        <v>1</v>
      </c>
      <c r="M1007" s="131">
        <v>1</v>
      </c>
      <c r="N1007" s="131">
        <v>1</v>
      </c>
      <c r="O1007" s="131">
        <v>1</v>
      </c>
      <c r="P1007" s="131">
        <v>1</v>
      </c>
      <c r="Q1007" s="131">
        <v>1</v>
      </c>
      <c r="R1007" s="131">
        <v>1</v>
      </c>
      <c r="S1007" s="131">
        <v>1</v>
      </c>
      <c r="T1007" s="131">
        <v>1</v>
      </c>
      <c r="U1007" s="131">
        <v>1</v>
      </c>
      <c r="V1007" s="131">
        <v>1</v>
      </c>
      <c r="W1007" s="131">
        <v>1</v>
      </c>
      <c r="X1007" s="131">
        <v>1</v>
      </c>
      <c r="Y1007" s="131">
        <v>1</v>
      </c>
      <c r="Z1007" s="131">
        <v>1</v>
      </c>
      <c r="AA1007" s="131">
        <v>1</v>
      </c>
      <c r="AB1007" s="131">
        <v>1</v>
      </c>
      <c r="AC1007" s="131">
        <v>1</v>
      </c>
      <c r="AD1007" s="131">
        <v>1</v>
      </c>
      <c r="AE1007" s="131">
        <v>1</v>
      </c>
      <c r="AF1007" s="131">
        <v>1</v>
      </c>
      <c r="AG1007" s="131">
        <v>1</v>
      </c>
      <c r="AH1007" s="131">
        <v>1</v>
      </c>
      <c r="AI1007" s="131">
        <v>1</v>
      </c>
      <c r="AJ1007" s="131">
        <v>1</v>
      </c>
      <c r="AK1007" s="131">
        <v>1</v>
      </c>
      <c r="AL1007" s="131">
        <v>1</v>
      </c>
      <c r="AM1007" s="131">
        <v>1</v>
      </c>
      <c r="AN1007" s="131">
        <v>1</v>
      </c>
      <c r="AO1007" s="131">
        <v>1</v>
      </c>
      <c r="AP1007" s="131">
        <v>1</v>
      </c>
      <c r="AQ1007" s="131">
        <v>1</v>
      </c>
      <c r="AR1007" s="131">
        <v>1</v>
      </c>
      <c r="AS1007" s="131">
        <v>1</v>
      </c>
      <c r="AT1007" s="131">
        <v>1</v>
      </c>
      <c r="AU1007" s="131">
        <v>1</v>
      </c>
      <c r="AV1007" s="131">
        <v>1</v>
      </c>
      <c r="AW1007" s="131">
        <v>1</v>
      </c>
      <c r="AX1007" s="131">
        <v>1</v>
      </c>
      <c r="AY1007" s="131">
        <v>1</v>
      </c>
      <c r="AZ1007" s="131">
        <v>1</v>
      </c>
      <c r="BA1007" s="131">
        <v>1</v>
      </c>
      <c r="BB1007" s="131">
        <v>1</v>
      </c>
      <c r="BC1007" s="131">
        <v>1</v>
      </c>
      <c r="BD1007" s="131">
        <v>1</v>
      </c>
      <c r="BE1007" s="131">
        <v>1</v>
      </c>
      <c r="BF1007" s="131">
        <v>1</v>
      </c>
      <c r="BG1007" s="131">
        <v>1</v>
      </c>
    </row>
    <row r="1008" spans="1:59" ht="15" customHeight="1">
      <c r="A1008" s="141" t="s">
        <v>644</v>
      </c>
      <c r="F1008" s="168" t="s">
        <v>665</v>
      </c>
      <c r="G1008" s="109" t="s">
        <v>3</v>
      </c>
      <c r="J1008" s="131">
        <v>1</v>
      </c>
      <c r="K1008" s="131">
        <v>1</v>
      </c>
      <c r="L1008" s="131">
        <v>1</v>
      </c>
      <c r="M1008" s="131">
        <v>1</v>
      </c>
      <c r="N1008" s="131">
        <v>1</v>
      </c>
      <c r="O1008" s="131">
        <v>1</v>
      </c>
      <c r="P1008" s="131">
        <v>1</v>
      </c>
      <c r="Q1008" s="131">
        <v>1</v>
      </c>
      <c r="R1008" s="131">
        <v>1</v>
      </c>
      <c r="S1008" s="131">
        <v>1</v>
      </c>
      <c r="T1008" s="131">
        <v>1</v>
      </c>
      <c r="U1008" s="131">
        <v>1</v>
      </c>
      <c r="V1008" s="131">
        <v>1</v>
      </c>
      <c r="W1008" s="131">
        <v>1</v>
      </c>
      <c r="X1008" s="131">
        <v>1</v>
      </c>
      <c r="Y1008" s="131">
        <v>1</v>
      </c>
      <c r="Z1008" s="131">
        <v>1</v>
      </c>
      <c r="AA1008" s="131">
        <v>1</v>
      </c>
      <c r="AB1008" s="131">
        <v>1</v>
      </c>
      <c r="AC1008" s="131">
        <v>1</v>
      </c>
      <c r="AD1008" s="131">
        <v>1</v>
      </c>
      <c r="AE1008" s="131">
        <v>1</v>
      </c>
      <c r="AF1008" s="131">
        <v>1</v>
      </c>
      <c r="AG1008" s="131">
        <v>1</v>
      </c>
      <c r="AH1008" s="131">
        <v>1</v>
      </c>
      <c r="AI1008" s="131">
        <v>1</v>
      </c>
      <c r="AJ1008" s="131">
        <v>1</v>
      </c>
      <c r="AK1008" s="131">
        <v>1</v>
      </c>
      <c r="AL1008" s="131">
        <v>1</v>
      </c>
      <c r="AM1008" s="131">
        <v>1</v>
      </c>
      <c r="AN1008" s="131">
        <v>1</v>
      </c>
      <c r="AO1008" s="131">
        <v>1</v>
      </c>
      <c r="AP1008" s="131">
        <v>1</v>
      </c>
      <c r="AQ1008" s="131">
        <v>1</v>
      </c>
      <c r="AR1008" s="131">
        <v>1</v>
      </c>
      <c r="AS1008" s="131">
        <v>1</v>
      </c>
      <c r="AT1008" s="131">
        <v>1</v>
      </c>
      <c r="AU1008" s="131">
        <v>1</v>
      </c>
      <c r="AV1008" s="131">
        <v>1</v>
      </c>
      <c r="AW1008" s="131">
        <v>1</v>
      </c>
      <c r="AX1008" s="131">
        <v>1</v>
      </c>
      <c r="AY1008" s="131">
        <v>1</v>
      </c>
      <c r="AZ1008" s="131">
        <v>1</v>
      </c>
      <c r="BA1008" s="131">
        <v>1</v>
      </c>
      <c r="BB1008" s="131">
        <v>1</v>
      </c>
      <c r="BC1008" s="131">
        <v>1</v>
      </c>
      <c r="BD1008" s="131">
        <v>1</v>
      </c>
      <c r="BE1008" s="131">
        <v>1</v>
      </c>
      <c r="BF1008" s="131">
        <v>1</v>
      </c>
      <c r="BG1008" s="131">
        <v>1</v>
      </c>
    </row>
    <row r="1009" spans="1:59" ht="15" customHeight="1">
      <c r="A1009" s="141" t="s">
        <v>644</v>
      </c>
      <c r="F1009" s="168" t="s">
        <v>666</v>
      </c>
      <c r="G1009" s="109" t="s">
        <v>3</v>
      </c>
      <c r="J1009" s="131">
        <v>1</v>
      </c>
      <c r="K1009" s="131">
        <v>1</v>
      </c>
      <c r="L1009" s="131">
        <v>1</v>
      </c>
      <c r="M1009" s="131">
        <v>1</v>
      </c>
      <c r="N1009" s="131">
        <v>1</v>
      </c>
      <c r="O1009" s="131">
        <v>1</v>
      </c>
      <c r="P1009" s="131">
        <v>1</v>
      </c>
      <c r="Q1009" s="131">
        <v>1</v>
      </c>
      <c r="R1009" s="131">
        <v>1</v>
      </c>
      <c r="S1009" s="131">
        <v>1</v>
      </c>
      <c r="T1009" s="131">
        <v>1</v>
      </c>
      <c r="U1009" s="131">
        <v>1</v>
      </c>
      <c r="V1009" s="131">
        <v>1</v>
      </c>
      <c r="W1009" s="131">
        <v>1</v>
      </c>
      <c r="X1009" s="131">
        <v>1</v>
      </c>
      <c r="Y1009" s="131">
        <v>1</v>
      </c>
      <c r="Z1009" s="131">
        <v>1</v>
      </c>
      <c r="AA1009" s="131">
        <v>1</v>
      </c>
      <c r="AB1009" s="131">
        <v>1</v>
      </c>
      <c r="AC1009" s="131">
        <v>1</v>
      </c>
      <c r="AD1009" s="131">
        <v>1</v>
      </c>
      <c r="AE1009" s="131">
        <v>1</v>
      </c>
      <c r="AF1009" s="131">
        <v>1</v>
      </c>
      <c r="AG1009" s="131">
        <v>1</v>
      </c>
      <c r="AH1009" s="131">
        <v>1</v>
      </c>
      <c r="AI1009" s="131">
        <v>1</v>
      </c>
      <c r="AJ1009" s="131">
        <v>1</v>
      </c>
      <c r="AK1009" s="131">
        <v>1</v>
      </c>
      <c r="AL1009" s="131">
        <v>1</v>
      </c>
      <c r="AM1009" s="131">
        <v>1</v>
      </c>
      <c r="AN1009" s="131">
        <v>1</v>
      </c>
      <c r="AO1009" s="131">
        <v>1</v>
      </c>
      <c r="AP1009" s="131">
        <v>1</v>
      </c>
      <c r="AQ1009" s="131">
        <v>1</v>
      </c>
      <c r="AR1009" s="131">
        <v>1</v>
      </c>
      <c r="AS1009" s="131">
        <v>1</v>
      </c>
      <c r="AT1009" s="131">
        <v>1</v>
      </c>
      <c r="AU1009" s="131">
        <v>1</v>
      </c>
      <c r="AV1009" s="131">
        <v>1</v>
      </c>
      <c r="AW1009" s="131">
        <v>1</v>
      </c>
      <c r="AX1009" s="131">
        <v>1</v>
      </c>
      <c r="AY1009" s="131">
        <v>1</v>
      </c>
      <c r="AZ1009" s="131">
        <v>1</v>
      </c>
      <c r="BA1009" s="131">
        <v>1</v>
      </c>
      <c r="BB1009" s="131">
        <v>1</v>
      </c>
      <c r="BC1009" s="131">
        <v>1</v>
      </c>
      <c r="BD1009" s="131">
        <v>1</v>
      </c>
      <c r="BE1009" s="131">
        <v>1</v>
      </c>
      <c r="BF1009" s="131">
        <v>1</v>
      </c>
      <c r="BG1009" s="131">
        <v>1</v>
      </c>
    </row>
    <row r="1010" spans="1:59" ht="15" customHeight="1">
      <c r="A1010" s="141" t="s">
        <v>644</v>
      </c>
      <c r="F1010" s="168" t="s">
        <v>667</v>
      </c>
      <c r="G1010" s="109" t="s">
        <v>3</v>
      </c>
      <c r="J1010" s="131">
        <v>1</v>
      </c>
      <c r="K1010" s="131">
        <v>1</v>
      </c>
      <c r="L1010" s="131">
        <v>1</v>
      </c>
      <c r="M1010" s="131">
        <v>1</v>
      </c>
      <c r="N1010" s="131">
        <v>1</v>
      </c>
      <c r="O1010" s="131">
        <v>1</v>
      </c>
      <c r="P1010" s="131">
        <v>1</v>
      </c>
      <c r="Q1010" s="131">
        <v>1</v>
      </c>
      <c r="R1010" s="131">
        <v>1</v>
      </c>
      <c r="S1010" s="131">
        <v>1</v>
      </c>
      <c r="T1010" s="131">
        <v>1</v>
      </c>
      <c r="U1010" s="131">
        <v>1</v>
      </c>
      <c r="V1010" s="131">
        <v>1</v>
      </c>
      <c r="W1010" s="131">
        <v>1</v>
      </c>
      <c r="X1010" s="131">
        <v>1</v>
      </c>
      <c r="Y1010" s="131">
        <v>1</v>
      </c>
      <c r="Z1010" s="131">
        <v>1</v>
      </c>
      <c r="AA1010" s="131">
        <v>1</v>
      </c>
      <c r="AB1010" s="131">
        <v>1</v>
      </c>
      <c r="AC1010" s="131">
        <v>1</v>
      </c>
      <c r="AD1010" s="131">
        <v>1</v>
      </c>
      <c r="AE1010" s="131">
        <v>1</v>
      </c>
      <c r="AF1010" s="131">
        <v>1</v>
      </c>
      <c r="AG1010" s="131">
        <v>1</v>
      </c>
      <c r="AH1010" s="131">
        <v>1</v>
      </c>
      <c r="AI1010" s="131">
        <v>1</v>
      </c>
      <c r="AJ1010" s="131">
        <v>1</v>
      </c>
      <c r="AK1010" s="131">
        <v>1</v>
      </c>
      <c r="AL1010" s="131">
        <v>1</v>
      </c>
      <c r="AM1010" s="131">
        <v>1</v>
      </c>
      <c r="AN1010" s="131">
        <v>1</v>
      </c>
      <c r="AO1010" s="131">
        <v>1</v>
      </c>
      <c r="AP1010" s="131">
        <v>1</v>
      </c>
      <c r="AQ1010" s="131">
        <v>1</v>
      </c>
      <c r="AR1010" s="131">
        <v>1</v>
      </c>
      <c r="AS1010" s="131">
        <v>1</v>
      </c>
      <c r="AT1010" s="131">
        <v>1</v>
      </c>
      <c r="AU1010" s="131">
        <v>1</v>
      </c>
      <c r="AV1010" s="131">
        <v>1</v>
      </c>
      <c r="AW1010" s="131">
        <v>1</v>
      </c>
      <c r="AX1010" s="131">
        <v>1</v>
      </c>
      <c r="AY1010" s="131">
        <v>1</v>
      </c>
      <c r="AZ1010" s="131">
        <v>1</v>
      </c>
      <c r="BA1010" s="131">
        <v>1</v>
      </c>
      <c r="BB1010" s="131">
        <v>1</v>
      </c>
      <c r="BC1010" s="131">
        <v>1</v>
      </c>
      <c r="BD1010" s="131">
        <v>1</v>
      </c>
      <c r="BE1010" s="131">
        <v>1</v>
      </c>
      <c r="BF1010" s="131">
        <v>1</v>
      </c>
      <c r="BG1010" s="131">
        <v>1</v>
      </c>
    </row>
    <row r="1011" spans="1:59" ht="15" customHeight="1">
      <c r="A1011" s="141" t="s">
        <v>644</v>
      </c>
      <c r="F1011" s="168" t="s">
        <v>668</v>
      </c>
      <c r="G1011" s="109" t="s">
        <v>3</v>
      </c>
      <c r="J1011" s="131">
        <v>1</v>
      </c>
      <c r="K1011" s="131">
        <v>1</v>
      </c>
      <c r="L1011" s="131">
        <v>1</v>
      </c>
      <c r="M1011" s="131">
        <v>1</v>
      </c>
      <c r="N1011" s="131">
        <v>1</v>
      </c>
      <c r="O1011" s="131">
        <v>1</v>
      </c>
      <c r="P1011" s="131">
        <v>1</v>
      </c>
      <c r="Q1011" s="131">
        <v>1</v>
      </c>
      <c r="R1011" s="131">
        <v>1</v>
      </c>
      <c r="S1011" s="131">
        <v>1</v>
      </c>
      <c r="T1011" s="131">
        <v>1</v>
      </c>
      <c r="U1011" s="131">
        <v>1</v>
      </c>
      <c r="V1011" s="131">
        <v>1</v>
      </c>
      <c r="W1011" s="131">
        <v>1</v>
      </c>
      <c r="X1011" s="131">
        <v>1</v>
      </c>
      <c r="Y1011" s="131">
        <v>1</v>
      </c>
      <c r="Z1011" s="131">
        <v>1</v>
      </c>
      <c r="AA1011" s="131">
        <v>1</v>
      </c>
      <c r="AB1011" s="131">
        <v>1</v>
      </c>
      <c r="AC1011" s="131">
        <v>1</v>
      </c>
      <c r="AD1011" s="131">
        <v>1</v>
      </c>
      <c r="AE1011" s="131">
        <v>1</v>
      </c>
      <c r="AF1011" s="131">
        <v>1</v>
      </c>
      <c r="AG1011" s="131">
        <v>1</v>
      </c>
      <c r="AH1011" s="131">
        <v>1</v>
      </c>
      <c r="AI1011" s="131">
        <v>1</v>
      </c>
      <c r="AJ1011" s="131">
        <v>1</v>
      </c>
      <c r="AK1011" s="131">
        <v>1</v>
      </c>
      <c r="AL1011" s="131">
        <v>1</v>
      </c>
      <c r="AM1011" s="131">
        <v>1</v>
      </c>
      <c r="AN1011" s="131">
        <v>1</v>
      </c>
      <c r="AO1011" s="131">
        <v>1</v>
      </c>
      <c r="AP1011" s="131">
        <v>1</v>
      </c>
      <c r="AQ1011" s="131">
        <v>1</v>
      </c>
      <c r="AR1011" s="131">
        <v>1</v>
      </c>
      <c r="AS1011" s="131">
        <v>1</v>
      </c>
      <c r="AT1011" s="131">
        <v>1</v>
      </c>
      <c r="AU1011" s="131">
        <v>1</v>
      </c>
      <c r="AV1011" s="131">
        <v>1</v>
      </c>
      <c r="AW1011" s="131">
        <v>1</v>
      </c>
      <c r="AX1011" s="131">
        <v>1</v>
      </c>
      <c r="AY1011" s="131">
        <v>1</v>
      </c>
      <c r="AZ1011" s="131">
        <v>1</v>
      </c>
      <c r="BA1011" s="131">
        <v>1</v>
      </c>
      <c r="BB1011" s="131">
        <v>1</v>
      </c>
      <c r="BC1011" s="131">
        <v>1</v>
      </c>
      <c r="BD1011" s="131">
        <v>1</v>
      </c>
      <c r="BE1011" s="131">
        <v>1</v>
      </c>
      <c r="BF1011" s="131">
        <v>1</v>
      </c>
      <c r="BG1011" s="131">
        <v>1</v>
      </c>
    </row>
    <row r="1012" spans="1:59" ht="15" customHeight="1">
      <c r="A1012" s="141" t="s">
        <v>644</v>
      </c>
      <c r="F1012" s="168" t="s">
        <v>669</v>
      </c>
      <c r="G1012" s="109" t="s">
        <v>3</v>
      </c>
      <c r="J1012" s="131">
        <v>1</v>
      </c>
      <c r="K1012" s="131">
        <v>1</v>
      </c>
      <c r="L1012" s="131">
        <v>1</v>
      </c>
      <c r="M1012" s="131">
        <v>1</v>
      </c>
      <c r="N1012" s="131">
        <v>1</v>
      </c>
      <c r="O1012" s="131">
        <v>1</v>
      </c>
      <c r="P1012" s="131">
        <v>1</v>
      </c>
      <c r="Q1012" s="131">
        <v>1</v>
      </c>
      <c r="R1012" s="131">
        <v>1</v>
      </c>
      <c r="S1012" s="131">
        <v>1</v>
      </c>
      <c r="T1012" s="131">
        <v>1</v>
      </c>
      <c r="U1012" s="131">
        <v>1</v>
      </c>
      <c r="V1012" s="131">
        <v>1</v>
      </c>
      <c r="W1012" s="131">
        <v>1</v>
      </c>
      <c r="X1012" s="131">
        <v>1</v>
      </c>
      <c r="Y1012" s="131">
        <v>1</v>
      </c>
      <c r="Z1012" s="131">
        <v>1</v>
      </c>
      <c r="AA1012" s="131">
        <v>1</v>
      </c>
      <c r="AB1012" s="131">
        <v>1</v>
      </c>
      <c r="AC1012" s="131">
        <v>1</v>
      </c>
      <c r="AD1012" s="131">
        <v>1</v>
      </c>
      <c r="AE1012" s="131">
        <v>1</v>
      </c>
      <c r="AF1012" s="131">
        <v>1</v>
      </c>
      <c r="AG1012" s="131">
        <v>1</v>
      </c>
      <c r="AH1012" s="131">
        <v>1</v>
      </c>
      <c r="AI1012" s="131">
        <v>1</v>
      </c>
      <c r="AJ1012" s="131">
        <v>1</v>
      </c>
      <c r="AK1012" s="131">
        <v>1</v>
      </c>
      <c r="AL1012" s="131">
        <v>1</v>
      </c>
      <c r="AM1012" s="131">
        <v>1</v>
      </c>
      <c r="AN1012" s="131">
        <v>1</v>
      </c>
      <c r="AO1012" s="131">
        <v>1</v>
      </c>
      <c r="AP1012" s="131">
        <v>1</v>
      </c>
      <c r="AQ1012" s="131">
        <v>1</v>
      </c>
      <c r="AR1012" s="131">
        <v>1</v>
      </c>
      <c r="AS1012" s="131">
        <v>1</v>
      </c>
      <c r="AT1012" s="131">
        <v>1</v>
      </c>
      <c r="AU1012" s="131">
        <v>1</v>
      </c>
      <c r="AV1012" s="131">
        <v>1</v>
      </c>
      <c r="AW1012" s="131">
        <v>1</v>
      </c>
      <c r="AX1012" s="131">
        <v>1</v>
      </c>
      <c r="AY1012" s="131">
        <v>1</v>
      </c>
      <c r="AZ1012" s="131">
        <v>1</v>
      </c>
      <c r="BA1012" s="131">
        <v>1</v>
      </c>
      <c r="BB1012" s="131">
        <v>1</v>
      </c>
      <c r="BC1012" s="131">
        <v>1</v>
      </c>
      <c r="BD1012" s="131">
        <v>1</v>
      </c>
      <c r="BE1012" s="131">
        <v>1</v>
      </c>
      <c r="BF1012" s="131">
        <v>1</v>
      </c>
      <c r="BG1012" s="131">
        <v>1</v>
      </c>
    </row>
    <row r="1013" spans="1:59" ht="15" customHeight="1">
      <c r="A1013" s="141" t="s">
        <v>644</v>
      </c>
      <c r="F1013" s="168" t="s">
        <v>670</v>
      </c>
      <c r="G1013" s="109" t="s">
        <v>3</v>
      </c>
      <c r="J1013" s="131">
        <v>1</v>
      </c>
      <c r="K1013" s="131">
        <v>1</v>
      </c>
      <c r="L1013" s="131">
        <v>1</v>
      </c>
      <c r="M1013" s="131">
        <v>1</v>
      </c>
      <c r="N1013" s="131">
        <v>1</v>
      </c>
      <c r="O1013" s="131">
        <v>1</v>
      </c>
      <c r="P1013" s="131">
        <v>1</v>
      </c>
      <c r="Q1013" s="131">
        <v>1</v>
      </c>
      <c r="R1013" s="131">
        <v>1</v>
      </c>
      <c r="S1013" s="131">
        <v>1</v>
      </c>
      <c r="T1013" s="131">
        <v>1</v>
      </c>
      <c r="U1013" s="131">
        <v>1</v>
      </c>
      <c r="V1013" s="131">
        <v>1</v>
      </c>
      <c r="W1013" s="131">
        <v>1</v>
      </c>
      <c r="X1013" s="131">
        <v>1</v>
      </c>
      <c r="Y1013" s="131">
        <v>1</v>
      </c>
      <c r="Z1013" s="131">
        <v>1</v>
      </c>
      <c r="AA1013" s="131">
        <v>1</v>
      </c>
      <c r="AB1013" s="131">
        <v>1</v>
      </c>
      <c r="AC1013" s="131">
        <v>1</v>
      </c>
      <c r="AD1013" s="131">
        <v>1</v>
      </c>
      <c r="AE1013" s="131">
        <v>1</v>
      </c>
      <c r="AF1013" s="131">
        <v>1</v>
      </c>
      <c r="AG1013" s="131">
        <v>1</v>
      </c>
      <c r="AH1013" s="131">
        <v>1</v>
      </c>
      <c r="AI1013" s="131">
        <v>1</v>
      </c>
      <c r="AJ1013" s="131">
        <v>1</v>
      </c>
      <c r="AK1013" s="131">
        <v>1</v>
      </c>
      <c r="AL1013" s="131">
        <v>1</v>
      </c>
      <c r="AM1013" s="131">
        <v>1</v>
      </c>
      <c r="AN1013" s="131">
        <v>1</v>
      </c>
      <c r="AO1013" s="131">
        <v>1</v>
      </c>
      <c r="AP1013" s="131">
        <v>1</v>
      </c>
      <c r="AQ1013" s="131">
        <v>1</v>
      </c>
      <c r="AR1013" s="131">
        <v>1</v>
      </c>
      <c r="AS1013" s="131">
        <v>1</v>
      </c>
      <c r="AT1013" s="131">
        <v>1</v>
      </c>
      <c r="AU1013" s="131">
        <v>1</v>
      </c>
      <c r="AV1013" s="131">
        <v>1</v>
      </c>
      <c r="AW1013" s="131">
        <v>1</v>
      </c>
      <c r="AX1013" s="131">
        <v>1</v>
      </c>
      <c r="AY1013" s="131">
        <v>1</v>
      </c>
      <c r="AZ1013" s="131">
        <v>1</v>
      </c>
      <c r="BA1013" s="131">
        <v>1</v>
      </c>
      <c r="BB1013" s="131">
        <v>1</v>
      </c>
      <c r="BC1013" s="131">
        <v>1</v>
      </c>
      <c r="BD1013" s="131">
        <v>1</v>
      </c>
      <c r="BE1013" s="131">
        <v>1</v>
      </c>
      <c r="BF1013" s="131">
        <v>1</v>
      </c>
      <c r="BG1013" s="131">
        <v>1</v>
      </c>
    </row>
    <row r="1014" spans="1:59" ht="15" customHeight="1">
      <c r="A1014" s="141" t="s">
        <v>644</v>
      </c>
      <c r="F1014" s="168" t="s">
        <v>671</v>
      </c>
      <c r="G1014" s="109" t="s">
        <v>3</v>
      </c>
      <c r="J1014" s="131">
        <v>1</v>
      </c>
      <c r="K1014" s="131">
        <v>1</v>
      </c>
      <c r="L1014" s="131">
        <v>1</v>
      </c>
      <c r="M1014" s="131">
        <v>1</v>
      </c>
      <c r="N1014" s="131">
        <v>1</v>
      </c>
      <c r="O1014" s="131">
        <v>1</v>
      </c>
      <c r="P1014" s="131">
        <v>1</v>
      </c>
      <c r="Q1014" s="131">
        <v>1</v>
      </c>
      <c r="R1014" s="131">
        <v>1</v>
      </c>
      <c r="S1014" s="131">
        <v>1</v>
      </c>
      <c r="T1014" s="131">
        <v>1</v>
      </c>
      <c r="U1014" s="131">
        <v>1</v>
      </c>
      <c r="V1014" s="131">
        <v>1</v>
      </c>
      <c r="W1014" s="131">
        <v>1</v>
      </c>
      <c r="X1014" s="131">
        <v>1</v>
      </c>
      <c r="Y1014" s="131">
        <v>1</v>
      </c>
      <c r="Z1014" s="131">
        <v>1</v>
      </c>
      <c r="AA1014" s="131">
        <v>1</v>
      </c>
      <c r="AB1014" s="131">
        <v>1</v>
      </c>
      <c r="AC1014" s="131">
        <v>1</v>
      </c>
      <c r="AD1014" s="131">
        <v>1</v>
      </c>
      <c r="AE1014" s="131">
        <v>1</v>
      </c>
      <c r="AF1014" s="131">
        <v>1</v>
      </c>
      <c r="AG1014" s="131">
        <v>1</v>
      </c>
      <c r="AH1014" s="131">
        <v>1</v>
      </c>
      <c r="AI1014" s="131">
        <v>1</v>
      </c>
      <c r="AJ1014" s="131">
        <v>1</v>
      </c>
      <c r="AK1014" s="131">
        <v>1</v>
      </c>
      <c r="AL1014" s="131">
        <v>1</v>
      </c>
      <c r="AM1014" s="131">
        <v>1</v>
      </c>
      <c r="AN1014" s="131">
        <v>1</v>
      </c>
      <c r="AO1014" s="131">
        <v>1</v>
      </c>
      <c r="AP1014" s="131">
        <v>1</v>
      </c>
      <c r="AQ1014" s="131">
        <v>1</v>
      </c>
      <c r="AR1014" s="131">
        <v>1</v>
      </c>
      <c r="AS1014" s="131">
        <v>1</v>
      </c>
      <c r="AT1014" s="131">
        <v>1</v>
      </c>
      <c r="AU1014" s="131">
        <v>1</v>
      </c>
      <c r="AV1014" s="131">
        <v>1</v>
      </c>
      <c r="AW1014" s="131">
        <v>1</v>
      </c>
      <c r="AX1014" s="131">
        <v>1</v>
      </c>
      <c r="AY1014" s="131">
        <v>1</v>
      </c>
      <c r="AZ1014" s="131">
        <v>1</v>
      </c>
      <c r="BA1014" s="131">
        <v>1</v>
      </c>
      <c r="BB1014" s="131">
        <v>1</v>
      </c>
      <c r="BC1014" s="131">
        <v>1</v>
      </c>
      <c r="BD1014" s="131">
        <v>1</v>
      </c>
      <c r="BE1014" s="131">
        <v>1</v>
      </c>
      <c r="BF1014" s="131">
        <v>1</v>
      </c>
      <c r="BG1014" s="131">
        <v>1</v>
      </c>
    </row>
    <row r="1015" spans="1:59" ht="15" customHeight="1">
      <c r="A1015" s="141" t="s">
        <v>644</v>
      </c>
      <c r="F1015" s="168" t="s">
        <v>672</v>
      </c>
      <c r="G1015" s="109" t="s">
        <v>3</v>
      </c>
      <c r="J1015" s="131">
        <v>1</v>
      </c>
      <c r="K1015" s="131">
        <v>1</v>
      </c>
      <c r="L1015" s="131">
        <v>1</v>
      </c>
      <c r="M1015" s="131">
        <v>1</v>
      </c>
      <c r="N1015" s="131">
        <v>1</v>
      </c>
      <c r="O1015" s="131">
        <v>1</v>
      </c>
      <c r="P1015" s="131">
        <v>1</v>
      </c>
      <c r="Q1015" s="131">
        <v>1</v>
      </c>
      <c r="R1015" s="131">
        <v>1</v>
      </c>
      <c r="S1015" s="131">
        <v>1</v>
      </c>
      <c r="T1015" s="131">
        <v>1</v>
      </c>
      <c r="U1015" s="131">
        <v>1</v>
      </c>
      <c r="V1015" s="131">
        <v>1</v>
      </c>
      <c r="W1015" s="131">
        <v>1</v>
      </c>
      <c r="X1015" s="131">
        <v>1</v>
      </c>
      <c r="Y1015" s="131">
        <v>1</v>
      </c>
      <c r="Z1015" s="131">
        <v>1</v>
      </c>
      <c r="AA1015" s="131">
        <v>1</v>
      </c>
      <c r="AB1015" s="131">
        <v>1</v>
      </c>
      <c r="AC1015" s="131">
        <v>1</v>
      </c>
      <c r="AD1015" s="131">
        <v>1</v>
      </c>
      <c r="AE1015" s="131">
        <v>1</v>
      </c>
      <c r="AF1015" s="131">
        <v>1</v>
      </c>
      <c r="AG1015" s="131">
        <v>1</v>
      </c>
      <c r="AH1015" s="131">
        <v>1</v>
      </c>
      <c r="AI1015" s="131">
        <v>1</v>
      </c>
      <c r="AJ1015" s="131">
        <v>1</v>
      </c>
      <c r="AK1015" s="131">
        <v>1</v>
      </c>
      <c r="AL1015" s="131">
        <v>1</v>
      </c>
      <c r="AM1015" s="131">
        <v>1</v>
      </c>
      <c r="AN1015" s="131">
        <v>1</v>
      </c>
      <c r="AO1015" s="131">
        <v>1</v>
      </c>
      <c r="AP1015" s="131">
        <v>1</v>
      </c>
      <c r="AQ1015" s="131">
        <v>1</v>
      </c>
      <c r="AR1015" s="131">
        <v>1</v>
      </c>
      <c r="AS1015" s="131">
        <v>1</v>
      </c>
      <c r="AT1015" s="131">
        <v>1</v>
      </c>
      <c r="AU1015" s="131">
        <v>1</v>
      </c>
      <c r="AV1015" s="131">
        <v>1</v>
      </c>
      <c r="AW1015" s="131">
        <v>1</v>
      </c>
      <c r="AX1015" s="131">
        <v>1</v>
      </c>
      <c r="AY1015" s="131">
        <v>1</v>
      </c>
      <c r="AZ1015" s="131">
        <v>1</v>
      </c>
      <c r="BA1015" s="131">
        <v>1</v>
      </c>
      <c r="BB1015" s="131">
        <v>1</v>
      </c>
      <c r="BC1015" s="131">
        <v>1</v>
      </c>
      <c r="BD1015" s="131">
        <v>1</v>
      </c>
      <c r="BE1015" s="131">
        <v>1</v>
      </c>
      <c r="BF1015" s="131">
        <v>1</v>
      </c>
      <c r="BG1015" s="131">
        <v>1</v>
      </c>
    </row>
    <row r="1016" spans="1:59" ht="15" customHeight="1">
      <c r="A1016" s="141" t="s">
        <v>644</v>
      </c>
      <c r="F1016" s="168" t="s">
        <v>673</v>
      </c>
      <c r="G1016" s="109" t="s">
        <v>3</v>
      </c>
      <c r="J1016" s="131">
        <v>1</v>
      </c>
      <c r="K1016" s="131">
        <v>1</v>
      </c>
      <c r="L1016" s="131">
        <v>1</v>
      </c>
      <c r="M1016" s="131">
        <v>1</v>
      </c>
      <c r="N1016" s="131">
        <v>1</v>
      </c>
      <c r="O1016" s="131">
        <v>1</v>
      </c>
      <c r="P1016" s="131">
        <v>1</v>
      </c>
      <c r="Q1016" s="131">
        <v>1</v>
      </c>
      <c r="R1016" s="131">
        <v>1</v>
      </c>
      <c r="S1016" s="131">
        <v>1</v>
      </c>
      <c r="T1016" s="131">
        <v>1</v>
      </c>
      <c r="U1016" s="131">
        <v>1</v>
      </c>
      <c r="V1016" s="131">
        <v>1</v>
      </c>
      <c r="W1016" s="131">
        <v>1</v>
      </c>
      <c r="X1016" s="131">
        <v>1</v>
      </c>
      <c r="Y1016" s="131">
        <v>1</v>
      </c>
      <c r="Z1016" s="131">
        <v>1</v>
      </c>
      <c r="AA1016" s="131">
        <v>1</v>
      </c>
      <c r="AB1016" s="131">
        <v>1</v>
      </c>
      <c r="AC1016" s="131">
        <v>1</v>
      </c>
      <c r="AD1016" s="131">
        <v>1</v>
      </c>
      <c r="AE1016" s="131">
        <v>1</v>
      </c>
      <c r="AF1016" s="131">
        <v>1</v>
      </c>
      <c r="AG1016" s="131">
        <v>1</v>
      </c>
      <c r="AH1016" s="131">
        <v>1</v>
      </c>
      <c r="AI1016" s="131">
        <v>1</v>
      </c>
      <c r="AJ1016" s="131">
        <v>1</v>
      </c>
      <c r="AK1016" s="131">
        <v>1</v>
      </c>
      <c r="AL1016" s="131">
        <v>1</v>
      </c>
      <c r="AM1016" s="131">
        <v>1</v>
      </c>
      <c r="AN1016" s="131">
        <v>1</v>
      </c>
      <c r="AO1016" s="131">
        <v>1</v>
      </c>
      <c r="AP1016" s="131">
        <v>1</v>
      </c>
      <c r="AQ1016" s="131">
        <v>1</v>
      </c>
      <c r="AR1016" s="131">
        <v>1</v>
      </c>
      <c r="AS1016" s="131">
        <v>1</v>
      </c>
      <c r="AT1016" s="131">
        <v>1</v>
      </c>
      <c r="AU1016" s="131">
        <v>1</v>
      </c>
      <c r="AV1016" s="131">
        <v>1</v>
      </c>
      <c r="AW1016" s="131">
        <v>1</v>
      </c>
      <c r="AX1016" s="131">
        <v>1</v>
      </c>
      <c r="AY1016" s="131">
        <v>1</v>
      </c>
      <c r="AZ1016" s="131">
        <v>1</v>
      </c>
      <c r="BA1016" s="131">
        <v>1</v>
      </c>
      <c r="BB1016" s="131">
        <v>1</v>
      </c>
      <c r="BC1016" s="131">
        <v>1</v>
      </c>
      <c r="BD1016" s="131">
        <v>1</v>
      </c>
      <c r="BE1016" s="131">
        <v>1</v>
      </c>
      <c r="BF1016" s="131">
        <v>1</v>
      </c>
      <c r="BG1016" s="131">
        <v>1</v>
      </c>
    </row>
    <row r="1017" spans="1:59" ht="15" customHeight="1">
      <c r="A1017" s="141" t="s">
        <v>644</v>
      </c>
      <c r="F1017" s="168" t="s">
        <v>674</v>
      </c>
      <c r="G1017" s="109" t="s">
        <v>3</v>
      </c>
      <c r="J1017" s="131">
        <v>1</v>
      </c>
      <c r="K1017" s="131">
        <v>1</v>
      </c>
      <c r="L1017" s="131">
        <v>1</v>
      </c>
      <c r="M1017" s="131">
        <v>1</v>
      </c>
      <c r="N1017" s="131">
        <v>1</v>
      </c>
      <c r="O1017" s="131">
        <v>1</v>
      </c>
      <c r="P1017" s="131">
        <v>1</v>
      </c>
      <c r="Q1017" s="131">
        <v>1</v>
      </c>
      <c r="R1017" s="131">
        <v>1</v>
      </c>
      <c r="S1017" s="131">
        <v>1</v>
      </c>
      <c r="T1017" s="131">
        <v>1</v>
      </c>
      <c r="U1017" s="131">
        <v>1</v>
      </c>
      <c r="V1017" s="131">
        <v>1</v>
      </c>
      <c r="W1017" s="131">
        <v>1</v>
      </c>
      <c r="X1017" s="131">
        <v>1</v>
      </c>
      <c r="Y1017" s="131">
        <v>1</v>
      </c>
      <c r="Z1017" s="131">
        <v>1</v>
      </c>
      <c r="AA1017" s="131">
        <v>1</v>
      </c>
      <c r="AB1017" s="131">
        <v>1</v>
      </c>
      <c r="AC1017" s="131">
        <v>1</v>
      </c>
      <c r="AD1017" s="131">
        <v>1</v>
      </c>
      <c r="AE1017" s="131">
        <v>1</v>
      </c>
      <c r="AF1017" s="131">
        <v>1</v>
      </c>
      <c r="AG1017" s="131">
        <v>1</v>
      </c>
      <c r="AH1017" s="131">
        <v>1</v>
      </c>
      <c r="AI1017" s="131">
        <v>1</v>
      </c>
      <c r="AJ1017" s="131">
        <v>1</v>
      </c>
      <c r="AK1017" s="131">
        <v>1</v>
      </c>
      <c r="AL1017" s="131">
        <v>1</v>
      </c>
      <c r="AM1017" s="131">
        <v>1</v>
      </c>
      <c r="AN1017" s="131">
        <v>1</v>
      </c>
      <c r="AO1017" s="131">
        <v>1</v>
      </c>
      <c r="AP1017" s="131">
        <v>1</v>
      </c>
      <c r="AQ1017" s="131">
        <v>1</v>
      </c>
      <c r="AR1017" s="131">
        <v>1</v>
      </c>
      <c r="AS1017" s="131">
        <v>1</v>
      </c>
      <c r="AT1017" s="131">
        <v>1</v>
      </c>
      <c r="AU1017" s="131">
        <v>1</v>
      </c>
      <c r="AV1017" s="131">
        <v>1</v>
      </c>
      <c r="AW1017" s="131">
        <v>1</v>
      </c>
      <c r="AX1017" s="131">
        <v>1</v>
      </c>
      <c r="AY1017" s="131">
        <v>1</v>
      </c>
      <c r="AZ1017" s="131">
        <v>1</v>
      </c>
      <c r="BA1017" s="131">
        <v>1</v>
      </c>
      <c r="BB1017" s="131">
        <v>1</v>
      </c>
      <c r="BC1017" s="131">
        <v>1</v>
      </c>
      <c r="BD1017" s="131">
        <v>1</v>
      </c>
      <c r="BE1017" s="131">
        <v>1</v>
      </c>
      <c r="BF1017" s="131">
        <v>1</v>
      </c>
      <c r="BG1017" s="131">
        <v>1</v>
      </c>
    </row>
    <row r="1018" spans="1:59" ht="15" customHeight="1">
      <c r="A1018" s="141" t="s">
        <v>644</v>
      </c>
      <c r="F1018" s="168" t="s">
        <v>675</v>
      </c>
      <c r="G1018" s="109" t="s">
        <v>3</v>
      </c>
      <c r="J1018" s="131">
        <v>1</v>
      </c>
      <c r="K1018" s="131">
        <v>1</v>
      </c>
      <c r="L1018" s="131">
        <v>1</v>
      </c>
      <c r="M1018" s="131">
        <v>1</v>
      </c>
      <c r="N1018" s="131">
        <v>1</v>
      </c>
      <c r="O1018" s="131">
        <v>1</v>
      </c>
      <c r="P1018" s="131">
        <v>1</v>
      </c>
      <c r="Q1018" s="131">
        <v>1</v>
      </c>
      <c r="R1018" s="131">
        <v>1</v>
      </c>
      <c r="S1018" s="131">
        <v>1</v>
      </c>
      <c r="T1018" s="131">
        <v>1</v>
      </c>
      <c r="U1018" s="131">
        <v>1</v>
      </c>
      <c r="V1018" s="131">
        <v>1</v>
      </c>
      <c r="W1018" s="131">
        <v>1</v>
      </c>
      <c r="X1018" s="131">
        <v>1</v>
      </c>
      <c r="Y1018" s="131">
        <v>1</v>
      </c>
      <c r="Z1018" s="131">
        <v>1</v>
      </c>
      <c r="AA1018" s="131">
        <v>1</v>
      </c>
      <c r="AB1018" s="131">
        <v>1</v>
      </c>
      <c r="AC1018" s="131">
        <v>1</v>
      </c>
      <c r="AD1018" s="131">
        <v>1</v>
      </c>
      <c r="AE1018" s="131">
        <v>1</v>
      </c>
      <c r="AF1018" s="131">
        <v>1</v>
      </c>
      <c r="AG1018" s="131">
        <v>1</v>
      </c>
      <c r="AH1018" s="131">
        <v>1</v>
      </c>
      <c r="AI1018" s="131">
        <v>1</v>
      </c>
      <c r="AJ1018" s="131">
        <v>1</v>
      </c>
      <c r="AK1018" s="131">
        <v>1</v>
      </c>
      <c r="AL1018" s="131">
        <v>1</v>
      </c>
      <c r="AM1018" s="131">
        <v>1</v>
      </c>
      <c r="AN1018" s="131">
        <v>1</v>
      </c>
      <c r="AO1018" s="131">
        <v>1</v>
      </c>
      <c r="AP1018" s="131">
        <v>1</v>
      </c>
      <c r="AQ1018" s="131">
        <v>1</v>
      </c>
      <c r="AR1018" s="131">
        <v>1</v>
      </c>
      <c r="AS1018" s="131">
        <v>1</v>
      </c>
      <c r="AT1018" s="131">
        <v>1</v>
      </c>
      <c r="AU1018" s="131">
        <v>1</v>
      </c>
      <c r="AV1018" s="131">
        <v>1</v>
      </c>
      <c r="AW1018" s="131">
        <v>1</v>
      </c>
      <c r="AX1018" s="131">
        <v>1</v>
      </c>
      <c r="AY1018" s="131">
        <v>1</v>
      </c>
      <c r="AZ1018" s="131">
        <v>1</v>
      </c>
      <c r="BA1018" s="131">
        <v>1</v>
      </c>
      <c r="BB1018" s="131">
        <v>1</v>
      </c>
      <c r="BC1018" s="131">
        <v>1</v>
      </c>
      <c r="BD1018" s="131">
        <v>1</v>
      </c>
      <c r="BE1018" s="131">
        <v>1</v>
      </c>
      <c r="BF1018" s="131">
        <v>1</v>
      </c>
      <c r="BG1018" s="131">
        <v>1</v>
      </c>
    </row>
    <row r="1019" spans="1:59" ht="15" customHeight="1">
      <c r="A1019" s="141" t="s">
        <v>644</v>
      </c>
      <c r="F1019" s="168" t="s">
        <v>676</v>
      </c>
      <c r="G1019" s="109" t="s">
        <v>3</v>
      </c>
      <c r="J1019" s="131">
        <v>1</v>
      </c>
      <c r="K1019" s="131">
        <v>1</v>
      </c>
      <c r="L1019" s="131">
        <v>1</v>
      </c>
      <c r="M1019" s="131">
        <v>1</v>
      </c>
      <c r="N1019" s="131">
        <v>1</v>
      </c>
      <c r="O1019" s="131">
        <v>1</v>
      </c>
      <c r="P1019" s="131">
        <v>1</v>
      </c>
      <c r="Q1019" s="131">
        <v>1</v>
      </c>
      <c r="R1019" s="131">
        <v>1</v>
      </c>
      <c r="S1019" s="131">
        <v>1</v>
      </c>
      <c r="T1019" s="131">
        <v>1</v>
      </c>
      <c r="U1019" s="131">
        <v>1</v>
      </c>
      <c r="V1019" s="131">
        <v>1</v>
      </c>
      <c r="W1019" s="131">
        <v>1</v>
      </c>
      <c r="X1019" s="131">
        <v>1</v>
      </c>
      <c r="Y1019" s="131">
        <v>1</v>
      </c>
      <c r="Z1019" s="131">
        <v>1</v>
      </c>
      <c r="AA1019" s="131">
        <v>1</v>
      </c>
      <c r="AB1019" s="131">
        <v>1</v>
      </c>
      <c r="AC1019" s="131">
        <v>1</v>
      </c>
      <c r="AD1019" s="131">
        <v>1</v>
      </c>
      <c r="AE1019" s="131">
        <v>1</v>
      </c>
      <c r="AF1019" s="131">
        <v>1</v>
      </c>
      <c r="AG1019" s="131">
        <v>1</v>
      </c>
      <c r="AH1019" s="131">
        <v>1</v>
      </c>
      <c r="AI1019" s="131">
        <v>1</v>
      </c>
      <c r="AJ1019" s="131">
        <v>1</v>
      </c>
      <c r="AK1019" s="131">
        <v>1</v>
      </c>
      <c r="AL1019" s="131">
        <v>1</v>
      </c>
      <c r="AM1019" s="131">
        <v>1</v>
      </c>
      <c r="AN1019" s="131">
        <v>1</v>
      </c>
      <c r="AO1019" s="131">
        <v>1</v>
      </c>
      <c r="AP1019" s="131">
        <v>1</v>
      </c>
      <c r="AQ1019" s="131">
        <v>1</v>
      </c>
      <c r="AR1019" s="131">
        <v>1</v>
      </c>
      <c r="AS1019" s="131">
        <v>1</v>
      </c>
      <c r="AT1019" s="131">
        <v>1</v>
      </c>
      <c r="AU1019" s="131">
        <v>1</v>
      </c>
      <c r="AV1019" s="131">
        <v>1</v>
      </c>
      <c r="AW1019" s="131">
        <v>1</v>
      </c>
      <c r="AX1019" s="131">
        <v>1</v>
      </c>
      <c r="AY1019" s="131">
        <v>1</v>
      </c>
      <c r="AZ1019" s="131">
        <v>1</v>
      </c>
      <c r="BA1019" s="131">
        <v>1</v>
      </c>
      <c r="BB1019" s="131">
        <v>1</v>
      </c>
      <c r="BC1019" s="131">
        <v>1</v>
      </c>
      <c r="BD1019" s="131">
        <v>1</v>
      </c>
      <c r="BE1019" s="131">
        <v>1</v>
      </c>
      <c r="BF1019" s="131">
        <v>1</v>
      </c>
      <c r="BG1019" s="131">
        <v>1</v>
      </c>
    </row>
    <row r="1020" spans="1:59" ht="15" customHeight="1">
      <c r="A1020" s="141" t="s">
        <v>644</v>
      </c>
      <c r="F1020" s="168" t="s">
        <v>677</v>
      </c>
      <c r="G1020" s="109" t="s">
        <v>3</v>
      </c>
      <c r="J1020" s="131">
        <v>1</v>
      </c>
      <c r="K1020" s="131">
        <v>1</v>
      </c>
      <c r="L1020" s="131">
        <v>1</v>
      </c>
      <c r="M1020" s="131">
        <v>1</v>
      </c>
      <c r="N1020" s="131">
        <v>1</v>
      </c>
      <c r="O1020" s="131">
        <v>1</v>
      </c>
      <c r="P1020" s="131">
        <v>1</v>
      </c>
      <c r="Q1020" s="131">
        <v>1</v>
      </c>
      <c r="R1020" s="131">
        <v>1</v>
      </c>
      <c r="S1020" s="131">
        <v>1</v>
      </c>
      <c r="T1020" s="131">
        <v>1</v>
      </c>
      <c r="U1020" s="131">
        <v>1</v>
      </c>
      <c r="V1020" s="131">
        <v>1</v>
      </c>
      <c r="W1020" s="131">
        <v>1</v>
      </c>
      <c r="X1020" s="131">
        <v>1</v>
      </c>
      <c r="Y1020" s="131">
        <v>1</v>
      </c>
      <c r="Z1020" s="131">
        <v>1</v>
      </c>
      <c r="AA1020" s="131">
        <v>1</v>
      </c>
      <c r="AB1020" s="131">
        <v>1</v>
      </c>
      <c r="AC1020" s="131">
        <v>1</v>
      </c>
      <c r="AD1020" s="131">
        <v>1</v>
      </c>
      <c r="AE1020" s="131">
        <v>1</v>
      </c>
      <c r="AF1020" s="131">
        <v>1</v>
      </c>
      <c r="AG1020" s="131">
        <v>1</v>
      </c>
      <c r="AH1020" s="131">
        <v>1</v>
      </c>
      <c r="AI1020" s="131">
        <v>1</v>
      </c>
      <c r="AJ1020" s="131">
        <v>1</v>
      </c>
      <c r="AK1020" s="131">
        <v>1</v>
      </c>
      <c r="AL1020" s="131">
        <v>1</v>
      </c>
      <c r="AM1020" s="131">
        <v>1</v>
      </c>
      <c r="AN1020" s="131">
        <v>1</v>
      </c>
      <c r="AO1020" s="131">
        <v>1</v>
      </c>
      <c r="AP1020" s="131">
        <v>1</v>
      </c>
      <c r="AQ1020" s="131">
        <v>1</v>
      </c>
      <c r="AR1020" s="131">
        <v>1</v>
      </c>
      <c r="AS1020" s="131">
        <v>1</v>
      </c>
      <c r="AT1020" s="131">
        <v>1</v>
      </c>
      <c r="AU1020" s="131">
        <v>1</v>
      </c>
      <c r="AV1020" s="131">
        <v>1</v>
      </c>
      <c r="AW1020" s="131">
        <v>1</v>
      </c>
      <c r="AX1020" s="131">
        <v>1</v>
      </c>
      <c r="AY1020" s="131">
        <v>1</v>
      </c>
      <c r="AZ1020" s="131">
        <v>1</v>
      </c>
      <c r="BA1020" s="131">
        <v>1</v>
      </c>
      <c r="BB1020" s="131">
        <v>1</v>
      </c>
      <c r="BC1020" s="131">
        <v>1</v>
      </c>
      <c r="BD1020" s="131">
        <v>1</v>
      </c>
      <c r="BE1020" s="131">
        <v>1</v>
      </c>
      <c r="BF1020" s="131">
        <v>1</v>
      </c>
      <c r="BG1020" s="131">
        <v>1</v>
      </c>
    </row>
    <row r="1021" spans="1:59" ht="15" customHeight="1">
      <c r="A1021" s="141" t="s">
        <v>644</v>
      </c>
      <c r="F1021" s="168" t="s">
        <v>678</v>
      </c>
      <c r="G1021" s="109" t="s">
        <v>3</v>
      </c>
      <c r="J1021" s="131">
        <v>1</v>
      </c>
      <c r="K1021" s="131">
        <v>1</v>
      </c>
      <c r="L1021" s="131">
        <v>1</v>
      </c>
      <c r="M1021" s="131">
        <v>1</v>
      </c>
      <c r="N1021" s="131">
        <v>1</v>
      </c>
      <c r="O1021" s="131">
        <v>1</v>
      </c>
      <c r="P1021" s="131">
        <v>1</v>
      </c>
      <c r="Q1021" s="131">
        <v>1</v>
      </c>
      <c r="R1021" s="131">
        <v>1</v>
      </c>
      <c r="S1021" s="131">
        <v>1</v>
      </c>
      <c r="T1021" s="131">
        <v>1</v>
      </c>
      <c r="U1021" s="131">
        <v>1</v>
      </c>
      <c r="V1021" s="131">
        <v>1</v>
      </c>
      <c r="W1021" s="131">
        <v>1</v>
      </c>
      <c r="X1021" s="131">
        <v>1</v>
      </c>
      <c r="Y1021" s="131">
        <v>1</v>
      </c>
      <c r="Z1021" s="131">
        <v>1</v>
      </c>
      <c r="AA1021" s="131">
        <v>1</v>
      </c>
      <c r="AB1021" s="131">
        <v>1</v>
      </c>
      <c r="AC1021" s="131">
        <v>1</v>
      </c>
      <c r="AD1021" s="131">
        <v>1</v>
      </c>
      <c r="AE1021" s="131">
        <v>1</v>
      </c>
      <c r="AF1021" s="131">
        <v>1</v>
      </c>
      <c r="AG1021" s="131">
        <v>1</v>
      </c>
      <c r="AH1021" s="131">
        <v>1</v>
      </c>
      <c r="AI1021" s="131">
        <v>1</v>
      </c>
      <c r="AJ1021" s="131">
        <v>1</v>
      </c>
      <c r="AK1021" s="131">
        <v>1</v>
      </c>
      <c r="AL1021" s="131">
        <v>1</v>
      </c>
      <c r="AM1021" s="131">
        <v>1</v>
      </c>
      <c r="AN1021" s="131">
        <v>1</v>
      </c>
      <c r="AO1021" s="131">
        <v>1</v>
      </c>
      <c r="AP1021" s="131">
        <v>1</v>
      </c>
      <c r="AQ1021" s="131">
        <v>1</v>
      </c>
      <c r="AR1021" s="131">
        <v>1</v>
      </c>
      <c r="AS1021" s="131">
        <v>1</v>
      </c>
      <c r="AT1021" s="131">
        <v>1</v>
      </c>
      <c r="AU1021" s="131">
        <v>1</v>
      </c>
      <c r="AV1021" s="131">
        <v>1</v>
      </c>
      <c r="AW1021" s="131">
        <v>1</v>
      </c>
      <c r="AX1021" s="131">
        <v>1</v>
      </c>
      <c r="AY1021" s="131">
        <v>1</v>
      </c>
      <c r="AZ1021" s="131">
        <v>1</v>
      </c>
      <c r="BA1021" s="131">
        <v>1</v>
      </c>
      <c r="BB1021" s="131">
        <v>1</v>
      </c>
      <c r="BC1021" s="131">
        <v>1</v>
      </c>
      <c r="BD1021" s="131">
        <v>1</v>
      </c>
      <c r="BE1021" s="131">
        <v>1</v>
      </c>
      <c r="BF1021" s="131">
        <v>1</v>
      </c>
      <c r="BG1021" s="131">
        <v>1</v>
      </c>
    </row>
    <row r="1022" spans="1:59" ht="15" customHeight="1">
      <c r="A1022" s="141" t="s">
        <v>644</v>
      </c>
      <c r="F1022" s="168" t="s">
        <v>679</v>
      </c>
      <c r="G1022" s="109" t="s">
        <v>3</v>
      </c>
      <c r="J1022" s="131">
        <v>1</v>
      </c>
      <c r="K1022" s="131">
        <v>1</v>
      </c>
      <c r="L1022" s="131">
        <v>1</v>
      </c>
      <c r="M1022" s="131">
        <v>1</v>
      </c>
      <c r="N1022" s="131">
        <v>1</v>
      </c>
      <c r="O1022" s="131">
        <v>1</v>
      </c>
      <c r="P1022" s="131">
        <v>1</v>
      </c>
      <c r="Q1022" s="131">
        <v>1</v>
      </c>
      <c r="R1022" s="131">
        <v>1</v>
      </c>
      <c r="S1022" s="131">
        <v>1</v>
      </c>
      <c r="T1022" s="131">
        <v>1</v>
      </c>
      <c r="U1022" s="131">
        <v>1</v>
      </c>
      <c r="V1022" s="131">
        <v>1</v>
      </c>
      <c r="W1022" s="131">
        <v>1</v>
      </c>
      <c r="X1022" s="131">
        <v>1</v>
      </c>
      <c r="Y1022" s="131">
        <v>1</v>
      </c>
      <c r="Z1022" s="131">
        <v>1</v>
      </c>
      <c r="AA1022" s="131">
        <v>1</v>
      </c>
      <c r="AB1022" s="131">
        <v>1</v>
      </c>
      <c r="AC1022" s="131">
        <v>1</v>
      </c>
      <c r="AD1022" s="131">
        <v>1</v>
      </c>
      <c r="AE1022" s="131">
        <v>1</v>
      </c>
      <c r="AF1022" s="131">
        <v>1</v>
      </c>
      <c r="AG1022" s="131">
        <v>1</v>
      </c>
      <c r="AH1022" s="131">
        <v>1</v>
      </c>
      <c r="AI1022" s="131">
        <v>1</v>
      </c>
      <c r="AJ1022" s="131">
        <v>1</v>
      </c>
      <c r="AK1022" s="131">
        <v>1</v>
      </c>
      <c r="AL1022" s="131">
        <v>1</v>
      </c>
      <c r="AM1022" s="131">
        <v>1</v>
      </c>
      <c r="AN1022" s="131">
        <v>1</v>
      </c>
      <c r="AO1022" s="131">
        <v>1</v>
      </c>
      <c r="AP1022" s="131">
        <v>1</v>
      </c>
      <c r="AQ1022" s="131">
        <v>1</v>
      </c>
      <c r="AR1022" s="131">
        <v>1</v>
      </c>
      <c r="AS1022" s="131">
        <v>1</v>
      </c>
      <c r="AT1022" s="131">
        <v>1</v>
      </c>
      <c r="AU1022" s="131">
        <v>1</v>
      </c>
      <c r="AV1022" s="131">
        <v>1</v>
      </c>
      <c r="AW1022" s="131">
        <v>1</v>
      </c>
      <c r="AX1022" s="131">
        <v>1</v>
      </c>
      <c r="AY1022" s="131">
        <v>1</v>
      </c>
      <c r="AZ1022" s="131">
        <v>1</v>
      </c>
      <c r="BA1022" s="131">
        <v>1</v>
      </c>
      <c r="BB1022" s="131">
        <v>1</v>
      </c>
      <c r="BC1022" s="131">
        <v>1</v>
      </c>
      <c r="BD1022" s="131">
        <v>1</v>
      </c>
      <c r="BE1022" s="131">
        <v>1</v>
      </c>
      <c r="BF1022" s="131">
        <v>1</v>
      </c>
      <c r="BG1022" s="131">
        <v>1</v>
      </c>
    </row>
    <row r="1023" spans="1:59" ht="15" customHeight="1">
      <c r="A1023" s="141" t="s">
        <v>644</v>
      </c>
      <c r="F1023" s="168" t="s">
        <v>680</v>
      </c>
      <c r="G1023" s="109" t="s">
        <v>3</v>
      </c>
      <c r="J1023" s="131">
        <v>1</v>
      </c>
      <c r="K1023" s="131">
        <v>1</v>
      </c>
      <c r="L1023" s="131">
        <v>1</v>
      </c>
      <c r="M1023" s="131">
        <v>1</v>
      </c>
      <c r="N1023" s="131">
        <v>1</v>
      </c>
      <c r="O1023" s="131">
        <v>1</v>
      </c>
      <c r="P1023" s="131">
        <v>1</v>
      </c>
      <c r="Q1023" s="131">
        <v>1</v>
      </c>
      <c r="R1023" s="131">
        <v>1</v>
      </c>
      <c r="S1023" s="131">
        <v>1</v>
      </c>
      <c r="T1023" s="131">
        <v>1</v>
      </c>
      <c r="U1023" s="131">
        <v>1</v>
      </c>
      <c r="V1023" s="131">
        <v>1</v>
      </c>
      <c r="W1023" s="131">
        <v>1</v>
      </c>
      <c r="X1023" s="131">
        <v>1</v>
      </c>
      <c r="Y1023" s="131">
        <v>1</v>
      </c>
      <c r="Z1023" s="131">
        <v>1</v>
      </c>
      <c r="AA1023" s="131">
        <v>1</v>
      </c>
      <c r="AB1023" s="131">
        <v>1</v>
      </c>
      <c r="AC1023" s="131">
        <v>1</v>
      </c>
      <c r="AD1023" s="131">
        <v>1</v>
      </c>
      <c r="AE1023" s="131">
        <v>1</v>
      </c>
      <c r="AF1023" s="131">
        <v>1</v>
      </c>
      <c r="AG1023" s="131">
        <v>1</v>
      </c>
      <c r="AH1023" s="131">
        <v>1</v>
      </c>
      <c r="AI1023" s="131">
        <v>1</v>
      </c>
      <c r="AJ1023" s="131">
        <v>1</v>
      </c>
      <c r="AK1023" s="131">
        <v>1</v>
      </c>
      <c r="AL1023" s="131">
        <v>1</v>
      </c>
      <c r="AM1023" s="131">
        <v>1</v>
      </c>
      <c r="AN1023" s="131">
        <v>1</v>
      </c>
      <c r="AO1023" s="131">
        <v>1</v>
      </c>
      <c r="AP1023" s="131">
        <v>1</v>
      </c>
      <c r="AQ1023" s="131">
        <v>1</v>
      </c>
      <c r="AR1023" s="131">
        <v>1</v>
      </c>
      <c r="AS1023" s="131">
        <v>1</v>
      </c>
      <c r="AT1023" s="131">
        <v>1</v>
      </c>
      <c r="AU1023" s="131">
        <v>1</v>
      </c>
      <c r="AV1023" s="131">
        <v>1</v>
      </c>
      <c r="AW1023" s="131">
        <v>1</v>
      </c>
      <c r="AX1023" s="131">
        <v>1</v>
      </c>
      <c r="AY1023" s="131">
        <v>1</v>
      </c>
      <c r="AZ1023" s="131">
        <v>1</v>
      </c>
      <c r="BA1023" s="131">
        <v>1</v>
      </c>
      <c r="BB1023" s="131">
        <v>1</v>
      </c>
      <c r="BC1023" s="131">
        <v>1</v>
      </c>
      <c r="BD1023" s="131">
        <v>1</v>
      </c>
      <c r="BE1023" s="131">
        <v>1</v>
      </c>
      <c r="BF1023" s="131">
        <v>1</v>
      </c>
      <c r="BG1023" s="131">
        <v>1</v>
      </c>
    </row>
    <row r="1024" spans="1:59" ht="15" customHeight="1">
      <c r="A1024" s="141" t="s">
        <v>644</v>
      </c>
      <c r="F1024" s="168" t="s">
        <v>681</v>
      </c>
      <c r="G1024" s="109" t="s">
        <v>3</v>
      </c>
      <c r="J1024" s="131">
        <v>1</v>
      </c>
      <c r="K1024" s="131">
        <v>1</v>
      </c>
      <c r="L1024" s="131">
        <v>1</v>
      </c>
      <c r="M1024" s="131">
        <v>1</v>
      </c>
      <c r="N1024" s="131">
        <v>1</v>
      </c>
      <c r="O1024" s="131">
        <v>1</v>
      </c>
      <c r="P1024" s="131">
        <v>1</v>
      </c>
      <c r="Q1024" s="131">
        <v>1</v>
      </c>
      <c r="R1024" s="131">
        <v>1</v>
      </c>
      <c r="S1024" s="131">
        <v>1</v>
      </c>
      <c r="T1024" s="131">
        <v>1</v>
      </c>
      <c r="U1024" s="131">
        <v>1</v>
      </c>
      <c r="V1024" s="131">
        <v>1</v>
      </c>
      <c r="W1024" s="131">
        <v>1</v>
      </c>
      <c r="X1024" s="131">
        <v>1</v>
      </c>
      <c r="Y1024" s="131">
        <v>1</v>
      </c>
      <c r="Z1024" s="131">
        <v>1</v>
      </c>
      <c r="AA1024" s="131">
        <v>1</v>
      </c>
      <c r="AB1024" s="131">
        <v>1</v>
      </c>
      <c r="AC1024" s="131">
        <v>1</v>
      </c>
      <c r="AD1024" s="131">
        <v>1</v>
      </c>
      <c r="AE1024" s="131">
        <v>1</v>
      </c>
      <c r="AF1024" s="131">
        <v>1</v>
      </c>
      <c r="AG1024" s="131">
        <v>1</v>
      </c>
      <c r="AH1024" s="131">
        <v>1</v>
      </c>
      <c r="AI1024" s="131">
        <v>1</v>
      </c>
      <c r="AJ1024" s="131">
        <v>1</v>
      </c>
      <c r="AK1024" s="131">
        <v>1</v>
      </c>
      <c r="AL1024" s="131">
        <v>1</v>
      </c>
      <c r="AM1024" s="131">
        <v>1</v>
      </c>
      <c r="AN1024" s="131">
        <v>1</v>
      </c>
      <c r="AO1024" s="131">
        <v>1</v>
      </c>
      <c r="AP1024" s="131">
        <v>1</v>
      </c>
      <c r="AQ1024" s="131">
        <v>1</v>
      </c>
      <c r="AR1024" s="131">
        <v>1</v>
      </c>
      <c r="AS1024" s="131">
        <v>1</v>
      </c>
      <c r="AT1024" s="131">
        <v>1</v>
      </c>
      <c r="AU1024" s="131">
        <v>1</v>
      </c>
      <c r="AV1024" s="131">
        <v>1</v>
      </c>
      <c r="AW1024" s="131">
        <v>1</v>
      </c>
      <c r="AX1024" s="131">
        <v>1</v>
      </c>
      <c r="AY1024" s="131">
        <v>1</v>
      </c>
      <c r="AZ1024" s="131">
        <v>1</v>
      </c>
      <c r="BA1024" s="131">
        <v>1</v>
      </c>
      <c r="BB1024" s="131">
        <v>1</v>
      </c>
      <c r="BC1024" s="131">
        <v>1</v>
      </c>
      <c r="BD1024" s="131">
        <v>1</v>
      </c>
      <c r="BE1024" s="131">
        <v>1</v>
      </c>
      <c r="BF1024" s="131">
        <v>1</v>
      </c>
      <c r="BG1024" s="131">
        <v>1</v>
      </c>
    </row>
    <row r="1025" spans="1:59" ht="15" customHeight="1">
      <c r="A1025" s="141" t="s">
        <v>644</v>
      </c>
      <c r="F1025" s="168" t="s">
        <v>682</v>
      </c>
      <c r="G1025" s="109" t="s">
        <v>3</v>
      </c>
      <c r="J1025" s="131">
        <v>1</v>
      </c>
      <c r="K1025" s="131">
        <v>1</v>
      </c>
      <c r="L1025" s="131">
        <v>1</v>
      </c>
      <c r="M1025" s="131">
        <v>1</v>
      </c>
      <c r="N1025" s="131">
        <v>1</v>
      </c>
      <c r="O1025" s="131">
        <v>1</v>
      </c>
      <c r="P1025" s="131">
        <v>1</v>
      </c>
      <c r="Q1025" s="131">
        <v>1</v>
      </c>
      <c r="R1025" s="131">
        <v>1</v>
      </c>
      <c r="S1025" s="131">
        <v>1</v>
      </c>
      <c r="T1025" s="131">
        <v>1</v>
      </c>
      <c r="U1025" s="131">
        <v>1</v>
      </c>
      <c r="V1025" s="131">
        <v>1</v>
      </c>
      <c r="W1025" s="131">
        <v>1</v>
      </c>
      <c r="X1025" s="131">
        <v>1</v>
      </c>
      <c r="Y1025" s="131">
        <v>1</v>
      </c>
      <c r="Z1025" s="131">
        <v>1</v>
      </c>
      <c r="AA1025" s="131">
        <v>1</v>
      </c>
      <c r="AB1025" s="131">
        <v>1</v>
      </c>
      <c r="AC1025" s="131">
        <v>1</v>
      </c>
      <c r="AD1025" s="131">
        <v>1</v>
      </c>
      <c r="AE1025" s="131">
        <v>1</v>
      </c>
      <c r="AF1025" s="131">
        <v>1</v>
      </c>
      <c r="AG1025" s="131">
        <v>1</v>
      </c>
      <c r="AH1025" s="131">
        <v>1</v>
      </c>
      <c r="AI1025" s="131">
        <v>1</v>
      </c>
      <c r="AJ1025" s="131">
        <v>1</v>
      </c>
      <c r="AK1025" s="131">
        <v>1</v>
      </c>
      <c r="AL1025" s="131">
        <v>1</v>
      </c>
      <c r="AM1025" s="131">
        <v>1</v>
      </c>
      <c r="AN1025" s="131">
        <v>1</v>
      </c>
      <c r="AO1025" s="131">
        <v>1</v>
      </c>
      <c r="AP1025" s="131">
        <v>1</v>
      </c>
      <c r="AQ1025" s="131">
        <v>1</v>
      </c>
      <c r="AR1025" s="131">
        <v>1</v>
      </c>
      <c r="AS1025" s="131">
        <v>1</v>
      </c>
      <c r="AT1025" s="131">
        <v>1</v>
      </c>
      <c r="AU1025" s="131">
        <v>1</v>
      </c>
      <c r="AV1025" s="131">
        <v>1</v>
      </c>
      <c r="AW1025" s="131">
        <v>1</v>
      </c>
      <c r="AX1025" s="131">
        <v>1</v>
      </c>
      <c r="AY1025" s="131">
        <v>1</v>
      </c>
      <c r="AZ1025" s="131">
        <v>1</v>
      </c>
      <c r="BA1025" s="131">
        <v>1</v>
      </c>
      <c r="BB1025" s="131">
        <v>1</v>
      </c>
      <c r="BC1025" s="131">
        <v>1</v>
      </c>
      <c r="BD1025" s="131">
        <v>1</v>
      </c>
      <c r="BE1025" s="131">
        <v>1</v>
      </c>
      <c r="BF1025" s="131">
        <v>1</v>
      </c>
      <c r="BG1025" s="131">
        <v>1</v>
      </c>
    </row>
    <row r="1026" spans="1:59" ht="15" customHeight="1">
      <c r="A1026" s="141" t="s">
        <v>644</v>
      </c>
      <c r="F1026" s="168" t="s">
        <v>683</v>
      </c>
      <c r="G1026" s="109" t="s">
        <v>3</v>
      </c>
      <c r="J1026" s="131">
        <v>1</v>
      </c>
      <c r="K1026" s="131">
        <v>1</v>
      </c>
      <c r="L1026" s="131">
        <v>1</v>
      </c>
      <c r="M1026" s="131">
        <v>1</v>
      </c>
      <c r="N1026" s="131">
        <v>1</v>
      </c>
      <c r="O1026" s="131">
        <v>1</v>
      </c>
      <c r="P1026" s="131">
        <v>1</v>
      </c>
      <c r="Q1026" s="131">
        <v>1</v>
      </c>
      <c r="R1026" s="131">
        <v>1</v>
      </c>
      <c r="S1026" s="131">
        <v>1</v>
      </c>
      <c r="T1026" s="131">
        <v>1</v>
      </c>
      <c r="U1026" s="131">
        <v>1</v>
      </c>
      <c r="V1026" s="131">
        <v>1</v>
      </c>
      <c r="W1026" s="131">
        <v>1</v>
      </c>
      <c r="X1026" s="131">
        <v>1</v>
      </c>
      <c r="Y1026" s="131">
        <v>1</v>
      </c>
      <c r="Z1026" s="131">
        <v>1</v>
      </c>
      <c r="AA1026" s="131">
        <v>1</v>
      </c>
      <c r="AB1026" s="131">
        <v>1</v>
      </c>
      <c r="AC1026" s="131">
        <v>1</v>
      </c>
      <c r="AD1026" s="131">
        <v>1</v>
      </c>
      <c r="AE1026" s="131">
        <v>1</v>
      </c>
      <c r="AF1026" s="131">
        <v>1</v>
      </c>
      <c r="AG1026" s="131">
        <v>1</v>
      </c>
      <c r="AH1026" s="131">
        <v>1</v>
      </c>
      <c r="AI1026" s="131">
        <v>1</v>
      </c>
      <c r="AJ1026" s="131">
        <v>1</v>
      </c>
      <c r="AK1026" s="131">
        <v>1</v>
      </c>
      <c r="AL1026" s="131">
        <v>1</v>
      </c>
      <c r="AM1026" s="131">
        <v>1</v>
      </c>
      <c r="AN1026" s="131">
        <v>1</v>
      </c>
      <c r="AO1026" s="131">
        <v>1</v>
      </c>
      <c r="AP1026" s="131">
        <v>1</v>
      </c>
      <c r="AQ1026" s="131">
        <v>1</v>
      </c>
      <c r="AR1026" s="131">
        <v>1</v>
      </c>
      <c r="AS1026" s="131">
        <v>1</v>
      </c>
      <c r="AT1026" s="131">
        <v>1</v>
      </c>
      <c r="AU1026" s="131">
        <v>1</v>
      </c>
      <c r="AV1026" s="131">
        <v>1</v>
      </c>
      <c r="AW1026" s="131">
        <v>1</v>
      </c>
      <c r="AX1026" s="131">
        <v>1</v>
      </c>
      <c r="AY1026" s="131">
        <v>1</v>
      </c>
      <c r="AZ1026" s="131">
        <v>1</v>
      </c>
      <c r="BA1026" s="131">
        <v>1</v>
      </c>
      <c r="BB1026" s="131">
        <v>1</v>
      </c>
      <c r="BC1026" s="131">
        <v>1</v>
      </c>
      <c r="BD1026" s="131">
        <v>1</v>
      </c>
      <c r="BE1026" s="131">
        <v>1</v>
      </c>
      <c r="BF1026" s="131">
        <v>1</v>
      </c>
      <c r="BG1026" s="131">
        <v>1</v>
      </c>
    </row>
    <row r="1027" spans="1:59" ht="15" customHeight="1">
      <c r="F1027" s="168"/>
    </row>
    <row r="1028" spans="1:59" ht="16">
      <c r="A1028" s="141" t="s">
        <v>644</v>
      </c>
      <c r="F1028" s="168" t="s">
        <v>684</v>
      </c>
      <c r="AE1028" s="181">
        <v>1.5516523030848235</v>
      </c>
      <c r="AF1028" s="181">
        <v>-74.575187092203706</v>
      </c>
      <c r="AG1028" s="181">
        <v>2.0727560703129</v>
      </c>
      <c r="AH1028" s="181">
        <v>-0.8700249626112686</v>
      </c>
      <c r="AI1028" s="181">
        <v>0.96393225642378788</v>
      </c>
      <c r="AJ1028" s="181">
        <v>0.96152019087393104</v>
      </c>
      <c r="AK1028" s="181">
        <v>0.9617127818014487</v>
      </c>
      <c r="AL1028" s="181">
        <v>0.95390096333294894</v>
      </c>
      <c r="AM1028" s="181">
        <v>0.9620854266180936</v>
      </c>
      <c r="AN1028" s="181">
        <v>0.96226529118424642</v>
      </c>
      <c r="AO1028" s="181">
        <v>0.9624407493985796</v>
      </c>
      <c r="AP1028" s="181">
        <v>0.96526169394689998</v>
      </c>
      <c r="AQ1028" s="181">
        <v>0.95214687623030669</v>
      </c>
      <c r="AR1028" s="181">
        <v>0.96294018019041583</v>
      </c>
      <c r="AS1028" s="181">
        <v>0.96309757549210595</v>
      </c>
      <c r="AT1028" s="181">
        <v>0.96590269031248865</v>
      </c>
      <c r="AU1028" s="181">
        <v>0.96339869636538433</v>
      </c>
      <c r="AV1028" s="181">
        <v>0.95289991819875841</v>
      </c>
      <c r="AW1028" s="181">
        <v>0.96368169178084295</v>
      </c>
      <c r="AX1028" s="181">
        <v>0.96647081074454522</v>
      </c>
      <c r="AY1028" s="181">
        <v>0.96394682384695252</v>
      </c>
      <c r="AZ1028" s="181">
        <v>0.96394682384695252</v>
      </c>
      <c r="BA1028" s="181">
        <v>0.96394682384695252</v>
      </c>
      <c r="BB1028" s="181">
        <v>0.96394682384695252</v>
      </c>
      <c r="BC1028" s="181">
        <v>0.96394682384695252</v>
      </c>
      <c r="BD1028" s="181">
        <v>0.96394682384695252</v>
      </c>
      <c r="BE1028" s="181">
        <v>0.96394682384695252</v>
      </c>
      <c r="BF1028" s="181">
        <v>0.96394682384695252</v>
      </c>
      <c r="BG1028" s="181">
        <v>0.96394682384695252</v>
      </c>
    </row>
    <row r="1029" spans="1:59" ht="16">
      <c r="A1029" s="141" t="s">
        <v>644</v>
      </c>
      <c r="F1029" s="168" t="s">
        <v>685</v>
      </c>
      <c r="AE1029" s="181">
        <v>1.4612461492751834</v>
      </c>
      <c r="AF1029" s="181">
        <v>-42.223088772134844</v>
      </c>
      <c r="AG1029" s="181">
        <v>3.085542010048512</v>
      </c>
      <c r="AH1029" s="181">
        <v>-0.12237446181173108</v>
      </c>
      <c r="AI1029" s="181">
        <v>1.030849994185381</v>
      </c>
      <c r="AJ1029" s="181">
        <v>1.0335463200149257</v>
      </c>
      <c r="AK1029" s="181">
        <v>1.0336214423058485</v>
      </c>
      <c r="AL1029" s="181">
        <v>1.0365399973983118</v>
      </c>
      <c r="AM1029" s="181">
        <v>1.0337666609079152</v>
      </c>
      <c r="AN1029" s="181">
        <v>1.0338366895797688</v>
      </c>
      <c r="AO1029" s="181">
        <v>1.0339049625270622</v>
      </c>
      <c r="AP1029" s="181">
        <v>1.0368180063432855</v>
      </c>
      <c r="AQ1029" s="181">
        <v>1.0340361691722562</v>
      </c>
      <c r="AR1029" s="181">
        <v>1.0340990802200682</v>
      </c>
      <c r="AS1029" s="181">
        <v>1.0341601897750015</v>
      </c>
      <c r="AT1029" s="181">
        <v>1.0370673464763578</v>
      </c>
      <c r="AU1029" s="181">
        <v>1.0342770127568575</v>
      </c>
      <c r="AV1029" s="181">
        <v>1.0343327411796193</v>
      </c>
      <c r="AW1029" s="181">
        <v>1.0343866975282163</v>
      </c>
      <c r="AX1029" s="181">
        <v>1.0372878987691145</v>
      </c>
      <c r="AY1029" s="181">
        <v>1.0344893653690179</v>
      </c>
      <c r="AZ1029" s="181">
        <v>1.0344893653690179</v>
      </c>
      <c r="BA1029" s="181">
        <v>1.0344893653690179</v>
      </c>
      <c r="BB1029" s="181">
        <v>1.0344893653690179</v>
      </c>
      <c r="BC1029" s="181">
        <v>1.0344893653690179</v>
      </c>
      <c r="BD1029" s="181">
        <v>1.0344893653690179</v>
      </c>
      <c r="BE1029" s="181">
        <v>1.0344893653690179</v>
      </c>
      <c r="BF1029" s="181">
        <v>1.0344893653690179</v>
      </c>
      <c r="BG1029" s="181">
        <v>1.0344893653690179</v>
      </c>
    </row>
    <row r="1030" spans="1:59" ht="16">
      <c r="A1030" s="141" t="s">
        <v>644</v>
      </c>
      <c r="F1030" s="168" t="s">
        <v>686</v>
      </c>
      <c r="AE1030" s="181">
        <v>0.98072582108814932</v>
      </c>
      <c r="AF1030" s="181">
        <v>121.47443358951773</v>
      </c>
      <c r="AG1030" s="181">
        <v>-0.92555844871176063</v>
      </c>
      <c r="AH1030" s="181">
        <v>3.878011793846365</v>
      </c>
      <c r="AI1030" s="181">
        <v>0.94438690176435225</v>
      </c>
      <c r="AJ1030" s="181">
        <v>0.94026725404908218</v>
      </c>
      <c r="AK1030" s="181">
        <v>0.9402064633677536</v>
      </c>
      <c r="AL1030" s="181">
        <v>0.94273470879485899</v>
      </c>
      <c r="AM1030" s="181">
        <v>0.94008877603552177</v>
      </c>
      <c r="AN1030" s="181">
        <v>0.94003194208436081</v>
      </c>
      <c r="AO1030" s="181">
        <v>0.93997648181728566</v>
      </c>
      <c r="AP1030" s="181">
        <v>0.942510179305872</v>
      </c>
      <c r="AQ1030" s="181">
        <v>0.93986975633094438</v>
      </c>
      <c r="AR1030" s="181">
        <v>0.93981851709195363</v>
      </c>
      <c r="AS1030" s="181">
        <v>0.93976870383615607</v>
      </c>
      <c r="AT1030" s="181">
        <v>0.94230809586832331</v>
      </c>
      <c r="AU1030" s="181">
        <v>0.93967336260187406</v>
      </c>
      <c r="AV1030" s="181">
        <v>0.93962782918044507</v>
      </c>
      <c r="AW1030" s="181">
        <v>0.93958371129929097</v>
      </c>
      <c r="AX1030" s="181">
        <v>0.94212878421159729</v>
      </c>
      <c r="AY1030" s="181">
        <v>0.93949967604969808</v>
      </c>
      <c r="AZ1030" s="181">
        <v>0.93949967604969808</v>
      </c>
      <c r="BA1030" s="181">
        <v>0.93949967604969808</v>
      </c>
      <c r="BB1030" s="181">
        <v>0.93949967604969808</v>
      </c>
      <c r="BC1030" s="181">
        <v>0.93949967604969808</v>
      </c>
      <c r="BD1030" s="181">
        <v>0.93949967604969808</v>
      </c>
      <c r="BE1030" s="181">
        <v>0.93949967604969808</v>
      </c>
      <c r="BF1030" s="181">
        <v>0.93949967604969808</v>
      </c>
      <c r="BG1030" s="181">
        <v>0.93949967604969808</v>
      </c>
    </row>
    <row r="1031" spans="1:59" ht="16">
      <c r="A1031" s="141" t="s">
        <v>644</v>
      </c>
      <c r="F1031" s="168" t="s">
        <v>687</v>
      </c>
      <c r="AE1031" s="181">
        <v>6.0786563593071656E-2</v>
      </c>
      <c r="AF1031" s="181">
        <v>-0.91991559294947611</v>
      </c>
      <c r="AG1031" s="181">
        <v>-0.20079143079809009</v>
      </c>
      <c r="AH1031" s="181">
        <v>1.0793092217908988</v>
      </c>
      <c r="AI1031" s="181">
        <v>1.0604257934688277</v>
      </c>
      <c r="AJ1031" s="181">
        <v>1.064242391234866</v>
      </c>
      <c r="AK1031" s="181">
        <v>1.0640410261341013</v>
      </c>
      <c r="AL1031" s="181">
        <v>1.0667722834161835</v>
      </c>
      <c r="AM1031" s="181">
        <v>1.0636515909584681</v>
      </c>
      <c r="AN1031" s="181">
        <v>1.0634637103038831</v>
      </c>
      <c r="AO1031" s="181">
        <v>1.0632804876477611</v>
      </c>
      <c r="AP1031" s="181">
        <v>1.0660288774589994</v>
      </c>
      <c r="AQ1031" s="181">
        <v>1.0629282255181138</v>
      </c>
      <c r="AR1031" s="181">
        <v>1.0627592545694293</v>
      </c>
      <c r="AS1031" s="181">
        <v>1.0625950798826411</v>
      </c>
      <c r="AT1031" s="181">
        <v>1.0653614093339598</v>
      </c>
      <c r="AU1031" s="181">
        <v>1.0622811113090298</v>
      </c>
      <c r="AV1031" s="181">
        <v>1.0621312840698538</v>
      </c>
      <c r="AW1031" s="181">
        <v>1.0619861879025925</v>
      </c>
      <c r="AX1031" s="181">
        <v>1.0647704314214854</v>
      </c>
      <c r="AY1031" s="181">
        <v>1.0617100094067913</v>
      </c>
      <c r="AZ1031" s="181">
        <v>1.0617100094067913</v>
      </c>
      <c r="BA1031" s="181">
        <v>1.0617100094067913</v>
      </c>
      <c r="BB1031" s="181">
        <v>1.0617100094067913</v>
      </c>
      <c r="BC1031" s="181">
        <v>1.0617100094067913</v>
      </c>
      <c r="BD1031" s="181">
        <v>1.0617100094067913</v>
      </c>
      <c r="BE1031" s="181">
        <v>1.0617100094067913</v>
      </c>
      <c r="BF1031" s="181">
        <v>1.0617100094067913</v>
      </c>
      <c r="BG1031" s="181">
        <v>1.0617100094067913</v>
      </c>
    </row>
    <row r="1032" spans="1:59" ht="16">
      <c r="A1032" s="141" t="s">
        <v>644</v>
      </c>
      <c r="F1032" s="168" t="s">
        <v>688</v>
      </c>
      <c r="AE1032" s="181">
        <v>1.8531526135043381</v>
      </c>
      <c r="AF1032" s="181">
        <v>-49.49707769794518</v>
      </c>
      <c r="AG1032" s="181">
        <v>2.082710150696403</v>
      </c>
      <c r="AH1032" s="181">
        <v>-0.86222357944137862</v>
      </c>
      <c r="AI1032" s="181">
        <v>0.9659017379693724</v>
      </c>
      <c r="AJ1032" s="181">
        <v>0.96367427634019964</v>
      </c>
      <c r="AK1032" s="181">
        <v>0.96387119775948693</v>
      </c>
      <c r="AL1032" s="181">
        <v>0.95604631014931085</v>
      </c>
      <c r="AM1032" s="181">
        <v>0.96425279562178468</v>
      </c>
      <c r="AN1032" s="181">
        <v>0.96443725289359228</v>
      </c>
      <c r="AO1032" s="181">
        <v>0.96461736185610292</v>
      </c>
      <c r="AP1032" s="181">
        <v>0.96744885989414053</v>
      </c>
      <c r="AQ1032" s="181">
        <v>0.95430934001997647</v>
      </c>
      <c r="AR1032" s="181">
        <v>0.96513095491876233</v>
      </c>
      <c r="AS1032" s="181">
        <v>0.96529309755210402</v>
      </c>
      <c r="AT1032" s="181">
        <v>0.96810888058551581</v>
      </c>
      <c r="AU1032" s="181">
        <v>0.9656036811848151</v>
      </c>
      <c r="AV1032" s="181">
        <v>0.95508568291422868</v>
      </c>
      <c r="AW1032" s="181">
        <v>0.96589602610511038</v>
      </c>
      <c r="AX1032" s="181">
        <v>0.96869574937769487</v>
      </c>
      <c r="AY1032" s="181">
        <v>0.96617031962218514</v>
      </c>
      <c r="AZ1032" s="181">
        <v>0.96394682384695252</v>
      </c>
      <c r="BA1032" s="181">
        <v>0.96394682384695252</v>
      </c>
      <c r="BB1032" s="181">
        <v>0.96394682384695252</v>
      </c>
      <c r="BC1032" s="181">
        <v>0.96394682384695252</v>
      </c>
      <c r="BD1032" s="181">
        <v>0.96394682384695252</v>
      </c>
      <c r="BE1032" s="181">
        <v>0.96394682384695252</v>
      </c>
      <c r="BF1032" s="181">
        <v>0.96394682384695252</v>
      </c>
      <c r="BG1032" s="181">
        <v>0.96394682384695252</v>
      </c>
    </row>
    <row r="1033" spans="1:59" ht="16">
      <c r="A1033" s="141" t="s">
        <v>644</v>
      </c>
      <c r="F1033" s="168" t="s">
        <v>689</v>
      </c>
      <c r="AE1033" s="181">
        <v>1.2069004585572605</v>
      </c>
      <c r="AF1033" s="181">
        <v>1.2616318626984695</v>
      </c>
      <c r="AG1033" s="181">
        <v>3.3568453526644393</v>
      </c>
      <c r="AH1033" s="181">
        <v>-0.19556493857567378</v>
      </c>
      <c r="AI1033" s="181">
        <v>1.0101738920892651</v>
      </c>
      <c r="AJ1033" s="181">
        <v>1.0112774700167346</v>
      </c>
      <c r="AK1033" s="181">
        <v>1.0113521791245421</v>
      </c>
      <c r="AL1033" s="181">
        <v>1.0142089384679522</v>
      </c>
      <c r="AM1033" s="181">
        <v>1.0114968130691204</v>
      </c>
      <c r="AN1033" s="181">
        <v>1.0115666608390448</v>
      </c>
      <c r="AO1033" s="181">
        <v>1.0116348208304904</v>
      </c>
      <c r="AP1033" s="181">
        <v>1.0144863496626237</v>
      </c>
      <c r="AQ1033" s="181">
        <v>1.0117659864810529</v>
      </c>
      <c r="AR1033" s="181">
        <v>1.0118289601755235</v>
      </c>
      <c r="AS1033" s="181">
        <v>1.0118901817468529</v>
      </c>
      <c r="AT1033" s="181">
        <v>1.0147360343666951</v>
      </c>
      <c r="AU1033" s="181">
        <v>1.0120073594226136</v>
      </c>
      <c r="AV1033" s="181">
        <v>1.0120633221677016</v>
      </c>
      <c r="AW1033" s="181">
        <v>1.0121175455270837</v>
      </c>
      <c r="AX1033" s="181">
        <v>1.0149575890161715</v>
      </c>
      <c r="AY1033" s="181">
        <v>1.0122208306517209</v>
      </c>
      <c r="AZ1033" s="181">
        <v>1.0344893653690179</v>
      </c>
      <c r="BA1033" s="181">
        <v>1.0344893653690179</v>
      </c>
      <c r="BB1033" s="181">
        <v>1.0344893653690179</v>
      </c>
      <c r="BC1033" s="181">
        <v>1.0344893653690179</v>
      </c>
      <c r="BD1033" s="181">
        <v>1.0344893653690179</v>
      </c>
      <c r="BE1033" s="181">
        <v>1.0344893653690179</v>
      </c>
      <c r="BF1033" s="181">
        <v>1.0344893653690179</v>
      </c>
      <c r="BG1033" s="181">
        <v>1.0344893653690179</v>
      </c>
    </row>
    <row r="1034" spans="1:59" ht="16">
      <c r="A1034" s="141" t="s">
        <v>644</v>
      </c>
      <c r="F1034" s="168" t="s">
        <v>690</v>
      </c>
      <c r="AE1034" s="181">
        <v>9.8904250045745407E-2</v>
      </c>
      <c r="AF1034" s="181">
        <v>52.704800662410371</v>
      </c>
      <c r="AG1034" s="181">
        <v>-0.40377558476897024</v>
      </c>
      <c r="AH1034" s="181">
        <v>3.8285073597734645</v>
      </c>
      <c r="AI1034" s="181">
        <v>0.93079354440151141</v>
      </c>
      <c r="AJ1034" s="181">
        <v>0.92563222323470207</v>
      </c>
      <c r="AK1034" s="181">
        <v>0.92557366617560111</v>
      </c>
      <c r="AL1034" s="181">
        <v>0.92806360844809555</v>
      </c>
      <c r="AM1034" s="181">
        <v>0.92546012513783871</v>
      </c>
      <c r="AN1034" s="181">
        <v>0.92540520937034021</v>
      </c>
      <c r="AO1034" s="181">
        <v>0.92535156798141271</v>
      </c>
      <c r="AP1034" s="181">
        <v>0.92784658489708316</v>
      </c>
      <c r="AQ1034" s="181">
        <v>0.92524819525712543</v>
      </c>
      <c r="AR1034" s="181">
        <v>0.92519849663626808</v>
      </c>
      <c r="AS1034" s="181">
        <v>0.92515013810415592</v>
      </c>
      <c r="AT1034" s="181">
        <v>0.92765052216665977</v>
      </c>
      <c r="AU1034" s="181">
        <v>0.92505746270833877</v>
      </c>
      <c r="AV1034" s="181">
        <v>0.92501314745305974</v>
      </c>
      <c r="AW1034" s="181">
        <v>0.92497017590564667</v>
      </c>
      <c r="AX1034" s="181">
        <v>0.92747596689913148</v>
      </c>
      <c r="AY1034" s="181">
        <v>0.92488823157414302</v>
      </c>
      <c r="AZ1034" s="181">
        <v>0.93949967604969808</v>
      </c>
      <c r="BA1034" s="181">
        <v>0.93949967604969808</v>
      </c>
      <c r="BB1034" s="181">
        <v>0.93949967604969808</v>
      </c>
      <c r="BC1034" s="181">
        <v>0.93949967604969808</v>
      </c>
      <c r="BD1034" s="181">
        <v>0.93949967604969808</v>
      </c>
      <c r="BE1034" s="181">
        <v>0.93949967604969808</v>
      </c>
      <c r="BF1034" s="181">
        <v>0.93949967604969808</v>
      </c>
      <c r="BG1034" s="181">
        <v>0.93949967604969808</v>
      </c>
    </row>
    <row r="1035" spans="1:59" ht="16">
      <c r="A1035" s="141" t="s">
        <v>644</v>
      </c>
      <c r="F1035" s="168" t="s">
        <v>691</v>
      </c>
      <c r="AE1035" s="181">
        <v>0.97376000410180452</v>
      </c>
      <c r="AF1035" s="181">
        <v>1.4213496987378759E-2</v>
      </c>
      <c r="AG1035" s="181">
        <v>-1.0015996752237899</v>
      </c>
      <c r="AH1035" s="181">
        <v>1.1931573975054697</v>
      </c>
      <c r="AI1035" s="181">
        <v>1.0925700285003381</v>
      </c>
      <c r="AJ1035" s="181">
        <v>1.0988258369937161</v>
      </c>
      <c r="AK1035" s="181">
        <v>1.0986188008126048</v>
      </c>
      <c r="AL1035" s="181">
        <v>1.1014392753466749</v>
      </c>
      <c r="AM1035" s="181">
        <v>1.098217789961637</v>
      </c>
      <c r="AN1035" s="181">
        <v>1.0980240375151022</v>
      </c>
      <c r="AO1035" s="181">
        <v>1.0978349082681673</v>
      </c>
      <c r="AP1035" s="181">
        <v>1.100672319808093</v>
      </c>
      <c r="AQ1035" s="181">
        <v>1.0974707888586359</v>
      </c>
      <c r="AR1035" s="181">
        <v>1.0972958957865668</v>
      </c>
      <c r="AS1035" s="181">
        <v>1.0971258211967625</v>
      </c>
      <c r="AT1035" s="181">
        <v>1.099981207469235</v>
      </c>
      <c r="AU1035" s="181">
        <v>1.0968001685453548</v>
      </c>
      <c r="AV1035" s="181">
        <v>1.0966445796610884</v>
      </c>
      <c r="AW1035" s="181">
        <v>1.0964937890941067</v>
      </c>
      <c r="AX1035" s="181">
        <v>1.0993673102446091</v>
      </c>
      <c r="AY1035" s="181">
        <v>1.0962064594967016</v>
      </c>
      <c r="AZ1035" s="181">
        <v>1.0617100094067913</v>
      </c>
      <c r="BA1035" s="181">
        <v>1.0617100094067913</v>
      </c>
      <c r="BB1035" s="181">
        <v>1.0617100094067913</v>
      </c>
      <c r="BC1035" s="181">
        <v>1.0617100094067913</v>
      </c>
      <c r="BD1035" s="181">
        <v>1.0617100094067913</v>
      </c>
      <c r="BE1035" s="181">
        <v>1.0617100094067913</v>
      </c>
      <c r="BF1035" s="181">
        <v>1.0617100094067913</v>
      </c>
      <c r="BG1035" s="181">
        <v>1.0617100094067913</v>
      </c>
    </row>
    <row r="1036" spans="1:59" ht="16">
      <c r="A1036" s="141" t="s">
        <v>644</v>
      </c>
      <c r="F1036" s="168" t="s">
        <v>692</v>
      </c>
      <c r="AE1036" s="181">
        <v>1.6017484485787088</v>
      </c>
      <c r="AF1036" s="181">
        <v>2.6352852455126827</v>
      </c>
      <c r="AG1036" s="181">
        <v>2.6348949031972242</v>
      </c>
      <c r="AH1036" s="181">
        <v>-0.81698545003757139</v>
      </c>
      <c r="AI1036" s="181">
        <v>0.98036698209385664</v>
      </c>
      <c r="AJ1036" s="181">
        <v>0.97901471891398917</v>
      </c>
      <c r="AK1036" s="181">
        <v>0.97917749378886942</v>
      </c>
      <c r="AL1036" s="181">
        <v>0.97118691020832215</v>
      </c>
      <c r="AM1036" s="181">
        <v>0.97948914124540298</v>
      </c>
      <c r="AN1036" s="181">
        <v>0.97963802583853909</v>
      </c>
      <c r="AO1036" s="181">
        <v>0.97978231089395018</v>
      </c>
      <c r="AP1036" s="181">
        <v>0.98262065414145028</v>
      </c>
      <c r="AQ1036" s="181">
        <v>0.96923109166221988</v>
      </c>
      <c r="AR1036" s="181">
        <v>0.98018794197413539</v>
      </c>
      <c r="AS1036" s="181">
        <v>0.98031424571808445</v>
      </c>
      <c r="AT1036" s="181">
        <v>0.98313669911947166</v>
      </c>
      <c r="AU1036" s="181">
        <v>0.9805538750417383</v>
      </c>
      <c r="AV1036" s="181">
        <v>0.96983229644220614</v>
      </c>
      <c r="AW1036" s="181">
        <v>0.98077670749823376</v>
      </c>
      <c r="AX1036" s="181">
        <v>0.98358415923593356</v>
      </c>
      <c r="AY1036" s="181">
        <v>0.98098341997405247</v>
      </c>
      <c r="AZ1036" s="181">
        <v>0.96394682384695252</v>
      </c>
      <c r="BA1036" s="181">
        <v>0.96394682384695252</v>
      </c>
      <c r="BB1036" s="181">
        <v>0.96394682384695252</v>
      </c>
      <c r="BC1036" s="181">
        <v>0.96394682384695252</v>
      </c>
      <c r="BD1036" s="181">
        <v>0.96394682384695252</v>
      </c>
      <c r="BE1036" s="181">
        <v>0.96394682384695252</v>
      </c>
      <c r="BF1036" s="181">
        <v>0.96394682384695252</v>
      </c>
      <c r="BG1036" s="181">
        <v>0.96394682384695252</v>
      </c>
    </row>
    <row r="1037" spans="1:59" ht="16">
      <c r="A1037" s="141" t="s">
        <v>644</v>
      </c>
      <c r="F1037" s="168" t="s">
        <v>693</v>
      </c>
      <c r="AE1037" s="181">
        <v>1.7863650652292344</v>
      </c>
      <c r="AF1037" s="181">
        <v>2.5700055353922351</v>
      </c>
      <c r="AG1037" s="181">
        <v>1.7634338307893762</v>
      </c>
      <c r="AH1037" s="181">
        <v>-0.12047237670544991</v>
      </c>
      <c r="AI1037" s="181">
        <v>1.0320250608375359</v>
      </c>
      <c r="AJ1037" s="181">
        <v>1.0347229843564925</v>
      </c>
      <c r="AK1037" s="181">
        <v>1.0347833815262095</v>
      </c>
      <c r="AL1037" s="181">
        <v>1.0376915023754105</v>
      </c>
      <c r="AM1037" s="181">
        <v>1.034898924984909</v>
      </c>
      <c r="AN1037" s="181">
        <v>1.0349540811576541</v>
      </c>
      <c r="AO1037" s="181">
        <v>1.0350075069363636</v>
      </c>
      <c r="AP1037" s="181">
        <v>1.0379098487361762</v>
      </c>
      <c r="AQ1037" s="181">
        <v>1.0351092290689616</v>
      </c>
      <c r="AR1037" s="181">
        <v>1.0351575643985429</v>
      </c>
      <c r="AS1037" s="181">
        <v>1.0352042467193698</v>
      </c>
      <c r="AT1037" s="181">
        <v>1.0381009474215781</v>
      </c>
      <c r="AU1037" s="181">
        <v>1.0352927598482071</v>
      </c>
      <c r="AV1037" s="181">
        <v>1.0353346497522693</v>
      </c>
      <c r="AW1037" s="181">
        <v>1.0353750043267034</v>
      </c>
      <c r="AX1037" s="181">
        <v>1.0382663801203633</v>
      </c>
      <c r="AY1037" s="181">
        <v>1.0354512437510661</v>
      </c>
      <c r="AZ1037" s="181">
        <v>1.0344893653690179</v>
      </c>
      <c r="BA1037" s="181">
        <v>1.0344893653690179</v>
      </c>
      <c r="BB1037" s="181">
        <v>1.0344893653690179</v>
      </c>
      <c r="BC1037" s="181">
        <v>1.0344893653690179</v>
      </c>
      <c r="BD1037" s="181">
        <v>1.0344893653690179</v>
      </c>
      <c r="BE1037" s="181">
        <v>1.0344893653690179</v>
      </c>
      <c r="BF1037" s="181">
        <v>1.0344893653690179</v>
      </c>
      <c r="BG1037" s="181">
        <v>1.0344893653690179</v>
      </c>
    </row>
    <row r="1038" spans="1:59" ht="16">
      <c r="A1038" s="141" t="s">
        <v>644</v>
      </c>
      <c r="F1038" s="168" t="s">
        <v>694</v>
      </c>
      <c r="AE1038" s="181">
        <v>0.371573220272222</v>
      </c>
      <c r="AF1038" s="181">
        <v>-1.2429743179902422</v>
      </c>
      <c r="AG1038" s="181">
        <v>-0.46269731305922046</v>
      </c>
      <c r="AH1038" s="181">
        <v>3.8686838533851851</v>
      </c>
      <c r="AI1038" s="181">
        <v>0.94054669473859509</v>
      </c>
      <c r="AJ1038" s="181">
        <v>0.93619383532365608</v>
      </c>
      <c r="AK1038" s="181">
        <v>0.93614168280813459</v>
      </c>
      <c r="AL1038" s="181">
        <v>0.93866870383254142</v>
      </c>
      <c r="AM1038" s="181">
        <v>0.93604179144233546</v>
      </c>
      <c r="AN1038" s="181">
        <v>0.9359940511517284</v>
      </c>
      <c r="AO1038" s="181">
        <v>0.93594777414660746</v>
      </c>
      <c r="AP1038" s="181">
        <v>0.93848064679280496</v>
      </c>
      <c r="AQ1038" s="181">
        <v>0.93585956936719672</v>
      </c>
      <c r="AR1038" s="181">
        <v>0.93581761390692331</v>
      </c>
      <c r="AS1038" s="181">
        <v>0.93577706683951289</v>
      </c>
      <c r="AT1038" s="181">
        <v>0.93831559677178866</v>
      </c>
      <c r="AU1038" s="181">
        <v>0.93570011522268071</v>
      </c>
      <c r="AV1038" s="181">
        <v>0.93566366432673342</v>
      </c>
      <c r="AW1038" s="181">
        <v>0.93562852957643083</v>
      </c>
      <c r="AX1038" s="181">
        <v>0.93817236573910068</v>
      </c>
      <c r="AY1038" s="181">
        <v>0.93556209847299332</v>
      </c>
      <c r="AZ1038" s="181">
        <v>0.93949967604969808</v>
      </c>
      <c r="BA1038" s="181">
        <v>0.93949967604969808</v>
      </c>
      <c r="BB1038" s="181">
        <v>0.93949967604969808</v>
      </c>
      <c r="BC1038" s="181">
        <v>0.93949967604969808</v>
      </c>
      <c r="BD1038" s="181">
        <v>0.93949967604969808</v>
      </c>
      <c r="BE1038" s="181">
        <v>0.93949967604969808</v>
      </c>
      <c r="BF1038" s="181">
        <v>0.93949967604969808</v>
      </c>
      <c r="BG1038" s="181">
        <v>0.93949967604969808</v>
      </c>
    </row>
    <row r="1039" spans="1:59" ht="16">
      <c r="A1039" s="141" t="s">
        <v>644</v>
      </c>
      <c r="F1039" s="168" t="s">
        <v>695</v>
      </c>
      <c r="AE1039" s="181">
        <v>0.29665835484190556</v>
      </c>
      <c r="AF1039" s="181">
        <v>8.9010490347488092E-3</v>
      </c>
      <c r="AG1039" s="181">
        <v>8.77533001933508E-2</v>
      </c>
      <c r="AH1039" s="181">
        <v>1.036398179087187</v>
      </c>
      <c r="AI1039" s="181">
        <v>1.0470196628522008</v>
      </c>
      <c r="AJ1039" s="181">
        <v>1.0500305518759414</v>
      </c>
      <c r="AK1039" s="181">
        <v>1.0498640954158116</v>
      </c>
      <c r="AL1039" s="181">
        <v>1.0525929751188101</v>
      </c>
      <c r="AM1039" s="181">
        <v>1.049545527551663</v>
      </c>
      <c r="AN1039" s="181">
        <v>1.0493933963410544</v>
      </c>
      <c r="AO1039" s="181">
        <v>1.0492460016634435</v>
      </c>
      <c r="AP1039" s="181">
        <v>1.0519927826805933</v>
      </c>
      <c r="AQ1039" s="181">
        <v>1.0489652650254</v>
      </c>
      <c r="AR1039" s="181">
        <v>1.0488318219109138</v>
      </c>
      <c r="AS1039" s="181">
        <v>1.0487029145713391</v>
      </c>
      <c r="AT1039" s="181">
        <v>1.0514670052306447</v>
      </c>
      <c r="AU1039" s="181">
        <v>1.0484584215954653</v>
      </c>
      <c r="AV1039" s="181">
        <v>1.0483426780089746</v>
      </c>
      <c r="AW1039" s="181">
        <v>1.0482311557129536</v>
      </c>
      <c r="AX1039" s="181">
        <v>1.0510114775802963</v>
      </c>
      <c r="AY1039" s="181">
        <v>1.0480204074610742</v>
      </c>
      <c r="AZ1039" s="181">
        <v>1.0617100094067913</v>
      </c>
      <c r="BA1039" s="181">
        <v>1.0617100094067913</v>
      </c>
      <c r="BB1039" s="181">
        <v>1.0617100094067913</v>
      </c>
      <c r="BC1039" s="181">
        <v>1.0617100094067913</v>
      </c>
      <c r="BD1039" s="181">
        <v>1.0617100094067913</v>
      </c>
      <c r="BE1039" s="181">
        <v>1.0617100094067913</v>
      </c>
      <c r="BF1039" s="181">
        <v>1.0617100094067913</v>
      </c>
      <c r="BG1039" s="181">
        <v>1.0617100094067913</v>
      </c>
    </row>
    <row r="1040" spans="1:59" ht="16">
      <c r="A1040" s="141" t="s">
        <v>644</v>
      </c>
      <c r="F1040" s="168" t="s">
        <v>696</v>
      </c>
      <c r="AE1040" s="181">
        <v>1.4706525208103813</v>
      </c>
      <c r="AF1040" s="181">
        <v>2.2396239934006341</v>
      </c>
      <c r="AG1040" s="181">
        <v>2.8193159407728192</v>
      </c>
      <c r="AH1040" s="181">
        <v>-0.85382329732510409</v>
      </c>
      <c r="AI1040" s="181">
        <v>0.96997510982506607</v>
      </c>
      <c r="AJ1040" s="181">
        <v>0.96781929562244839</v>
      </c>
      <c r="AK1040" s="181">
        <v>0.96798141916193836</v>
      </c>
      <c r="AL1040" s="181">
        <v>0.96008351231924249</v>
      </c>
      <c r="AM1040" s="181">
        <v>0.96829192497192007</v>
      </c>
      <c r="AN1040" s="181">
        <v>0.96844031306032241</v>
      </c>
      <c r="AO1040" s="181">
        <v>0.96858414712954588</v>
      </c>
      <c r="AP1040" s="181">
        <v>0.97139121003486584</v>
      </c>
      <c r="AQ1040" s="181">
        <v>0.95815598330677088</v>
      </c>
      <c r="AR1040" s="181">
        <v>0.9689886695747354</v>
      </c>
      <c r="AS1040" s="181">
        <v>0.96911467609933877</v>
      </c>
      <c r="AT1040" s="181">
        <v>0.97190598758582114</v>
      </c>
      <c r="AU1040" s="181">
        <v>0.9693538041855928</v>
      </c>
      <c r="AV1040" s="181">
        <v>0.95875586893126097</v>
      </c>
      <c r="AW1040" s="181">
        <v>0.96957624420989463</v>
      </c>
      <c r="AX1040" s="181">
        <v>0.97235265572559659</v>
      </c>
      <c r="AY1040" s="181">
        <v>0.96978265615049708</v>
      </c>
      <c r="AZ1040" s="181">
        <v>0.96394682384695252</v>
      </c>
      <c r="BA1040" s="181">
        <v>0.96394682384695252</v>
      </c>
      <c r="BB1040" s="181">
        <v>0.96394682384695252</v>
      </c>
      <c r="BC1040" s="181">
        <v>0.96394682384695252</v>
      </c>
      <c r="BD1040" s="181">
        <v>0.96394682384695252</v>
      </c>
      <c r="BE1040" s="181">
        <v>0.96394682384695252</v>
      </c>
      <c r="BF1040" s="181">
        <v>0.96394682384695252</v>
      </c>
      <c r="BG1040" s="181">
        <v>0.96394682384695252</v>
      </c>
    </row>
    <row r="1041" spans="1:59" ht="16">
      <c r="A1041" s="141" t="s">
        <v>644</v>
      </c>
      <c r="F1041" s="168" t="s">
        <v>697</v>
      </c>
      <c r="AE1041" s="181">
        <v>1.1654794057953557</v>
      </c>
      <c r="AF1041" s="181">
        <v>2.0592362762710601</v>
      </c>
      <c r="AG1041" s="181">
        <v>1.8245426493586017</v>
      </c>
      <c r="AH1041" s="181">
        <v>-0.13861738434393922</v>
      </c>
      <c r="AI1041" s="181">
        <v>1.026856056381696</v>
      </c>
      <c r="AJ1041" s="181">
        <v>1.0291625382650205</v>
      </c>
      <c r="AK1041" s="181">
        <v>1.0292243248670214</v>
      </c>
      <c r="AL1041" s="181">
        <v>1.032118466865213</v>
      </c>
      <c r="AM1041" s="181">
        <v>1.0293425680469837</v>
      </c>
      <c r="AN1041" s="181">
        <v>1.0293990322680238</v>
      </c>
      <c r="AO1041" s="181">
        <v>1.0294537369565149</v>
      </c>
      <c r="AP1041" s="181">
        <v>1.0323420012963604</v>
      </c>
      <c r="AQ1041" s="181">
        <v>1.0295579265052566</v>
      </c>
      <c r="AR1041" s="181">
        <v>1.0296074491679588</v>
      </c>
      <c r="AS1041" s="181">
        <v>1.0296552873268638</v>
      </c>
      <c r="AT1041" s="181">
        <v>1.0325378003300925</v>
      </c>
      <c r="AU1041" s="181">
        <v>1.0297460165981733</v>
      </c>
      <c r="AV1041" s="181">
        <v>1.0297889665468767</v>
      </c>
      <c r="AW1041" s="181">
        <v>1.0298303491385721</v>
      </c>
      <c r="AX1041" s="181">
        <v>1.0327074226265212</v>
      </c>
      <c r="AY1041" s="181">
        <v>1.0299085490183593</v>
      </c>
      <c r="AZ1041" s="181">
        <v>1.0344893653690179</v>
      </c>
      <c r="BA1041" s="181">
        <v>1.0344893653690179</v>
      </c>
      <c r="BB1041" s="181">
        <v>1.0344893653690179</v>
      </c>
      <c r="BC1041" s="181">
        <v>1.0344893653690179</v>
      </c>
      <c r="BD1041" s="181">
        <v>1.0344893653690179</v>
      </c>
      <c r="BE1041" s="181">
        <v>1.0344893653690179</v>
      </c>
      <c r="BF1041" s="181">
        <v>1.0344893653690179</v>
      </c>
      <c r="BG1041" s="181">
        <v>1.0344893653690179</v>
      </c>
    </row>
    <row r="1042" spans="1:59" ht="16">
      <c r="A1042" s="141" t="s">
        <v>644</v>
      </c>
      <c r="F1042" s="168" t="s">
        <v>698</v>
      </c>
      <c r="AE1042" s="181">
        <v>1.0945046295455951</v>
      </c>
      <c r="AF1042" s="181">
        <v>-0.32026892418272979</v>
      </c>
      <c r="AG1042" s="181">
        <v>-0.43094029649178833</v>
      </c>
      <c r="AH1042" s="181">
        <v>3.8643255242032239</v>
      </c>
      <c r="AI1042" s="181">
        <v>0.93937589153186662</v>
      </c>
      <c r="AJ1042" s="181">
        <v>0.93493940990632407</v>
      </c>
      <c r="AK1042" s="181">
        <v>0.93488863811610767</v>
      </c>
      <c r="AL1042" s="181">
        <v>0.93741350579015881</v>
      </c>
      <c r="AM1042" s="181">
        <v>0.93479135492349452</v>
      </c>
      <c r="AN1042" s="181">
        <v>0.93474484422757009</v>
      </c>
      <c r="AO1042" s="181">
        <v>0.93469974868785655</v>
      </c>
      <c r="AP1042" s="181">
        <v>0.93723029008768077</v>
      </c>
      <c r="AQ1042" s="181">
        <v>0.93461376732819235</v>
      </c>
      <c r="AR1042" s="181">
        <v>0.93457285634714793</v>
      </c>
      <c r="AS1042" s="181">
        <v>0.9345333106630066</v>
      </c>
      <c r="AT1042" s="181">
        <v>0.93706934915192308</v>
      </c>
      <c r="AU1042" s="181">
        <v>0.93445823778566595</v>
      </c>
      <c r="AV1042" s="181">
        <v>0.93442266689011377</v>
      </c>
      <c r="AW1042" s="181">
        <v>0.9343883743211262</v>
      </c>
      <c r="AX1042" s="181">
        <v>0.93692957788366782</v>
      </c>
      <c r="AY1042" s="181">
        <v>0.93432351935549696</v>
      </c>
      <c r="AZ1042" s="181">
        <v>0.93949967604969808</v>
      </c>
      <c r="BA1042" s="181">
        <v>0.93949967604969808</v>
      </c>
      <c r="BB1042" s="181">
        <v>0.93949967604969808</v>
      </c>
      <c r="BC1042" s="181">
        <v>0.93949967604969808</v>
      </c>
      <c r="BD1042" s="181">
        <v>0.93949967604969808</v>
      </c>
      <c r="BE1042" s="181">
        <v>0.93949967604969808</v>
      </c>
      <c r="BF1042" s="181">
        <v>0.93949967604969808</v>
      </c>
      <c r="BG1042" s="181">
        <v>0.93949967604969808</v>
      </c>
    </row>
    <row r="1043" spans="1:59" ht="16">
      <c r="A1043" s="141" t="s">
        <v>644</v>
      </c>
      <c r="F1043" s="168" t="s">
        <v>699</v>
      </c>
      <c r="AE1043" s="181">
        <v>0.29921574039252191</v>
      </c>
      <c r="AF1043" s="181">
        <v>1.3371263498711114E-2</v>
      </c>
      <c r="AG1043" s="181">
        <v>-0.18746147718056133</v>
      </c>
      <c r="AH1043" s="181">
        <v>1.0949152861659739</v>
      </c>
      <c r="AI1043" s="181">
        <v>1.0634816459376351</v>
      </c>
      <c r="AJ1043" s="181">
        <v>1.0677505845613053</v>
      </c>
      <c r="AK1043" s="181">
        <v>1.0675821150913938</v>
      </c>
      <c r="AL1043" s="181">
        <v>1.0703577449158799</v>
      </c>
      <c r="AM1043" s="181">
        <v>1.0672595832877194</v>
      </c>
      <c r="AN1043" s="181">
        <v>1.0671055074584299</v>
      </c>
      <c r="AO1043" s="181">
        <v>1.0669561968492471</v>
      </c>
      <c r="AP1043" s="181">
        <v>1.0697498299505055</v>
      </c>
      <c r="AQ1043" s="181">
        <v>1.0666717242484438</v>
      </c>
      <c r="AR1043" s="181">
        <v>1.0665364653968161</v>
      </c>
      <c r="AS1043" s="181">
        <v>1.0664057796050403</v>
      </c>
      <c r="AT1043" s="181">
        <v>1.0692168607769825</v>
      </c>
      <c r="AU1043" s="181">
        <v>1.0661578475371134</v>
      </c>
      <c r="AV1043" s="181">
        <v>1.0660404457321542</v>
      </c>
      <c r="AW1043" s="181">
        <v>1.065927307365153</v>
      </c>
      <c r="AX1043" s="181">
        <v>1.0687547797706802</v>
      </c>
      <c r="AY1043" s="181">
        <v>1.0657134560248476</v>
      </c>
      <c r="AZ1043" s="181">
        <v>1.0617100094067913</v>
      </c>
      <c r="BA1043" s="181">
        <v>1.0617100094067913</v>
      </c>
      <c r="BB1043" s="181">
        <v>1.0617100094067913</v>
      </c>
      <c r="BC1043" s="181">
        <v>1.0617100094067913</v>
      </c>
      <c r="BD1043" s="181">
        <v>1.0617100094067913</v>
      </c>
      <c r="BE1043" s="181">
        <v>1.0617100094067913</v>
      </c>
      <c r="BF1043" s="181">
        <v>1.0617100094067913</v>
      </c>
      <c r="BG1043" s="181">
        <v>1.0617100094067913</v>
      </c>
    </row>
    <row r="1044" spans="1:59" ht="16">
      <c r="A1044" s="141" t="s">
        <v>644</v>
      </c>
      <c r="F1044" s="168" t="s">
        <v>700</v>
      </c>
      <c r="AE1044" s="181">
        <v>1.3106324837148167</v>
      </c>
      <c r="AF1044" s="181">
        <v>-2.4212514767422748</v>
      </c>
      <c r="AG1044" s="181">
        <v>1.707256230033593E-3</v>
      </c>
      <c r="AH1044" s="181">
        <v>0.94255387035137461</v>
      </c>
      <c r="AI1044" s="181">
        <v>0.94176476563640121</v>
      </c>
      <c r="AJ1044" s="181">
        <v>0.94222794333864113</v>
      </c>
      <c r="AK1044" s="181">
        <v>0.94237162917669204</v>
      </c>
      <c r="AL1044" s="181">
        <v>0.93466744964088733</v>
      </c>
      <c r="AM1044" s="181">
        <v>0.94264574923586641</v>
      </c>
      <c r="AN1044" s="181">
        <v>0.94277625351071126</v>
      </c>
      <c r="AO1044" s="181">
        <v>0.94290244836398651</v>
      </c>
      <c r="AP1044" s="181">
        <v>0.94562172669822375</v>
      </c>
      <c r="AQ1044" s="181">
        <v>0.93272252632792729</v>
      </c>
      <c r="AR1044" s="181">
        <v>0.94325576529774668</v>
      </c>
      <c r="AS1044" s="181">
        <v>0.94336534309336306</v>
      </c>
      <c r="AT1044" s="181">
        <v>0.94606991679998098</v>
      </c>
      <c r="AU1044" s="181">
        <v>0.94357267262524058</v>
      </c>
      <c r="AV1044" s="181">
        <v>0.93324325318055479</v>
      </c>
      <c r="AW1044" s="181">
        <v>0.9437648064537344</v>
      </c>
      <c r="AX1044" s="181">
        <v>0.94645576866618142</v>
      </c>
      <c r="AY1044" s="181">
        <v>0.94394247273990761</v>
      </c>
      <c r="AZ1044" s="181">
        <v>0.96394682384695252</v>
      </c>
      <c r="BA1044" s="181">
        <v>0.96394682384695252</v>
      </c>
      <c r="BB1044" s="181">
        <v>0.96394682384695252</v>
      </c>
      <c r="BC1044" s="181">
        <v>0.96394682384695252</v>
      </c>
      <c r="BD1044" s="181">
        <v>0.96394682384695252</v>
      </c>
      <c r="BE1044" s="181">
        <v>0.96394682384695252</v>
      </c>
      <c r="BF1044" s="181">
        <v>0.96394682384695252</v>
      </c>
      <c r="BG1044" s="181">
        <v>0.96394682384695252</v>
      </c>
    </row>
    <row r="1045" spans="1:59" ht="16">
      <c r="A1045" s="141" t="s">
        <v>644</v>
      </c>
      <c r="F1045" s="168" t="s">
        <v>701</v>
      </c>
      <c r="AE1045" s="181">
        <v>1.7949633799240394</v>
      </c>
      <c r="AF1045" s="181">
        <v>2.4812511214601051E-2</v>
      </c>
      <c r="AG1045" s="181">
        <v>6.0210647153674905E-3</v>
      </c>
      <c r="AH1045" s="181">
        <v>1.0123767903779559</v>
      </c>
      <c r="AI1045" s="181">
        <v>1.0120587726413597</v>
      </c>
      <c r="AJ1045" s="181">
        <v>1.0122455368793888</v>
      </c>
      <c r="AK1045" s="181">
        <v>1.0123034174518171</v>
      </c>
      <c r="AL1045" s="181">
        <v>1.0151474598476105</v>
      </c>
      <c r="AM1045" s="181">
        <v>1.012413765699691</v>
      </c>
      <c r="AN1045" s="181">
        <v>1.0124662663056885</v>
      </c>
      <c r="AO1045" s="181">
        <v>1.0125170121334564</v>
      </c>
      <c r="AP1045" s="181">
        <v>1.015355064840826</v>
      </c>
      <c r="AQ1045" s="181">
        <v>1.0126133398868458</v>
      </c>
      <c r="AR1045" s="181">
        <v>1.012658978407325</v>
      </c>
      <c r="AS1045" s="181">
        <v>1.0127029747822467</v>
      </c>
      <c r="AT1045" s="181">
        <v>1.0155353259770374</v>
      </c>
      <c r="AU1045" s="181">
        <v>1.0127861764414994</v>
      </c>
      <c r="AV1045" s="181">
        <v>1.0128254531330863</v>
      </c>
      <c r="AW1045" s="181">
        <v>1.0128632300237761</v>
      </c>
      <c r="AX1045" s="181">
        <v>1.0156903058468554</v>
      </c>
      <c r="AY1045" s="181">
        <v>1.0129344387222612</v>
      </c>
      <c r="AZ1045" s="181">
        <v>1.0344893653690179</v>
      </c>
      <c r="BA1045" s="181">
        <v>1.0344893653690179</v>
      </c>
      <c r="BB1045" s="181">
        <v>1.0344893653690179</v>
      </c>
      <c r="BC1045" s="181">
        <v>1.0344893653690179</v>
      </c>
      <c r="BD1045" s="181">
        <v>1.0344893653690179</v>
      </c>
      <c r="BE1045" s="181">
        <v>1.0344893653690179</v>
      </c>
      <c r="BF1045" s="181">
        <v>1.0344893653690179</v>
      </c>
      <c r="BG1045" s="181">
        <v>1.0344893653690179</v>
      </c>
    </row>
    <row r="1046" spans="1:59" ht="16">
      <c r="A1046" s="141" t="s">
        <v>644</v>
      </c>
      <c r="F1046" s="168" t="s">
        <v>702</v>
      </c>
      <c r="AE1046" s="181">
        <v>0.71475408247747929</v>
      </c>
      <c r="AF1046" s="181">
        <v>6.4134356362411902</v>
      </c>
      <c r="AG1046" s="181">
        <v>1.4068013790876104</v>
      </c>
      <c r="AH1046" s="181">
        <v>0.95506517990194895</v>
      </c>
      <c r="AI1046" s="181">
        <v>0.95530242063964166</v>
      </c>
      <c r="AJ1046" s="181">
        <v>0.95516322080208771</v>
      </c>
      <c r="AK1046" s="181">
        <v>0.95512000827610966</v>
      </c>
      <c r="AL1046" s="181">
        <v>0.95770848486709992</v>
      </c>
      <c r="AM1046" s="181">
        <v>0.95503752885266691</v>
      </c>
      <c r="AN1046" s="181">
        <v>0.95499824340838868</v>
      </c>
      <c r="AO1046" s="181">
        <v>0.95496024402188007</v>
      </c>
      <c r="AP1046" s="181">
        <v>0.95755393487075813</v>
      </c>
      <c r="AQ1046" s="181">
        <v>0.95488803894885255</v>
      </c>
      <c r="AR1046" s="181">
        <v>0.95485379589055408</v>
      </c>
      <c r="AS1046" s="181">
        <v>0.95482076456130882</v>
      </c>
      <c r="AT1046" s="181">
        <v>0.95741938317653452</v>
      </c>
      <c r="AU1046" s="181">
        <v>0.95475824416641941</v>
      </c>
      <c r="AV1046" s="181">
        <v>0.95472870548971978</v>
      </c>
      <c r="AW1046" s="181">
        <v>0.95470027967789539</v>
      </c>
      <c r="AX1046" s="181">
        <v>0.95730343567679133</v>
      </c>
      <c r="AY1046" s="181">
        <v>0.95464665733395482</v>
      </c>
      <c r="AZ1046" s="181">
        <v>0.93949967604969808</v>
      </c>
      <c r="BA1046" s="181">
        <v>0.93949967604969808</v>
      </c>
      <c r="BB1046" s="181">
        <v>0.93949967604969808</v>
      </c>
      <c r="BC1046" s="181">
        <v>0.93949967604969808</v>
      </c>
      <c r="BD1046" s="181">
        <v>0.93949967604969808</v>
      </c>
      <c r="BE1046" s="181">
        <v>0.93949967604969808</v>
      </c>
      <c r="BF1046" s="181">
        <v>0.93949967604969808</v>
      </c>
      <c r="BG1046" s="181">
        <v>0.93949967604969808</v>
      </c>
    </row>
    <row r="1047" spans="1:59" ht="16">
      <c r="A1047" s="141" t="s">
        <v>644</v>
      </c>
      <c r="F1047" s="168" t="s">
        <v>703</v>
      </c>
      <c r="AE1047" s="181">
        <v>0.22190331915754033</v>
      </c>
      <c r="AF1047" s="181">
        <v>1.653661472370577E-2</v>
      </c>
      <c r="AG1047" s="181">
        <v>2.5776745273257178</v>
      </c>
      <c r="AH1047" s="181">
        <v>1.088964694839786</v>
      </c>
      <c r="AI1047" s="181">
        <v>1.0898111609219503</v>
      </c>
      <c r="AJ1047" s="181">
        <v>1.0893141783339468</v>
      </c>
      <c r="AK1047" s="181">
        <v>1.0891600840194404</v>
      </c>
      <c r="AL1047" s="181">
        <v>1.092010007112443</v>
      </c>
      <c r="AM1047" s="181">
        <v>1.0888662098789255</v>
      </c>
      <c r="AN1047" s="181">
        <v>1.0887263484473269</v>
      </c>
      <c r="AO1047" s="181">
        <v>1.0885911345287618</v>
      </c>
      <c r="AP1047" s="181">
        <v>1.0914587647301894</v>
      </c>
      <c r="AQ1047" s="181">
        <v>1.0883343924144968</v>
      </c>
      <c r="AR1047" s="181">
        <v>1.0882127184556138</v>
      </c>
      <c r="AS1047" s="181">
        <v>1.0880954019654108</v>
      </c>
      <c r="AT1047" s="181">
        <v>1.090979767483589</v>
      </c>
      <c r="AU1047" s="181">
        <v>1.0878734892367672</v>
      </c>
      <c r="AV1047" s="181">
        <v>1.0877687066174269</v>
      </c>
      <c r="AW1047" s="181">
        <v>1.0876679099622484</v>
      </c>
      <c r="AX1047" s="181">
        <v>1.0905676806182365</v>
      </c>
      <c r="AY1047" s="181">
        <v>1.0874778696433633</v>
      </c>
      <c r="AZ1047" s="181">
        <v>1.0617100094067913</v>
      </c>
      <c r="BA1047" s="181">
        <v>1.0617100094067913</v>
      </c>
      <c r="BB1047" s="181">
        <v>1.0617100094067913</v>
      </c>
      <c r="BC1047" s="181">
        <v>1.0617100094067913</v>
      </c>
      <c r="BD1047" s="181">
        <v>1.0617100094067913</v>
      </c>
      <c r="BE1047" s="181">
        <v>1.0617100094067913</v>
      </c>
      <c r="BF1047" s="181">
        <v>1.0617100094067913</v>
      </c>
      <c r="BG1047" s="181">
        <v>1.0617100094067913</v>
      </c>
    </row>
    <row r="1048" spans="1:59">
      <c r="A1048" s="141" t="s">
        <v>644</v>
      </c>
      <c r="F1048" s="168" t="s">
        <v>704</v>
      </c>
      <c r="AE1048" s="116">
        <v>0</v>
      </c>
      <c r="AF1048" s="116" t="e">
        <v>#VALUE!</v>
      </c>
      <c r="AG1048" s="116" t="e">
        <v>#VALUE!</v>
      </c>
      <c r="AH1048" s="116" t="e">
        <v>#VALUE!</v>
      </c>
      <c r="AI1048" s="116" t="e">
        <v>#VALUE!</v>
      </c>
      <c r="AJ1048" s="116" t="e">
        <v>#VALUE!</v>
      </c>
      <c r="AK1048" s="116" t="e">
        <v>#VALUE!</v>
      </c>
      <c r="AL1048" s="116" t="e">
        <v>#VALUE!</v>
      </c>
      <c r="AM1048" s="116" t="e">
        <v>#VALUE!</v>
      </c>
      <c r="AN1048" s="116" t="e">
        <v>#VALUE!</v>
      </c>
      <c r="AO1048" s="116" t="e">
        <v>#VALUE!</v>
      </c>
      <c r="AP1048" s="116" t="e">
        <v>#VALUE!</v>
      </c>
      <c r="AQ1048" s="116" t="e">
        <v>#VALUE!</v>
      </c>
      <c r="AR1048" s="116" t="e">
        <v>#VALUE!</v>
      </c>
      <c r="AS1048" s="116" t="e">
        <v>#VALUE!</v>
      </c>
      <c r="AT1048" s="116" t="e">
        <v>#VALUE!</v>
      </c>
      <c r="AU1048" s="116" t="e">
        <v>#VALUE!</v>
      </c>
      <c r="AV1048" s="116">
        <v>0.95408046724510098</v>
      </c>
      <c r="AW1048" s="116">
        <v>0.96488114839297501</v>
      </c>
      <c r="AX1048" s="116">
        <v>0.96767981134149395</v>
      </c>
      <c r="AY1048" s="116">
        <v>0.96515899314215425</v>
      </c>
      <c r="AZ1048" s="116">
        <v>0.96515899314215425</v>
      </c>
      <c r="BA1048" s="116">
        <v>0.96515899314215425</v>
      </c>
      <c r="BB1048" s="116">
        <v>0.96515899314215425</v>
      </c>
      <c r="BC1048" s="116">
        <v>0.96515899314215425</v>
      </c>
      <c r="BD1048" s="116">
        <v>0.96515899314215425</v>
      </c>
      <c r="BE1048" s="116">
        <v>0.96515899314215425</v>
      </c>
      <c r="BF1048" s="116">
        <v>0.96515899314215425</v>
      </c>
      <c r="BG1048" s="116">
        <v>0.96515899314215425</v>
      </c>
    </row>
    <row r="1049" spans="1:59">
      <c r="A1049" s="141" t="s">
        <v>644</v>
      </c>
      <c r="F1049" s="168" t="s">
        <v>705</v>
      </c>
      <c r="AE1049" s="116">
        <v>0</v>
      </c>
      <c r="AF1049" s="116" t="e">
        <v>#VALUE!</v>
      </c>
      <c r="AG1049" s="116" t="e">
        <v>#VALUE!</v>
      </c>
      <c r="AH1049" s="116" t="e">
        <v>#VALUE!</v>
      </c>
      <c r="AI1049" s="116" t="e">
        <v>#VALUE!</v>
      </c>
      <c r="AJ1049" s="116" t="e">
        <v>#VALUE!</v>
      </c>
      <c r="AK1049" s="116" t="e">
        <v>#VALUE!</v>
      </c>
      <c r="AL1049" s="116" t="e">
        <v>#VALUE!</v>
      </c>
      <c r="AM1049" s="116" t="e">
        <v>#VALUE!</v>
      </c>
      <c r="AN1049" s="116" t="e">
        <v>#VALUE!</v>
      </c>
      <c r="AO1049" s="116" t="e">
        <v>#VALUE!</v>
      </c>
      <c r="AP1049" s="116" t="e">
        <v>#VALUE!</v>
      </c>
      <c r="AQ1049" s="116" t="e">
        <v>#VALUE!</v>
      </c>
      <c r="AR1049" s="116" t="e">
        <v>#VALUE!</v>
      </c>
      <c r="AS1049" s="116" t="e">
        <v>#VALUE!</v>
      </c>
      <c r="AT1049" s="116" t="e">
        <v>#VALUE!</v>
      </c>
      <c r="AU1049" s="116" t="e">
        <v>#VALUE!</v>
      </c>
      <c r="AV1049" s="116">
        <v>1.0149818140982525</v>
      </c>
      <c r="AW1049" s="116">
        <v>1.0150370331798777</v>
      </c>
      <c r="AX1049" s="116">
        <v>1.0178860455312304</v>
      </c>
      <c r="AY1049" s="116">
        <v>1.0151422660837481</v>
      </c>
      <c r="AZ1049" s="116">
        <v>1.0151422660837481</v>
      </c>
      <c r="BA1049" s="116">
        <v>1.0151422660837481</v>
      </c>
      <c r="BB1049" s="116">
        <v>1.0151422660837481</v>
      </c>
      <c r="BC1049" s="116">
        <v>1.0151422660837481</v>
      </c>
      <c r="BD1049" s="116">
        <v>1.0151422660837481</v>
      </c>
      <c r="BE1049" s="116">
        <v>1.0151422660837481</v>
      </c>
      <c r="BF1049" s="116">
        <v>1.0151422660837481</v>
      </c>
      <c r="BG1049" s="116">
        <v>1.0151422660837481</v>
      </c>
    </row>
    <row r="1050" spans="1:59">
      <c r="A1050" s="141" t="s">
        <v>644</v>
      </c>
      <c r="F1050" s="168" t="s">
        <v>706</v>
      </c>
      <c r="AE1050" s="116">
        <v>0</v>
      </c>
      <c r="AF1050" s="116" t="e">
        <v>#VALUE!</v>
      </c>
      <c r="AG1050" s="116" t="e">
        <v>#VALUE!</v>
      </c>
      <c r="AH1050" s="116" t="e">
        <v>#VALUE!</v>
      </c>
      <c r="AI1050" s="116" t="e">
        <v>#VALUE!</v>
      </c>
      <c r="AJ1050" s="116" t="e">
        <v>#VALUE!</v>
      </c>
      <c r="AK1050" s="116" t="e">
        <v>#VALUE!</v>
      </c>
      <c r="AL1050" s="116" t="e">
        <v>#VALUE!</v>
      </c>
      <c r="AM1050" s="116" t="e">
        <v>#VALUE!</v>
      </c>
      <c r="AN1050" s="116" t="e">
        <v>#VALUE!</v>
      </c>
      <c r="AO1050" s="116" t="e">
        <v>#VALUE!</v>
      </c>
      <c r="AP1050" s="116" t="e">
        <v>#VALUE!</v>
      </c>
      <c r="AQ1050" s="116" t="e">
        <v>#VALUE!</v>
      </c>
      <c r="AR1050" s="116" t="e">
        <v>#VALUE!</v>
      </c>
      <c r="AS1050" s="116" t="e">
        <v>#VALUE!</v>
      </c>
      <c r="AT1050" s="116" t="e">
        <v>#VALUE!</v>
      </c>
      <c r="AU1050" s="116" t="e">
        <v>#VALUE!</v>
      </c>
      <c r="AV1050" s="116">
        <v>0.96206768726531566</v>
      </c>
      <c r="AW1050" s="116">
        <v>0.96202221039318669</v>
      </c>
      <c r="AX1050" s="116">
        <v>0.96462754718016064</v>
      </c>
      <c r="AY1050" s="116">
        <v>0.9619354454944784</v>
      </c>
      <c r="AZ1050" s="116">
        <v>0.9619354454944784</v>
      </c>
      <c r="BA1050" s="116">
        <v>0.9619354454944784</v>
      </c>
      <c r="BB1050" s="116">
        <v>0.9619354454944784</v>
      </c>
      <c r="BC1050" s="116">
        <v>0.9619354454944784</v>
      </c>
      <c r="BD1050" s="116">
        <v>0.9619354454944784</v>
      </c>
      <c r="BE1050" s="116">
        <v>0.9619354454944784</v>
      </c>
      <c r="BF1050" s="116">
        <v>0.9619354454944784</v>
      </c>
      <c r="BG1050" s="116">
        <v>0.9619354454944784</v>
      </c>
    </row>
    <row r="1051" spans="1:59">
      <c r="A1051" s="141" t="s">
        <v>644</v>
      </c>
      <c r="F1051" s="168" t="s">
        <v>707</v>
      </c>
      <c r="AE1051" s="116">
        <v>0</v>
      </c>
      <c r="AF1051" s="116" t="e">
        <v>#VALUE!</v>
      </c>
      <c r="AG1051" s="116" t="e">
        <v>#VALUE!</v>
      </c>
      <c r="AH1051" s="116" t="e">
        <v>#VALUE!</v>
      </c>
      <c r="AI1051" s="116" t="e">
        <v>#VALUE!</v>
      </c>
      <c r="AJ1051" s="116" t="e">
        <v>#VALUE!</v>
      </c>
      <c r="AK1051" s="116" t="e">
        <v>#VALUE!</v>
      </c>
      <c r="AL1051" s="116" t="e">
        <v>#VALUE!</v>
      </c>
      <c r="AM1051" s="116" t="e">
        <v>#VALUE!</v>
      </c>
      <c r="AN1051" s="116" t="e">
        <v>#VALUE!</v>
      </c>
      <c r="AO1051" s="116" t="e">
        <v>#VALUE!</v>
      </c>
      <c r="AP1051" s="116" t="e">
        <v>#VALUE!</v>
      </c>
      <c r="AQ1051" s="116" t="e">
        <v>#VALUE!</v>
      </c>
      <c r="AR1051" s="116" t="e">
        <v>#VALUE!</v>
      </c>
      <c r="AS1051" s="116" t="e">
        <v>#VALUE!</v>
      </c>
      <c r="AT1051" s="116" t="e">
        <v>#VALUE!</v>
      </c>
      <c r="AU1051" s="116" t="e">
        <v>#VALUE!</v>
      </c>
      <c r="AV1051" s="116">
        <v>1.0576459146532273</v>
      </c>
      <c r="AW1051" s="116">
        <v>1.0574944497390799</v>
      </c>
      <c r="AX1051" s="116">
        <v>1.0602597988351747</v>
      </c>
      <c r="AY1051" s="116">
        <v>1.0572056991610173</v>
      </c>
      <c r="AZ1051" s="116">
        <v>1.0572056991610173</v>
      </c>
      <c r="BA1051" s="116">
        <v>1.0572056991610173</v>
      </c>
      <c r="BB1051" s="116">
        <v>1.0572056991610173</v>
      </c>
      <c r="BC1051" s="116">
        <v>1.0572056991610173</v>
      </c>
      <c r="BD1051" s="116">
        <v>1.0572056991610173</v>
      </c>
      <c r="BE1051" s="116">
        <v>1.0572056991610173</v>
      </c>
      <c r="BF1051" s="116">
        <v>1.0572056991610173</v>
      </c>
      <c r="BG1051" s="116">
        <v>1.0572056991610173</v>
      </c>
    </row>
    <row r="1052" spans="1:59">
      <c r="AE1052" s="143"/>
      <c r="AF1052" s="143"/>
      <c r="AG1052" s="143"/>
      <c r="AH1052" s="143"/>
      <c r="AI1052" s="143"/>
      <c r="AJ1052" s="143"/>
      <c r="AK1052" s="143"/>
      <c r="AL1052" s="143"/>
      <c r="AM1052" s="143"/>
      <c r="AN1052" s="143"/>
      <c r="AO1052" s="143"/>
      <c r="AP1052" s="143"/>
      <c r="AQ1052" s="143"/>
      <c r="AR1052" s="143"/>
      <c r="AS1052" s="143"/>
      <c r="AT1052" s="143"/>
      <c r="AU1052" s="143"/>
      <c r="AV1052" s="143"/>
      <c r="AW1052" s="143"/>
      <c r="AX1052" s="143"/>
      <c r="AY1052" s="143"/>
      <c r="AZ1052" s="143"/>
      <c r="BA1052" s="143"/>
      <c r="BB1052" s="143"/>
      <c r="BC1052" s="143"/>
      <c r="BD1052" s="143"/>
      <c r="BE1052" s="143"/>
      <c r="BF1052" s="143"/>
      <c r="BG1052" s="143"/>
    </row>
    <row r="1053" spans="1:59">
      <c r="AE1053" s="143"/>
      <c r="AF1053" s="143"/>
      <c r="AG1053" s="143"/>
      <c r="AH1053" s="143"/>
      <c r="AI1053" s="143"/>
      <c r="AJ1053" s="143"/>
      <c r="AK1053" s="143"/>
      <c r="AL1053" s="143"/>
      <c r="AM1053" s="143"/>
      <c r="AN1053" s="143"/>
      <c r="AO1053" s="143"/>
      <c r="AP1053" s="143"/>
      <c r="AQ1053" s="143"/>
      <c r="AR1053" s="143"/>
      <c r="AS1053" s="143"/>
      <c r="AT1053" s="143"/>
      <c r="AU1053" s="143"/>
      <c r="AV1053" s="143"/>
      <c r="AW1053" s="143"/>
      <c r="AX1053" s="143"/>
      <c r="AY1053" s="143"/>
      <c r="AZ1053" s="143"/>
      <c r="BA1053" s="143"/>
      <c r="BB1053" s="143"/>
      <c r="BC1053" s="143"/>
      <c r="BD1053" s="143"/>
      <c r="BE1053" s="143"/>
      <c r="BF1053" s="143"/>
      <c r="BG1053" s="143"/>
    </row>
    <row r="1054" spans="1:59">
      <c r="AE1054" s="143"/>
      <c r="AF1054" s="143"/>
      <c r="AG1054" s="143"/>
      <c r="AH1054" s="143"/>
      <c r="AI1054" s="143"/>
      <c r="AJ1054" s="143"/>
      <c r="AK1054" s="143"/>
      <c r="AL1054" s="143"/>
      <c r="AM1054" s="143"/>
      <c r="AN1054" s="143"/>
      <c r="AO1054" s="143"/>
      <c r="AP1054" s="143"/>
      <c r="AQ1054" s="143"/>
      <c r="AR1054" s="143"/>
      <c r="AS1054" s="143"/>
      <c r="AT1054" s="143"/>
      <c r="AU1054" s="143"/>
      <c r="AV1054" s="143"/>
      <c r="AW1054" s="143"/>
      <c r="AX1054" s="143"/>
      <c r="AY1054" s="143"/>
      <c r="AZ1054" s="143"/>
      <c r="BA1054" s="143"/>
      <c r="BB1054" s="143"/>
      <c r="BC1054" s="143"/>
      <c r="BD1054" s="143"/>
      <c r="BE1054" s="143"/>
      <c r="BF1054" s="143"/>
      <c r="BG1054" s="143"/>
    </row>
    <row r="1055" spans="1:59">
      <c r="AE1055" s="143"/>
      <c r="AF1055" s="143"/>
      <c r="AG1055" s="143"/>
      <c r="AH1055" s="143"/>
      <c r="AI1055" s="143"/>
      <c r="AJ1055" s="143"/>
      <c r="AK1055" s="143"/>
      <c r="AL1055" s="143"/>
      <c r="AM1055" s="143"/>
      <c r="AN1055" s="143"/>
      <c r="AO1055" s="143"/>
      <c r="AP1055" s="143"/>
      <c r="AQ1055" s="143"/>
      <c r="AR1055" s="143"/>
      <c r="AS1055" s="143"/>
      <c r="AT1055" s="143"/>
      <c r="AU1055" s="143"/>
      <c r="AV1055" s="143"/>
      <c r="AW1055" s="143"/>
      <c r="AX1055" s="143"/>
      <c r="AY1055" s="143"/>
      <c r="AZ1055" s="143"/>
      <c r="BA1055" s="143"/>
      <c r="BB1055" s="143"/>
      <c r="BC1055" s="143"/>
      <c r="BD1055" s="143"/>
      <c r="BE1055" s="143"/>
      <c r="BF1055" s="143"/>
      <c r="BG1055" s="143"/>
    </row>
    <row r="1056" spans="1:59">
      <c r="AE1056" s="143"/>
      <c r="AF1056" s="143"/>
      <c r="AG1056" s="143"/>
      <c r="AH1056" s="143"/>
      <c r="AI1056" s="143"/>
      <c r="AJ1056" s="143"/>
      <c r="AK1056" s="143"/>
      <c r="AL1056" s="143"/>
      <c r="AM1056" s="143"/>
      <c r="AN1056" s="143"/>
      <c r="AO1056" s="143"/>
      <c r="AP1056" s="143"/>
      <c r="AQ1056" s="143"/>
      <c r="AR1056" s="143"/>
      <c r="AS1056" s="143"/>
      <c r="AT1056" s="143"/>
      <c r="AU1056" s="143"/>
      <c r="AV1056" s="143"/>
      <c r="AW1056" s="143"/>
      <c r="AX1056" s="143"/>
      <c r="AY1056" s="143"/>
      <c r="AZ1056" s="143"/>
      <c r="BA1056" s="143"/>
      <c r="BB1056" s="143"/>
      <c r="BC1056" s="143"/>
      <c r="BD1056" s="143"/>
      <c r="BE1056" s="143"/>
      <c r="BF1056" s="143"/>
      <c r="BG1056" s="143"/>
    </row>
    <row r="1057" spans="31:59">
      <c r="AE1057" s="143"/>
      <c r="AF1057" s="143"/>
      <c r="AG1057" s="143"/>
      <c r="AH1057" s="143"/>
      <c r="AI1057" s="143"/>
      <c r="AJ1057" s="143"/>
      <c r="AK1057" s="143"/>
      <c r="AL1057" s="143"/>
      <c r="AM1057" s="143"/>
      <c r="AN1057" s="143"/>
      <c r="AO1057" s="143"/>
      <c r="AP1057" s="143"/>
      <c r="AQ1057" s="143"/>
      <c r="AR1057" s="143"/>
      <c r="AS1057" s="143"/>
      <c r="AT1057" s="143"/>
      <c r="AU1057" s="143"/>
      <c r="AV1057" s="143"/>
      <c r="AW1057" s="143"/>
      <c r="AX1057" s="143"/>
      <c r="AY1057" s="143"/>
      <c r="AZ1057" s="143"/>
      <c r="BA1057" s="143"/>
      <c r="BB1057" s="143"/>
      <c r="BC1057" s="143"/>
      <c r="BD1057" s="143"/>
      <c r="BE1057" s="143"/>
      <c r="BF1057" s="143"/>
      <c r="BG1057" s="143"/>
    </row>
    <row r="1058" spans="31:59">
      <c r="AE1058" s="143"/>
      <c r="AF1058" s="143"/>
      <c r="AG1058" s="143"/>
      <c r="AH1058" s="143"/>
      <c r="AI1058" s="143"/>
      <c r="AJ1058" s="143"/>
      <c r="AK1058" s="143"/>
      <c r="AL1058" s="143"/>
      <c r="AM1058" s="143"/>
      <c r="AN1058" s="143"/>
      <c r="AO1058" s="143"/>
      <c r="AP1058" s="143"/>
      <c r="AQ1058" s="143"/>
      <c r="AR1058" s="143"/>
      <c r="AS1058" s="143"/>
      <c r="AT1058" s="143"/>
      <c r="AU1058" s="143"/>
      <c r="AV1058" s="143"/>
      <c r="AW1058" s="143"/>
      <c r="AX1058" s="143"/>
      <c r="AY1058" s="143"/>
      <c r="AZ1058" s="143"/>
      <c r="BA1058" s="143"/>
      <c r="BB1058" s="143"/>
      <c r="BC1058" s="143"/>
      <c r="BD1058" s="143"/>
      <c r="BE1058" s="143"/>
      <c r="BF1058" s="143"/>
      <c r="BG1058" s="143"/>
    </row>
    <row r="1059" spans="31:59">
      <c r="AE1059" s="143"/>
      <c r="AF1059" s="143"/>
      <c r="AG1059" s="143"/>
      <c r="AH1059" s="143"/>
      <c r="AI1059" s="143"/>
      <c r="AJ1059" s="143"/>
      <c r="AK1059" s="143"/>
      <c r="AL1059" s="143"/>
      <c r="AM1059" s="143"/>
      <c r="AN1059" s="143"/>
      <c r="AO1059" s="143"/>
      <c r="AP1059" s="143"/>
      <c r="AQ1059" s="143"/>
      <c r="AR1059" s="143"/>
      <c r="AS1059" s="143"/>
      <c r="AT1059" s="143"/>
      <c r="AU1059" s="143"/>
      <c r="AV1059" s="143"/>
      <c r="AW1059" s="143"/>
      <c r="AX1059" s="143"/>
      <c r="AY1059" s="143"/>
      <c r="AZ1059" s="143"/>
      <c r="BA1059" s="143"/>
      <c r="BB1059" s="143"/>
      <c r="BC1059" s="143"/>
      <c r="BD1059" s="143"/>
      <c r="BE1059" s="143"/>
      <c r="BF1059" s="143"/>
      <c r="BG1059" s="143"/>
    </row>
    <row r="1060" spans="31:59">
      <c r="AE1060" s="143"/>
      <c r="AF1060" s="143"/>
      <c r="AG1060" s="143"/>
      <c r="AH1060" s="143"/>
      <c r="AI1060" s="143"/>
      <c r="AJ1060" s="143"/>
      <c r="AK1060" s="143"/>
      <c r="AL1060" s="143"/>
      <c r="AM1060" s="143"/>
      <c r="AN1060" s="143"/>
      <c r="AO1060" s="143"/>
      <c r="AP1060" s="143"/>
      <c r="AQ1060" s="143"/>
      <c r="AR1060" s="143"/>
      <c r="AS1060" s="143"/>
      <c r="AT1060" s="143"/>
      <c r="AU1060" s="143"/>
      <c r="AV1060" s="143"/>
      <c r="AW1060" s="143"/>
      <c r="AX1060" s="143"/>
      <c r="AY1060" s="143"/>
      <c r="AZ1060" s="143"/>
      <c r="BA1060" s="143"/>
      <c r="BB1060" s="143"/>
      <c r="BC1060" s="143"/>
      <c r="BD1060" s="143"/>
      <c r="BE1060" s="143"/>
      <c r="BF1060" s="143"/>
      <c r="BG1060" s="143"/>
    </row>
    <row r="1061" spans="31:59">
      <c r="AE1061" s="143"/>
      <c r="AF1061" s="143"/>
      <c r="AG1061" s="143"/>
      <c r="AH1061" s="143"/>
      <c r="AI1061" s="143"/>
      <c r="AJ1061" s="143"/>
      <c r="AK1061" s="143"/>
      <c r="AL1061" s="143"/>
      <c r="AM1061" s="143"/>
      <c r="AN1061" s="143"/>
      <c r="AO1061" s="143"/>
      <c r="AP1061" s="143"/>
      <c r="AQ1061" s="143"/>
      <c r="AR1061" s="143"/>
      <c r="AS1061" s="143"/>
      <c r="AT1061" s="143"/>
      <c r="AU1061" s="143"/>
      <c r="AV1061" s="143"/>
      <c r="AW1061" s="143"/>
      <c r="AX1061" s="143"/>
      <c r="AY1061" s="143"/>
      <c r="AZ1061" s="143"/>
      <c r="BA1061" s="143"/>
      <c r="BB1061" s="143"/>
      <c r="BC1061" s="143"/>
      <c r="BD1061" s="143"/>
      <c r="BE1061" s="143"/>
      <c r="BF1061" s="143"/>
      <c r="BG1061" s="143"/>
    </row>
    <row r="1062" spans="31:59">
      <c r="AE1062" s="143"/>
      <c r="AF1062" s="143"/>
      <c r="AG1062" s="143"/>
      <c r="AH1062" s="143"/>
      <c r="AI1062" s="143"/>
      <c r="AJ1062" s="143"/>
      <c r="AK1062" s="143"/>
      <c r="AL1062" s="143"/>
      <c r="AM1062" s="143"/>
      <c r="AN1062" s="143"/>
      <c r="AO1062" s="143"/>
      <c r="AP1062" s="143"/>
      <c r="AQ1062" s="143"/>
      <c r="AR1062" s="143"/>
      <c r="AS1062" s="143"/>
      <c r="AT1062" s="143"/>
      <c r="AU1062" s="143"/>
      <c r="AV1062" s="143"/>
      <c r="AW1062" s="143"/>
      <c r="AX1062" s="143"/>
      <c r="AY1062" s="143"/>
      <c r="AZ1062" s="143"/>
      <c r="BA1062" s="143"/>
      <c r="BB1062" s="143"/>
      <c r="BC1062" s="143"/>
      <c r="BD1062" s="143"/>
      <c r="BE1062" s="143"/>
      <c r="BF1062" s="143"/>
      <c r="BG1062" s="143"/>
    </row>
    <row r="1063" spans="31:59">
      <c r="AE1063" s="143"/>
      <c r="AF1063" s="143"/>
      <c r="AG1063" s="143"/>
      <c r="AH1063" s="143"/>
      <c r="AI1063" s="143"/>
      <c r="AJ1063" s="143"/>
      <c r="AK1063" s="143"/>
      <c r="AL1063" s="143"/>
      <c r="AM1063" s="143"/>
      <c r="AN1063" s="143"/>
      <c r="AO1063" s="143"/>
      <c r="AP1063" s="143"/>
      <c r="AQ1063" s="143"/>
      <c r="AR1063" s="143"/>
      <c r="AS1063" s="143"/>
      <c r="AT1063" s="143"/>
      <c r="AU1063" s="143"/>
      <c r="AV1063" s="143"/>
      <c r="AW1063" s="143"/>
      <c r="AX1063" s="143"/>
      <c r="AY1063" s="143"/>
      <c r="AZ1063" s="143"/>
      <c r="BA1063" s="143"/>
      <c r="BB1063" s="143"/>
      <c r="BC1063" s="143"/>
      <c r="BD1063" s="143"/>
      <c r="BE1063" s="143"/>
      <c r="BF1063" s="143"/>
      <c r="BG1063" s="143"/>
    </row>
    <row r="1064" spans="31:59">
      <c r="AE1064" s="143"/>
      <c r="AF1064" s="143"/>
      <c r="AG1064" s="143"/>
      <c r="AH1064" s="143"/>
      <c r="AI1064" s="143"/>
      <c r="AJ1064" s="143"/>
      <c r="AK1064" s="143"/>
      <c r="AL1064" s="143"/>
      <c r="AM1064" s="143"/>
      <c r="AN1064" s="143"/>
      <c r="AO1064" s="143"/>
      <c r="AP1064" s="143"/>
      <c r="AQ1064" s="143"/>
      <c r="AR1064" s="143"/>
      <c r="AS1064" s="143"/>
      <c r="AT1064" s="143"/>
      <c r="AU1064" s="143"/>
      <c r="AV1064" s="143"/>
      <c r="AW1064" s="143"/>
      <c r="AX1064" s="143"/>
      <c r="AY1064" s="143"/>
      <c r="AZ1064" s="143"/>
      <c r="BA1064" s="143"/>
      <c r="BB1064" s="143"/>
      <c r="BC1064" s="143"/>
      <c r="BD1064" s="143"/>
      <c r="BE1064" s="143"/>
      <c r="BF1064" s="143"/>
      <c r="BG1064" s="143"/>
    </row>
    <row r="1065" spans="31:59">
      <c r="AE1065" s="143"/>
      <c r="AF1065" s="143"/>
      <c r="AG1065" s="143"/>
      <c r="AH1065" s="143"/>
      <c r="AI1065" s="143"/>
      <c r="AJ1065" s="143"/>
      <c r="AK1065" s="143"/>
      <c r="AL1065" s="143"/>
      <c r="AM1065" s="143"/>
      <c r="AN1065" s="143"/>
      <c r="AO1065" s="143"/>
      <c r="AP1065" s="143"/>
      <c r="AQ1065" s="143"/>
      <c r="AR1065" s="143"/>
      <c r="AS1065" s="143"/>
      <c r="AT1065" s="143"/>
      <c r="AU1065" s="143"/>
      <c r="AV1065" s="143"/>
      <c r="AW1065" s="143"/>
      <c r="AX1065" s="143"/>
      <c r="AY1065" s="143"/>
      <c r="AZ1065" s="143"/>
      <c r="BA1065" s="143"/>
      <c r="BB1065" s="143"/>
      <c r="BC1065" s="143"/>
      <c r="BD1065" s="143"/>
      <c r="BE1065" s="143"/>
      <c r="BF1065" s="143"/>
      <c r="BG1065" s="143"/>
    </row>
    <row r="1066" spans="31:59">
      <c r="AE1066" s="143"/>
      <c r="AF1066" s="143"/>
      <c r="AG1066" s="143"/>
      <c r="AH1066" s="143"/>
      <c r="AI1066" s="143"/>
      <c r="AJ1066" s="143"/>
      <c r="AK1066" s="143"/>
      <c r="AL1066" s="143"/>
      <c r="AM1066" s="143"/>
      <c r="AN1066" s="143"/>
      <c r="AO1066" s="143"/>
      <c r="AP1066" s="143"/>
      <c r="AQ1066" s="143"/>
      <c r="AR1066" s="143"/>
      <c r="AS1066" s="143"/>
      <c r="AT1066" s="143"/>
      <c r="AU1066" s="143"/>
      <c r="AV1066" s="143"/>
      <c r="AW1066" s="143"/>
      <c r="AX1066" s="143"/>
      <c r="AY1066" s="143"/>
      <c r="AZ1066" s="143"/>
      <c r="BA1066" s="143"/>
      <c r="BB1066" s="143"/>
      <c r="BC1066" s="143"/>
      <c r="BD1066" s="143"/>
      <c r="BE1066" s="143"/>
      <c r="BF1066" s="143"/>
      <c r="BG1066" s="143"/>
    </row>
    <row r="1067" spans="31:59">
      <c r="AE1067" s="143"/>
      <c r="AF1067" s="143"/>
      <c r="AG1067" s="143"/>
      <c r="AH1067" s="143"/>
      <c r="AI1067" s="143"/>
      <c r="AJ1067" s="143"/>
      <c r="AK1067" s="143"/>
      <c r="AL1067" s="143"/>
      <c r="AM1067" s="143"/>
      <c r="AN1067" s="143"/>
      <c r="AO1067" s="143"/>
      <c r="AP1067" s="143"/>
      <c r="AQ1067" s="143"/>
      <c r="AR1067" s="143"/>
      <c r="AS1067" s="143"/>
      <c r="AT1067" s="143"/>
      <c r="AU1067" s="143"/>
      <c r="AV1067" s="143"/>
      <c r="AW1067" s="143"/>
      <c r="AX1067" s="143"/>
      <c r="AY1067" s="143"/>
      <c r="AZ1067" s="143"/>
      <c r="BA1067" s="143"/>
      <c r="BB1067" s="143"/>
      <c r="BC1067" s="143"/>
      <c r="BD1067" s="143"/>
      <c r="BE1067" s="143"/>
      <c r="BF1067" s="143"/>
      <c r="BG1067" s="143"/>
    </row>
    <row r="1068" spans="31:59">
      <c r="AE1068" s="143"/>
      <c r="AF1068" s="143"/>
      <c r="AG1068" s="143"/>
      <c r="AH1068" s="143"/>
      <c r="AI1068" s="143"/>
      <c r="AJ1068" s="143"/>
      <c r="AK1068" s="143"/>
      <c r="AL1068" s="143"/>
      <c r="AM1068" s="143"/>
      <c r="AN1068" s="143"/>
      <c r="AO1068" s="143"/>
      <c r="AP1068" s="143"/>
      <c r="AQ1068" s="143"/>
      <c r="AR1068" s="143"/>
      <c r="AS1068" s="143"/>
      <c r="AT1068" s="143"/>
      <c r="AU1068" s="143"/>
      <c r="AV1068" s="143"/>
      <c r="AW1068" s="143"/>
      <c r="AX1068" s="143"/>
      <c r="AY1068" s="143"/>
      <c r="AZ1068" s="143"/>
      <c r="BA1068" s="143"/>
      <c r="BB1068" s="143"/>
      <c r="BC1068" s="143"/>
      <c r="BD1068" s="143"/>
      <c r="BE1068" s="143"/>
      <c r="BF1068" s="143"/>
      <c r="BG1068" s="143"/>
    </row>
    <row r="1069" spans="31:59">
      <c r="AE1069" s="143"/>
      <c r="AF1069" s="143"/>
      <c r="AG1069" s="143"/>
      <c r="AH1069" s="143"/>
      <c r="AI1069" s="143"/>
      <c r="AJ1069" s="143"/>
      <c r="AK1069" s="143"/>
      <c r="AL1069" s="143"/>
      <c r="AM1069" s="143"/>
      <c r="AN1069" s="143"/>
      <c r="AO1069" s="143"/>
      <c r="AP1069" s="143"/>
      <c r="AQ1069" s="143"/>
      <c r="AR1069" s="143"/>
      <c r="AS1069" s="143"/>
      <c r="AT1069" s="143"/>
      <c r="AU1069" s="143"/>
      <c r="AV1069" s="143"/>
      <c r="AW1069" s="143"/>
      <c r="AX1069" s="143"/>
      <c r="AY1069" s="143"/>
      <c r="AZ1069" s="143"/>
      <c r="BA1069" s="143"/>
      <c r="BB1069" s="143"/>
      <c r="BC1069" s="143"/>
      <c r="BD1069" s="143"/>
      <c r="BE1069" s="143"/>
      <c r="BF1069" s="143"/>
      <c r="BG1069" s="143"/>
    </row>
    <row r="1070" spans="31:59">
      <c r="AE1070" s="143"/>
      <c r="AF1070" s="143"/>
      <c r="AG1070" s="143"/>
      <c r="AH1070" s="143"/>
      <c r="AI1070" s="143"/>
      <c r="AJ1070" s="143"/>
      <c r="AK1070" s="143"/>
      <c r="AL1070" s="143"/>
      <c r="AM1070" s="143"/>
      <c r="AN1070" s="143"/>
      <c r="AO1070" s="143"/>
      <c r="AP1070" s="143"/>
      <c r="AQ1070" s="143"/>
      <c r="AR1070" s="143"/>
      <c r="AS1070" s="143"/>
      <c r="AT1070" s="143"/>
      <c r="AU1070" s="143"/>
      <c r="AV1070" s="143"/>
      <c r="AW1070" s="143"/>
      <c r="AX1070" s="143"/>
      <c r="AY1070" s="143"/>
      <c r="AZ1070" s="143"/>
      <c r="BA1070" s="143"/>
      <c r="BB1070" s="143"/>
      <c r="BC1070" s="143"/>
      <c r="BD1070" s="143"/>
      <c r="BE1070" s="143"/>
      <c r="BF1070" s="143"/>
      <c r="BG1070" s="143"/>
    </row>
    <row r="1072" spans="31:59">
      <c r="AI1072" s="116"/>
      <c r="AJ1072" s="116"/>
      <c r="AK1072" s="116"/>
      <c r="AL1072" s="116"/>
      <c r="AM1072" s="116"/>
      <c r="AN1072" s="116"/>
      <c r="AO1072" s="116"/>
      <c r="AP1072" s="116"/>
      <c r="AQ1072" s="116"/>
      <c r="AR1072" s="116"/>
      <c r="AS1072" s="116"/>
      <c r="AT1072" s="116"/>
      <c r="AU1072" s="116"/>
      <c r="AV1072" s="116"/>
      <c r="AW1072" s="116"/>
      <c r="AX1072" s="116"/>
      <c r="AY1072" s="116"/>
      <c r="AZ1072" s="116"/>
      <c r="BA1072" s="116"/>
      <c r="BB1072" s="116"/>
      <c r="BC1072" s="116"/>
      <c r="BD1072" s="116"/>
      <c r="BE1072" s="116"/>
      <c r="BF1072" s="116"/>
      <c r="BG1072" s="116"/>
    </row>
    <row r="1073" spans="35:59">
      <c r="AI1073" s="116"/>
      <c r="AJ1073" s="116"/>
      <c r="AK1073" s="116"/>
      <c r="AL1073" s="116"/>
      <c r="AM1073" s="116"/>
      <c r="AN1073" s="116"/>
      <c r="AO1073" s="116"/>
      <c r="AP1073" s="116"/>
      <c r="AQ1073" s="116"/>
      <c r="AR1073" s="116"/>
      <c r="AS1073" s="116"/>
      <c r="AT1073" s="116"/>
      <c r="AU1073" s="116"/>
      <c r="AV1073" s="116"/>
      <c r="AW1073" s="116"/>
      <c r="AX1073" s="116"/>
      <c r="AY1073" s="116"/>
      <c r="AZ1073" s="116"/>
      <c r="BA1073" s="116"/>
      <c r="BB1073" s="116"/>
      <c r="BC1073" s="116"/>
      <c r="BD1073" s="116"/>
      <c r="BE1073" s="116"/>
      <c r="BF1073" s="116"/>
      <c r="BG1073" s="116"/>
    </row>
    <row r="1074" spans="35:59">
      <c r="AI1074" s="116"/>
      <c r="AJ1074" s="116"/>
      <c r="AK1074" s="116"/>
      <c r="AL1074" s="116"/>
      <c r="AM1074" s="116"/>
      <c r="AN1074" s="116"/>
      <c r="AO1074" s="116"/>
      <c r="AP1074" s="116"/>
      <c r="AQ1074" s="116"/>
      <c r="AR1074" s="116"/>
      <c r="AS1074" s="116"/>
      <c r="AT1074" s="116"/>
      <c r="AU1074" s="116"/>
      <c r="AV1074" s="116"/>
      <c r="AW1074" s="116"/>
      <c r="AX1074" s="116"/>
      <c r="AY1074" s="116"/>
      <c r="AZ1074" s="116"/>
      <c r="BA1074" s="116"/>
      <c r="BB1074" s="116"/>
      <c r="BC1074" s="116"/>
      <c r="BD1074" s="116"/>
      <c r="BE1074" s="116"/>
      <c r="BF1074" s="116"/>
      <c r="BG1074" s="116"/>
    </row>
    <row r="1075" spans="35:59">
      <c r="AI1075" s="116"/>
      <c r="AJ1075" s="116"/>
      <c r="AK1075" s="116"/>
      <c r="AL1075" s="116"/>
      <c r="AM1075" s="116"/>
      <c r="AN1075" s="116"/>
      <c r="AO1075" s="116"/>
      <c r="AP1075" s="116"/>
      <c r="AQ1075" s="116"/>
      <c r="AR1075" s="116"/>
      <c r="AS1075" s="116"/>
      <c r="AT1075" s="116"/>
      <c r="AU1075" s="116"/>
      <c r="AV1075" s="116"/>
      <c r="AW1075" s="116"/>
      <c r="AX1075" s="116"/>
      <c r="AY1075" s="116"/>
      <c r="AZ1075" s="116"/>
      <c r="BA1075" s="116"/>
      <c r="BB1075" s="116"/>
      <c r="BC1075" s="116"/>
      <c r="BD1075" s="116"/>
      <c r="BE1075" s="116"/>
      <c r="BF1075" s="116"/>
      <c r="BG1075" s="116"/>
    </row>
    <row r="1076" spans="35:59">
      <c r="AI1076" s="116"/>
      <c r="AJ1076" s="116"/>
      <c r="AK1076" s="116"/>
      <c r="AL1076" s="116"/>
      <c r="AM1076" s="116"/>
      <c r="AN1076" s="116"/>
      <c r="AO1076" s="116"/>
      <c r="AP1076" s="116"/>
      <c r="AQ1076" s="116"/>
      <c r="AR1076" s="116"/>
      <c r="AS1076" s="116"/>
      <c r="AT1076" s="116"/>
      <c r="AU1076" s="116"/>
      <c r="AV1076" s="116"/>
      <c r="AW1076" s="116"/>
      <c r="AX1076" s="116"/>
      <c r="AY1076" s="116"/>
      <c r="AZ1076" s="116"/>
      <c r="BA1076" s="116"/>
      <c r="BB1076" s="116"/>
      <c r="BC1076" s="116"/>
      <c r="BD1076" s="116"/>
      <c r="BE1076" s="116"/>
      <c r="BF1076" s="116"/>
      <c r="BG1076" s="116"/>
    </row>
    <row r="1077" spans="35:59">
      <c r="AI1077" s="116"/>
      <c r="AJ1077" s="116"/>
      <c r="AK1077" s="116"/>
      <c r="AL1077" s="116"/>
      <c r="AM1077" s="116"/>
      <c r="AN1077" s="116"/>
      <c r="AO1077" s="116"/>
      <c r="AP1077" s="116"/>
      <c r="AQ1077" s="116"/>
      <c r="AR1077" s="116"/>
      <c r="AS1077" s="116"/>
      <c r="AT1077" s="116"/>
      <c r="AU1077" s="116"/>
      <c r="AV1077" s="116"/>
      <c r="AW1077" s="116"/>
      <c r="AX1077" s="116"/>
      <c r="AY1077" s="116"/>
      <c r="AZ1077" s="116"/>
      <c r="BA1077" s="116"/>
      <c r="BB1077" s="116"/>
      <c r="BC1077" s="116"/>
      <c r="BD1077" s="116"/>
      <c r="BE1077" s="116"/>
      <c r="BF1077" s="116"/>
      <c r="BG1077" s="116"/>
    </row>
    <row r="1078" spans="35:59">
      <c r="AI1078" s="116"/>
      <c r="AJ1078" s="116"/>
      <c r="AK1078" s="116"/>
      <c r="AL1078" s="116"/>
      <c r="AM1078" s="116"/>
      <c r="AN1078" s="116"/>
      <c r="AO1078" s="116"/>
      <c r="AP1078" s="116"/>
      <c r="AQ1078" s="116"/>
      <c r="AR1078" s="116"/>
      <c r="AS1078" s="116"/>
      <c r="AT1078" s="116"/>
      <c r="AU1078" s="116"/>
      <c r="AV1078" s="116"/>
      <c r="AW1078" s="116"/>
      <c r="AX1078" s="116"/>
      <c r="AY1078" s="116"/>
      <c r="AZ1078" s="116"/>
      <c r="BA1078" s="116"/>
      <c r="BB1078" s="116"/>
      <c r="BC1078" s="116"/>
      <c r="BD1078" s="116"/>
      <c r="BE1078" s="116"/>
      <c r="BF1078" s="116"/>
      <c r="BG1078" s="116"/>
    </row>
    <row r="1079" spans="35:59">
      <c r="AI1079" s="116"/>
      <c r="AJ1079" s="116"/>
      <c r="AK1079" s="116"/>
      <c r="AL1079" s="116"/>
      <c r="AM1079" s="116"/>
      <c r="AN1079" s="116"/>
      <c r="AO1079" s="116"/>
      <c r="AP1079" s="116"/>
      <c r="AQ1079" s="116"/>
      <c r="AR1079" s="116"/>
      <c r="AS1079" s="116"/>
      <c r="AT1079" s="116"/>
      <c r="AU1079" s="116"/>
      <c r="AV1079" s="116"/>
      <c r="AW1079" s="116"/>
      <c r="AX1079" s="116"/>
      <c r="AY1079" s="116"/>
      <c r="AZ1079" s="116"/>
      <c r="BA1079" s="116"/>
      <c r="BB1079" s="116"/>
      <c r="BC1079" s="116"/>
      <c r="BD1079" s="116"/>
      <c r="BE1079" s="116"/>
      <c r="BF1079" s="116"/>
      <c r="BG1079" s="116"/>
    </row>
    <row r="1080" spans="35:59">
      <c r="AI1080" s="116"/>
      <c r="AJ1080" s="116"/>
      <c r="AK1080" s="116"/>
      <c r="AL1080" s="116"/>
      <c r="AM1080" s="116"/>
      <c r="AN1080" s="116"/>
      <c r="AO1080" s="116"/>
      <c r="AP1080" s="116"/>
      <c r="AQ1080" s="116"/>
      <c r="AR1080" s="116"/>
      <c r="AS1080" s="116"/>
      <c r="AT1080" s="116"/>
      <c r="AU1080" s="116"/>
      <c r="AV1080" s="116"/>
      <c r="AW1080" s="116"/>
      <c r="AX1080" s="116"/>
      <c r="AY1080" s="116"/>
      <c r="AZ1080" s="116"/>
      <c r="BA1080" s="116"/>
      <c r="BB1080" s="116"/>
      <c r="BC1080" s="116"/>
      <c r="BD1080" s="116"/>
      <c r="BE1080" s="116"/>
      <c r="BF1080" s="116"/>
      <c r="BG1080" s="116"/>
    </row>
    <row r="1081" spans="35:59">
      <c r="AI1081" s="116"/>
      <c r="AJ1081" s="116"/>
      <c r="AK1081" s="116"/>
      <c r="AL1081" s="116"/>
      <c r="AM1081" s="116"/>
      <c r="AN1081" s="116"/>
      <c r="AO1081" s="116"/>
      <c r="AP1081" s="116"/>
      <c r="AQ1081" s="116"/>
      <c r="AR1081" s="116"/>
      <c r="AS1081" s="116"/>
      <c r="AT1081" s="116"/>
      <c r="AU1081" s="116"/>
      <c r="AV1081" s="116"/>
      <c r="AW1081" s="116"/>
      <c r="AX1081" s="116"/>
      <c r="AY1081" s="116"/>
      <c r="AZ1081" s="116"/>
      <c r="BA1081" s="116"/>
      <c r="BB1081" s="116"/>
      <c r="BC1081" s="116"/>
      <c r="BD1081" s="116"/>
      <c r="BE1081" s="116"/>
      <c r="BF1081" s="116"/>
      <c r="BG1081" s="116"/>
    </row>
    <row r="1082" spans="35:59">
      <c r="AI1082" s="116"/>
      <c r="AJ1082" s="116"/>
      <c r="AK1082" s="116"/>
      <c r="AL1082" s="116"/>
      <c r="AM1082" s="116"/>
      <c r="AN1082" s="116"/>
      <c r="AO1082" s="116"/>
      <c r="AP1082" s="116"/>
      <c r="AQ1082" s="116"/>
      <c r="AR1082" s="116"/>
      <c r="AS1082" s="116"/>
      <c r="AT1082" s="116"/>
      <c r="AU1082" s="116"/>
      <c r="AV1082" s="116"/>
      <c r="AW1082" s="116"/>
      <c r="AX1082" s="116"/>
      <c r="AY1082" s="116"/>
      <c r="AZ1082" s="116"/>
      <c r="BA1082" s="116"/>
      <c r="BB1082" s="116"/>
      <c r="BC1082" s="116"/>
      <c r="BD1082" s="116"/>
      <c r="BE1082" s="116"/>
      <c r="BF1082" s="116"/>
      <c r="BG1082" s="116"/>
    </row>
    <row r="1083" spans="35:59">
      <c r="AI1083" s="116"/>
      <c r="AJ1083" s="116"/>
      <c r="AK1083" s="116"/>
      <c r="AL1083" s="116"/>
      <c r="AM1083" s="116"/>
      <c r="AN1083" s="116"/>
      <c r="AO1083" s="116"/>
      <c r="AP1083" s="116"/>
      <c r="AQ1083" s="116"/>
      <c r="AR1083" s="116"/>
      <c r="AS1083" s="116"/>
      <c r="AT1083" s="116"/>
      <c r="AU1083" s="116"/>
      <c r="AV1083" s="116"/>
      <c r="AW1083" s="116"/>
      <c r="AX1083" s="116"/>
      <c r="AY1083" s="116"/>
      <c r="AZ1083" s="116"/>
      <c r="BA1083" s="116"/>
      <c r="BB1083" s="116"/>
      <c r="BC1083" s="116"/>
      <c r="BD1083" s="116"/>
      <c r="BE1083" s="116"/>
      <c r="BF1083" s="116"/>
      <c r="BG1083" s="116"/>
    </row>
    <row r="1084" spans="35:59">
      <c r="AI1084" s="116"/>
      <c r="AJ1084" s="116"/>
      <c r="AK1084" s="116"/>
      <c r="AL1084" s="116"/>
      <c r="AM1084" s="116"/>
      <c r="AN1084" s="116"/>
      <c r="AO1084" s="116"/>
      <c r="AP1084" s="116"/>
      <c r="AQ1084" s="116"/>
      <c r="AR1084" s="116"/>
      <c r="AS1084" s="116"/>
      <c r="AT1084" s="116"/>
      <c r="AU1084" s="116"/>
      <c r="AV1084" s="116"/>
      <c r="AW1084" s="116"/>
      <c r="AX1084" s="116"/>
      <c r="AY1084" s="116"/>
      <c r="AZ1084" s="116"/>
      <c r="BA1084" s="116"/>
      <c r="BB1084" s="116"/>
      <c r="BC1084" s="116"/>
      <c r="BD1084" s="116"/>
      <c r="BE1084" s="116"/>
      <c r="BF1084" s="116"/>
      <c r="BG1084" s="116"/>
    </row>
    <row r="1085" spans="35:59">
      <c r="AI1085" s="116"/>
      <c r="AJ1085" s="116"/>
      <c r="AK1085" s="116"/>
      <c r="AL1085" s="116"/>
      <c r="AM1085" s="116"/>
      <c r="AN1085" s="116"/>
      <c r="AO1085" s="116"/>
      <c r="AP1085" s="116"/>
      <c r="AQ1085" s="116"/>
      <c r="AR1085" s="116"/>
      <c r="AS1085" s="116"/>
      <c r="AT1085" s="116"/>
      <c r="AU1085" s="116"/>
      <c r="AV1085" s="116"/>
      <c r="AW1085" s="116"/>
      <c r="AX1085" s="116"/>
      <c r="AY1085" s="116"/>
      <c r="AZ1085" s="116"/>
      <c r="BA1085" s="116"/>
      <c r="BB1085" s="116"/>
      <c r="BC1085" s="116"/>
      <c r="BD1085" s="116"/>
      <c r="BE1085" s="116"/>
      <c r="BF1085" s="116"/>
      <c r="BG1085" s="116"/>
    </row>
    <row r="1086" spans="35:59">
      <c r="AI1086" s="116"/>
      <c r="AJ1086" s="116"/>
      <c r="AK1086" s="116"/>
      <c r="AL1086" s="116"/>
      <c r="AM1086" s="116"/>
      <c r="AN1086" s="116"/>
      <c r="AO1086" s="116"/>
      <c r="AP1086" s="116"/>
      <c r="AQ1086" s="116"/>
      <c r="AR1086" s="116"/>
      <c r="AS1086" s="116"/>
      <c r="AT1086" s="116"/>
      <c r="AU1086" s="116"/>
      <c r="AV1086" s="116"/>
      <c r="AW1086" s="116"/>
      <c r="AX1086" s="116"/>
      <c r="AY1086" s="116"/>
      <c r="AZ1086" s="116"/>
      <c r="BA1086" s="116"/>
      <c r="BB1086" s="116"/>
      <c r="BC1086" s="116"/>
      <c r="BD1086" s="116"/>
      <c r="BE1086" s="116"/>
      <c r="BF1086" s="116"/>
      <c r="BG1086" s="116"/>
    </row>
    <row r="1087" spans="35:59">
      <c r="AI1087" s="116"/>
      <c r="AJ1087" s="116"/>
      <c r="AK1087" s="116"/>
      <c r="AL1087" s="116"/>
      <c r="AM1087" s="116"/>
      <c r="AN1087" s="116"/>
      <c r="AO1087" s="116"/>
      <c r="AP1087" s="116"/>
      <c r="AQ1087" s="116"/>
      <c r="AR1087" s="116"/>
      <c r="AS1087" s="116"/>
      <c r="AT1087" s="116"/>
      <c r="AU1087" s="116"/>
      <c r="AV1087" s="116"/>
      <c r="AW1087" s="116"/>
      <c r="AX1087" s="116"/>
      <c r="AY1087" s="116"/>
      <c r="AZ1087" s="116"/>
      <c r="BA1087" s="116"/>
      <c r="BB1087" s="116"/>
      <c r="BC1087" s="116"/>
      <c r="BD1087" s="116"/>
      <c r="BE1087" s="116"/>
      <c r="BF1087" s="116"/>
      <c r="BG1087" s="116"/>
    </row>
    <row r="1088" spans="35:59">
      <c r="AI1088" s="116"/>
      <c r="AJ1088" s="116"/>
      <c r="AK1088" s="116"/>
      <c r="AL1088" s="116"/>
      <c r="AM1088" s="116"/>
      <c r="AN1088" s="116"/>
      <c r="AO1088" s="116"/>
      <c r="AP1088" s="116"/>
      <c r="AQ1088" s="116"/>
      <c r="AR1088" s="116"/>
      <c r="AS1088" s="116"/>
      <c r="AT1088" s="116"/>
      <c r="AU1088" s="116"/>
      <c r="AV1088" s="116"/>
      <c r="AW1088" s="116"/>
      <c r="AX1088" s="116"/>
      <c r="AY1088" s="116"/>
      <c r="AZ1088" s="116"/>
      <c r="BA1088" s="116"/>
      <c r="BB1088" s="116"/>
      <c r="BC1088" s="116"/>
      <c r="BD1088" s="116"/>
      <c r="BE1088" s="116"/>
      <c r="BF1088" s="116"/>
      <c r="BG1088" s="116"/>
    </row>
    <row r="1089" spans="35:59">
      <c r="AI1089" s="116"/>
      <c r="AJ1089" s="116"/>
      <c r="AK1089" s="116"/>
      <c r="AL1089" s="116"/>
      <c r="AM1089" s="116"/>
      <c r="AN1089" s="116"/>
      <c r="AO1089" s="116"/>
      <c r="AP1089" s="116"/>
      <c r="AQ1089" s="116"/>
      <c r="AR1089" s="116"/>
      <c r="AS1089" s="116"/>
      <c r="AT1089" s="116"/>
      <c r="AU1089" s="116"/>
      <c r="AV1089" s="116"/>
      <c r="AW1089" s="116"/>
      <c r="AX1089" s="116"/>
      <c r="AY1089" s="116"/>
      <c r="AZ1089" s="116"/>
      <c r="BA1089" s="116"/>
      <c r="BB1089" s="116"/>
      <c r="BC1089" s="116"/>
      <c r="BD1089" s="116"/>
      <c r="BE1089" s="116"/>
      <c r="BF1089" s="116"/>
      <c r="BG1089" s="116"/>
    </row>
    <row r="1090" spans="35:59">
      <c r="AI1090" s="116"/>
      <c r="AJ1090" s="116"/>
      <c r="AK1090" s="116"/>
      <c r="AL1090" s="116"/>
      <c r="AM1090" s="116"/>
      <c r="AN1090" s="116"/>
      <c r="AO1090" s="116"/>
      <c r="AP1090" s="116"/>
      <c r="AQ1090" s="116"/>
      <c r="AR1090" s="116"/>
      <c r="AS1090" s="116"/>
      <c r="AT1090" s="116"/>
      <c r="AU1090" s="116"/>
      <c r="AV1090" s="116"/>
      <c r="AW1090" s="116"/>
      <c r="AX1090" s="116"/>
      <c r="AY1090" s="116"/>
      <c r="AZ1090" s="116"/>
      <c r="BA1090" s="116"/>
      <c r="BB1090" s="116"/>
      <c r="BC1090" s="116"/>
      <c r="BD1090" s="116"/>
      <c r="BE1090" s="116"/>
      <c r="BF1090" s="116"/>
      <c r="BG1090" s="116"/>
    </row>
    <row r="1091" spans="35:59">
      <c r="AI1091" s="116"/>
      <c r="AJ1091" s="116"/>
      <c r="AK1091" s="116"/>
      <c r="AL1091" s="116"/>
      <c r="AM1091" s="116"/>
      <c r="AN1091" s="116"/>
      <c r="AO1091" s="116"/>
      <c r="AP1091" s="116"/>
      <c r="AQ1091" s="116"/>
      <c r="AR1091" s="116"/>
      <c r="AS1091" s="116"/>
      <c r="AT1091" s="116"/>
      <c r="AU1091" s="116"/>
      <c r="AV1091" s="116"/>
      <c r="AW1091" s="116"/>
      <c r="AX1091" s="116"/>
      <c r="AY1091" s="116"/>
      <c r="AZ1091" s="116"/>
      <c r="BA1091" s="116"/>
      <c r="BB1091" s="116"/>
      <c r="BC1091" s="116"/>
      <c r="BD1091" s="116"/>
      <c r="BE1091" s="116"/>
      <c r="BF1091" s="116"/>
      <c r="BG1091" s="116"/>
    </row>
  </sheetData>
  <autoFilter ref="A1:AM1028" xr:uid="{00000000-0009-0000-0000-00000B000000}"/>
  <pageMargins left="0.19685039370078741" right="0.70866141732283472" top="0.19685039370078741" bottom="0.19685039370078741" header="0.11811023622047245" footer="0.19685039370078741"/>
  <pageSetup paperSize="9" scale="10" orientation="portrait" r:id="rId1"/>
  <rowBreaks count="1" manualBreakCount="1">
    <brk id="193" max="3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Outputs</vt:lpstr>
      <vt:lpstr>PRINT</vt:lpstr>
      <vt:lpstr>Scenario</vt:lpstr>
      <vt:lpstr>Calc</vt:lpstr>
      <vt:lpstr>P&amp;L</vt:lpstr>
      <vt:lpstr>CFS</vt:lpstr>
      <vt:lpstr>BS</vt:lpstr>
      <vt:lpstr>DCF</vt:lpstr>
      <vt:lpstr>Inputs</vt:lpstr>
      <vt:lpstr>Inputs sber (-)</vt:lpstr>
      <vt:lpstr>Inputs sber (+)</vt:lpstr>
      <vt:lpstr>Inputs sber (2)</vt:lpstr>
      <vt:lpstr>Inputs!Print_Area</vt:lpstr>
      <vt:lpstr>'Inputs sber (2)'!Print_Area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Сычев Денис Михайлович</dc:creator>
  <cp:lastModifiedBy>Aleksey Berezkin</cp:lastModifiedBy>
  <cp:lastPrinted>2023-10-16T14:59:32Z</cp:lastPrinted>
  <dcterms:created xsi:type="dcterms:W3CDTF">2023-09-15T06:16:21Z</dcterms:created>
  <dcterms:modified xsi:type="dcterms:W3CDTF">2025-07-04T11:08:20Z</dcterms:modified>
</cp:coreProperties>
</file>